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drawings/drawing3.xml" ContentType="application/vnd.openxmlformats-officedocument.drawing+xml"/>
  <Override PartName="/xl/ink/ink7.xml" ContentType="application/inkml+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ink/ink8.xml" ContentType="application/inkml+xml"/>
  <Override PartName="/xl/ink/ink9.xml" ContentType="application/inkml+xml"/>
  <Override PartName="/xl/ink/ink10.xml" ContentType="application/inkml+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ink/ink11.xml" ContentType="application/inkml+xml"/>
  <Override PartName="/xl/ink/ink12.xml" ContentType="application/inkml+xml"/>
  <Override PartName="/xl/ink/ink13.xml" ContentType="application/inkml+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ink/ink14.xml" ContentType="application/inkml+xml"/>
  <Override PartName="/xl/ink/ink15.xml" ContentType="application/inkml+xml"/>
  <Override PartName="/xl/ink/ink16.xml" ContentType="application/inkml+xml"/>
  <Override PartName="/xl/ink/ink17.xml" ContentType="application/inkml+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ink/ink18.xml" ContentType="application/inkml+xml"/>
  <Override PartName="/xl/ink/ink19.xml" ContentType="application/inkml+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3.xml" ContentType="application/vnd.openxmlformats-officedocument.themeOverride+xml"/>
  <Override PartName="/xl/drawings/drawing7.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4.xml" ContentType="application/vnd.openxmlformats-officedocument.themeOverride+xml"/>
  <Override PartName="/xl/drawings/drawing8.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5.xml" ContentType="application/vnd.openxmlformats-officedocument.themeOverride+xml"/>
  <Override PartName="/xl/drawings/drawing9.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ink/ink59.xml" ContentType="application/inkml+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6.xml" ContentType="application/vnd.openxmlformats-officedocument.themeOverride+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0.xml" ContentType="application/vnd.openxmlformats-officedocument.drawingml.chartshapes+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ink/ink93.xml" ContentType="application/inkml+xml"/>
  <Override PartName="/xl/ink/ink94.xml" ContentType="application/inkml+xml"/>
  <Override PartName="/xl/drawings/drawing13.xml" ContentType="application/vnd.openxmlformats-officedocument.drawing+xml"/>
  <Override PartName="/xl/ink/ink95.xml" ContentType="application/inkml+xml"/>
  <Override PartName="/xl/drawings/drawing1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24226"/>
  <mc:AlternateContent xmlns:mc="http://schemas.openxmlformats.org/markup-compatibility/2006">
    <mc:Choice Requires="x15">
      <x15ac:absPath xmlns:x15ac="http://schemas.microsoft.com/office/spreadsheetml/2010/11/ac" url="C:\Users\Ralph\Documents\AeroFS\EI Act Part 2\monitoring - EVA\"/>
    </mc:Choice>
  </mc:AlternateContent>
  <xr:revisionPtr revIDLastSave="0" documentId="13_ncr:1_{94E771C6-43A3-46B0-81D3-C8DCF5F9FF4C}" xr6:coauthVersionLast="47" xr6:coauthVersionMax="47" xr10:uidLastSave="{00000000-0000-0000-0000-000000000000}"/>
  <bookViews>
    <workbookView xWindow="28680" yWindow="-120" windowWidth="29040" windowHeight="15840" xr2:uid="{1B52A808-B7C8-4339-9EF6-67441F1A3FB0}"/>
  </bookViews>
  <sheets>
    <sheet name="1_Contents" sheetId="14" r:id="rId1"/>
    <sheet name="Changes" sheetId="85" r:id="rId2"/>
    <sheet name="2_Inc-Stat" sheetId="3" r:id="rId3"/>
    <sheet name="3_Fin-Stat" sheetId="8" r:id="rId4"/>
    <sheet name="7_Data Notes" sheetId="95" r:id="rId5"/>
    <sheet name="9_Leasing" sheetId="57" r:id="rId6"/>
    <sheet name="14_Sale or Purchase" sheetId="72" r:id="rId7"/>
    <sheet name="Old 5" sheetId="67" state="hidden" r:id="rId8"/>
    <sheet name="3_Working IFRS" sheetId="78" state="hidden" r:id="rId9"/>
    <sheet name="Econ-Perf 1" sheetId="34" state="hidden" r:id="rId10"/>
    <sheet name="Econ-Perf 2" sheetId="23" state="hidden" r:id="rId11"/>
    <sheet name="Mark-Expect" sheetId="20" state="hidden" r:id="rId12"/>
    <sheet name="TSR" sheetId="33" state="hidden" r:id="rId13"/>
    <sheet name=" 11-BU Perf" sheetId="17" state="hidden" r:id="rId14"/>
    <sheet name="15-per Store 16-17" sheetId="26" state="hidden" r:id="rId15"/>
    <sheet name="Archives" sheetId="73" state="hidden" r:id="rId16"/>
    <sheet name="18 Data for Charts" sheetId="42" state="hidden" r:id="rId17"/>
    <sheet name="15b-Charts Comp" sheetId="31" state="hidden" r:id="rId18"/>
    <sheet name="15c-Charts Stores" sheetId="43" state="hidden" r:id="rId19"/>
    <sheet name="X-Chart Basics" sheetId="44" state="hidden" r:id="rId20"/>
    <sheet name="2011" sheetId="60" state="hidden" r:id="rId21"/>
    <sheet name="Old Fin" sheetId="36" state="hidden" r:id="rId22"/>
    <sheet name="JennyR" sheetId="41" state="hidden" r:id="rId23"/>
    <sheet name="New Charts" sheetId="40" state="hidden" r:id="rId24"/>
    <sheet name="xx-WHS Metrics" sheetId="24" state="hidden" r:id="rId25"/>
    <sheet name="Lease" sheetId="25" state="hidden" r:id="rId26"/>
    <sheet name="Tables" sheetId="28" state="hidden" r:id="rId27"/>
    <sheet name="Charts" sheetId="27" state="hidden" r:id="rId28"/>
  </sheets>
  <definedNames>
    <definedName name="_Fill" hidden="1">#REF!</definedName>
    <definedName name="a12M90">#REF!</definedName>
    <definedName name="ONE">#REF!</definedName>
    <definedName name="_xlnm.Print_Area" localSheetId="13">' 11-BU Perf'!$A$1:$AA$22</definedName>
    <definedName name="_xlnm.Print_Area" localSheetId="0">'1_Contents'!$A$1:$O$70</definedName>
    <definedName name="_xlnm.Print_Area" localSheetId="6">'14_Sale or Purchase'!$A$1:$AB$91</definedName>
    <definedName name="_xlnm.Print_Area" localSheetId="17">'15b-Charts Comp'!$B$66:$S$153</definedName>
    <definedName name="_xlnm.Print_Area" localSheetId="18">'15c-Charts Stores'!$B$16:$R$146</definedName>
    <definedName name="_xlnm.Print_Area" localSheetId="14">'15-per Store 16-17'!$A$1:$V$49</definedName>
    <definedName name="_xlnm.Print_Area" localSheetId="16">'18 Data for Charts'!$A$1:$AA$99</definedName>
    <definedName name="_xlnm.Print_Area" localSheetId="2">'2_Inc-Stat'!$A$1:$AB$270</definedName>
    <definedName name="_xlnm.Print_Area" localSheetId="20">'2011'!$A$1:$R$129</definedName>
    <definedName name="_xlnm.Print_Area" localSheetId="3">'3_Fin-Stat'!$A$1:$AB$572</definedName>
    <definedName name="_xlnm.Print_Area" localSheetId="8">'3_Working IFRS'!$A$1:$V$225</definedName>
    <definedName name="_xlnm.Print_Area" localSheetId="4">'7_Data Notes'!$A$1:$AB$91</definedName>
    <definedName name="_xlnm.Print_Area" localSheetId="5">'9_Leasing'!$A$1:$AB$14</definedName>
    <definedName name="_xlnm.Print_Area" localSheetId="15">Archives!$A$1:$AB$117</definedName>
    <definedName name="_xlnm.Print_Area" localSheetId="1">Changes!$A$1:$V$23</definedName>
    <definedName name="_xlnm.Print_Area" localSheetId="27">#REF!</definedName>
    <definedName name="_xlnm.Print_Area" localSheetId="9">'Econ-Perf 1'!$A$1:$AA$56</definedName>
    <definedName name="_xlnm.Print_Area" localSheetId="10">'Econ-Perf 2'!$A$1:$AA$107</definedName>
    <definedName name="_xlnm.Print_Area" localSheetId="22">JennyR!$A$1:$M$106</definedName>
    <definedName name="_xlnm.Print_Area" localSheetId="11">'Mark-Expect'!$A$1:$AA$69</definedName>
    <definedName name="_xlnm.Print_Area" localSheetId="23">'New Charts'!$B$28:$O$76</definedName>
    <definedName name="_xlnm.Print_Area" localSheetId="7">'Old 5'!$A$1:$AA$75</definedName>
    <definedName name="_xlnm.Print_Area" localSheetId="21">'Old Fin'!$A$2:$M$78</definedName>
    <definedName name="_xlnm.Print_Area" localSheetId="26">Tables!$A$1:$J$27</definedName>
    <definedName name="_xlnm.Print_Area" localSheetId="12">TSR!$A$1:$AA$52</definedName>
    <definedName name="_xlnm.Print_Area" localSheetId="24">'xx-WHS Metrics'!$A$5:$P$47</definedName>
    <definedName name="THREE">#REF!</definedName>
    <definedName name="TWO">#REF!</definedName>
    <definedName name="Z_5826E3E6_173D_429F_ABE1_D868EE9E034B_.wvu.Cols" localSheetId="13" hidden="1">' 11-BU Perf'!$E:$F</definedName>
    <definedName name="Z_5826E3E6_173D_429F_ABE1_D868EE9E034B_.wvu.Cols" localSheetId="2" hidden="1">'2_Inc-Stat'!$G:$H</definedName>
    <definedName name="Z_5826E3E6_173D_429F_ABE1_D868EE9E034B_.wvu.Cols" localSheetId="3" hidden="1">'3_Fin-Stat'!$G:$H</definedName>
    <definedName name="Z_5826E3E6_173D_429F_ABE1_D868EE9E034B_.wvu.Cols" localSheetId="9" hidden="1">'Econ-Perf 1'!$F:$H</definedName>
    <definedName name="Z_5826E3E6_173D_429F_ABE1_D868EE9E034B_.wvu.Cols" localSheetId="10" hidden="1">'Econ-Perf 2'!$G:$H</definedName>
    <definedName name="Z_5826E3E6_173D_429F_ABE1_D868EE9E034B_.wvu.Cols" localSheetId="11" hidden="1">'Mark-Expect'!$G:$G</definedName>
    <definedName name="Z_5826E3E6_173D_429F_ABE1_D868EE9E034B_.wvu.PrintArea" localSheetId="13" hidden="1">' 11-BU Perf'!$B$4:$S$20</definedName>
    <definedName name="Z_5826E3E6_173D_429F_ABE1_D868EE9E034B_.wvu.PrintArea" localSheetId="14" hidden="1">'15-per Store 16-17'!$A$1:$U$49</definedName>
    <definedName name="Z_5826E3E6_173D_429F_ABE1_D868EE9E034B_.wvu.PrintArea" localSheetId="3" hidden="1">'3_Fin-Stat'!$A$1:$R$458</definedName>
    <definedName name="Z_5826E3E6_173D_429F_ABE1_D868EE9E034B_.wvu.PrintArea" localSheetId="9" hidden="1">'Econ-Perf 1'!$A$4:$R$41</definedName>
    <definedName name="Z_5826E3E6_173D_429F_ABE1_D868EE9E034B_.wvu.PrintArea" localSheetId="10" hidden="1">'Econ-Perf 2'!$A$4:$V$73</definedName>
    <definedName name="Z_5826E3E6_173D_429F_ABE1_D868EE9E034B_.wvu.PrintArea" localSheetId="11" hidden="1">'Mark-Expect'!$A$4:$T$67</definedName>
    <definedName name="Z_5826E3E6_173D_429F_ABE1_D868EE9E034B_.wvu.PrintArea" localSheetId="21" hidden="1">'Old Fin'!#REF!</definedName>
    <definedName name="Z_5826E3E6_173D_429F_ABE1_D868EE9E034B_.wvu.PrintArea" localSheetId="26" hidden="1">Tables!$A$1:$J$27</definedName>
    <definedName name="Z_5826E3E6_173D_429F_ABE1_D868EE9E034B_.wvu.PrintArea" localSheetId="12" hidden="1">TSR!$A$4:$U$52</definedName>
    <definedName name="Z_5826E3E6_173D_429F_ABE1_D868EE9E034B_.wvu.PrintArea" localSheetId="24" hidden="1">'xx-WHS Metrics'!$A$5:$P$47</definedName>
    <definedName name="Z_5826E3E6_173D_429F_ABE1_D868EE9E034B_.wvu.Rows" localSheetId="2" hidden="1">'2_Inc-Stat'!$435:$451</definedName>
    <definedName name="Z_5826E3E6_173D_429F_ABE1_D868EE9E034B_.wvu.Rows" localSheetId="24" hidden="1">'xx-WHS Metrics'!$48:$61</definedName>
  </definedNames>
  <calcPr calcId="191028"/>
  <customWorkbookViews>
    <customWorkbookView name="Contents" guid="{5826E3E6-173D-429F-ABE1-D868EE9E034B}" maximized="1" xWindow="4365" yWindow="-13" windowWidth="3098" windowHeight="1674" tabRatio="1000" activeSheetId="14"/>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 i="78" l="1"/>
  <c r="M44" i="14"/>
  <c r="G387" i="8" l="1"/>
  <c r="H387" i="8"/>
  <c r="I387" i="8"/>
  <c r="J387" i="8"/>
  <c r="K387" i="8"/>
  <c r="L387" i="8"/>
  <c r="M387" i="8"/>
  <c r="N387" i="8"/>
  <c r="O387" i="8"/>
  <c r="P387" i="8"/>
  <c r="Q387" i="8"/>
  <c r="R387" i="8"/>
  <c r="S387" i="8"/>
  <c r="T387" i="8"/>
  <c r="U387" i="8"/>
  <c r="V387" i="8"/>
  <c r="W387" i="8"/>
  <c r="X387" i="8"/>
  <c r="Y387" i="8"/>
  <c r="Z387" i="8"/>
  <c r="AA387" i="8"/>
  <c r="AB387" i="8"/>
  <c r="F387" i="8"/>
  <c r="O266" i="3"/>
  <c r="P266" i="3"/>
  <c r="Q266" i="3"/>
  <c r="R266" i="3"/>
  <c r="S266" i="3"/>
  <c r="T266" i="3"/>
  <c r="U266" i="3"/>
  <c r="V266" i="3"/>
  <c r="W266" i="3"/>
  <c r="X266" i="3"/>
  <c r="Y266" i="3"/>
  <c r="Z266" i="3"/>
  <c r="AA266" i="3"/>
  <c r="AB266" i="3"/>
  <c r="AA238" i="3"/>
  <c r="AB238" i="3"/>
  <c r="N42" i="3"/>
  <c r="O42" i="3"/>
  <c r="P42" i="3"/>
  <c r="Q42" i="3"/>
  <c r="R42" i="3"/>
  <c r="S42" i="3"/>
  <c r="T42" i="3"/>
  <c r="U42" i="3"/>
  <c r="V42" i="3"/>
  <c r="W42" i="3"/>
  <c r="X42" i="3"/>
  <c r="Y42" i="3"/>
  <c r="Z42" i="3"/>
  <c r="AA42" i="3"/>
  <c r="AB42" i="3"/>
  <c r="AC147" i="3"/>
  <c r="AB327" i="8"/>
  <c r="AA327" i="8"/>
  <c r="AB429" i="8"/>
  <c r="AB419" i="8"/>
  <c r="AA429" i="8"/>
  <c r="AB194" i="8"/>
  <c r="AB502" i="8"/>
  <c r="AB237" i="8"/>
  <c r="AB81" i="8"/>
  <c r="AB84" i="8" s="1"/>
  <c r="AB282" i="8"/>
  <c r="AB304" i="8" s="1"/>
  <c r="AB316" i="8" s="1"/>
  <c r="AB13" i="57"/>
  <c r="AB11" i="57"/>
  <c r="AB417" i="8"/>
  <c r="AB411" i="8"/>
  <c r="AB365" i="8"/>
  <c r="AB560" i="8"/>
  <c r="AB547" i="8"/>
  <c r="AB534" i="8"/>
  <c r="AB521" i="8"/>
  <c r="AB514" i="8"/>
  <c r="AB491" i="8"/>
  <c r="AB449" i="8"/>
  <c r="AB388" i="8"/>
  <c r="AB210" i="8"/>
  <c r="AB214" i="8"/>
  <c r="AB397" i="8"/>
  <c r="AB403" i="8" s="1"/>
  <c r="AB359" i="8"/>
  <c r="AB346" i="8"/>
  <c r="AB290" i="8"/>
  <c r="AB309" i="8" s="1"/>
  <c r="AB320" i="8" s="1"/>
  <c r="AB59" i="8" s="1"/>
  <c r="AB272" i="8"/>
  <c r="AB299" i="8" s="1"/>
  <c r="AB265" i="8"/>
  <c r="AB298" i="8" s="1"/>
  <c r="AB257" i="8"/>
  <c r="AB236" i="8"/>
  <c r="AB230" i="8"/>
  <c r="AB226" i="8"/>
  <c r="AB222" i="8"/>
  <c r="AB218" i="8"/>
  <c r="AB206" i="8"/>
  <c r="AB178" i="8"/>
  <c r="AB154" i="8"/>
  <c r="AB158" i="8"/>
  <c r="AB150" i="8"/>
  <c r="AB146" i="8"/>
  <c r="AB142" i="8"/>
  <c r="AB166" i="8"/>
  <c r="AB167" i="8"/>
  <c r="AB170" i="8"/>
  <c r="AB39" i="8" s="1"/>
  <c r="AB171" i="8"/>
  <c r="AB40" i="8" s="1"/>
  <c r="AB161" i="8"/>
  <c r="AB33" i="8" s="1"/>
  <c r="AB162" i="8"/>
  <c r="AB34" i="8" s="1"/>
  <c r="AB163" i="8"/>
  <c r="AB7" i="8"/>
  <c r="AB23" i="8" l="1"/>
  <c r="AB36" i="8"/>
  <c r="AB234" i="8"/>
  <c r="AB41" i="8"/>
  <c r="AB35" i="8"/>
  <c r="AB303" i="8"/>
  <c r="AB172" i="8"/>
  <c r="AB238" i="8"/>
  <c r="AB300" i="8"/>
  <c r="AB273" i="8"/>
  <c r="AB308" i="8"/>
  <c r="AB319" i="8" s="1"/>
  <c r="AB413" i="8"/>
  <c r="AB291" i="8"/>
  <c r="AB549" i="8"/>
  <c r="AB523" i="8"/>
  <c r="AB562" i="8" s="1"/>
  <c r="AB569" i="8" s="1"/>
  <c r="AB451" i="8"/>
  <c r="AB384" i="8"/>
  <c r="AB405" i="8"/>
  <c r="AB406" i="8" s="1"/>
  <c r="AB164" i="8"/>
  <c r="AB168" i="8"/>
  <c r="AB37" i="8" l="1"/>
  <c r="AB43" i="8" s="1"/>
  <c r="AB174" i="8"/>
  <c r="AB305" i="8"/>
  <c r="AB315" i="8"/>
  <c r="AB321" i="8"/>
  <c r="AB68" i="8"/>
  <c r="AB310" i="8"/>
  <c r="AB312" i="8" l="1"/>
  <c r="AB317" i="8"/>
  <c r="AB322" i="8" s="1"/>
  <c r="AB29" i="8"/>
  <c r="AB313" i="8"/>
  <c r="AB323" i="8"/>
  <c r="AB131" i="8" l="1"/>
  <c r="AB72" i="8"/>
  <c r="AB64" i="8"/>
  <c r="AB175" i="8"/>
  <c r="AB9" i="8"/>
  <c r="AB14" i="8"/>
  <c r="AB25" i="8" s="1"/>
  <c r="AB149" i="3"/>
  <c r="AB161" i="3" s="1"/>
  <c r="AB214" i="3"/>
  <c r="AB222" i="3" s="1"/>
  <c r="AB225" i="3"/>
  <c r="AB182" i="3"/>
  <c r="AB197" i="3" s="1"/>
  <c r="AB11" i="3"/>
  <c r="AB21" i="3"/>
  <c r="AB23" i="3" s="1"/>
  <c r="AB43" i="3"/>
  <c r="AB51" i="3"/>
  <c r="AB57" i="3"/>
  <c r="G98" i="73"/>
  <c r="L88" i="72"/>
  <c r="L90" i="72" s="1"/>
  <c r="M88" i="72"/>
  <c r="M90" i="72" s="1"/>
  <c r="K88" i="72"/>
  <c r="K90" i="72" s="1"/>
  <c r="J90" i="72"/>
  <c r="I90" i="72"/>
  <c r="H90" i="72"/>
  <c r="Q327" i="8"/>
  <c r="R327" i="8"/>
  <c r="S327" i="8"/>
  <c r="T327" i="8"/>
  <c r="U327" i="8"/>
  <c r="V327" i="8"/>
  <c r="W327" i="8"/>
  <c r="X327" i="8"/>
  <c r="Y327" i="8"/>
  <c r="Z327" i="8"/>
  <c r="O327" i="8"/>
  <c r="P327" i="8"/>
  <c r="R265" i="8"/>
  <c r="V265" i="8"/>
  <c r="W265" i="8"/>
  <c r="X265" i="8"/>
  <c r="AA265" i="8"/>
  <c r="S9" i="8"/>
  <c r="R9" i="8"/>
  <c r="U9" i="8"/>
  <c r="V9" i="8"/>
  <c r="W9" i="8"/>
  <c r="X9" i="8"/>
  <c r="Y9" i="8"/>
  <c r="Z9" i="8"/>
  <c r="AA9" i="8"/>
  <c r="G104" i="3"/>
  <c r="H104" i="3"/>
  <c r="I104" i="3"/>
  <c r="J104" i="3"/>
  <c r="K104" i="3"/>
  <c r="L104" i="3"/>
  <c r="M104" i="3"/>
  <c r="M97" i="3"/>
  <c r="M55" i="8"/>
  <c r="F104" i="3"/>
  <c r="AA21" i="3"/>
  <c r="AB45" i="8" l="1"/>
  <c r="AB86" i="8"/>
  <c r="AB45" i="3"/>
  <c r="AB226" i="3"/>
  <c r="AB227" i="3" s="1"/>
  <c r="G9" i="8"/>
  <c r="H9" i="8"/>
  <c r="I9" i="8"/>
  <c r="J9" i="8"/>
  <c r="K9" i="8"/>
  <c r="L9" i="8"/>
  <c r="N9" i="8"/>
  <c r="O9" i="8"/>
  <c r="P9" i="8"/>
  <c r="Q9" i="8"/>
  <c r="AB87" i="8" l="1"/>
  <c r="AB53" i="3"/>
  <c r="AB59" i="3" s="1"/>
  <c r="AB485" i="8" s="1"/>
  <c r="AB492" i="8" s="1"/>
  <c r="AB501" i="8" s="1"/>
  <c r="AB168" i="3" l="1"/>
  <c r="AB143" i="3"/>
  <c r="AB163" i="3" s="1"/>
  <c r="AB65" i="3"/>
  <c r="AB67" i="3" s="1"/>
  <c r="AB68" i="3" s="1"/>
  <c r="AB62" i="3"/>
  <c r="N117" i="73" l="1"/>
  <c r="M117" i="73"/>
  <c r="L117" i="73"/>
  <c r="K117" i="73"/>
  <c r="J117" i="73"/>
  <c r="I117" i="73"/>
  <c r="H117" i="73"/>
  <c r="G117" i="73"/>
  <c r="F117" i="73"/>
  <c r="N113" i="73"/>
  <c r="M113" i="73"/>
  <c r="L113" i="73"/>
  <c r="K113" i="73"/>
  <c r="J113" i="73"/>
  <c r="I113" i="73"/>
  <c r="H113" i="73"/>
  <c r="G113" i="73"/>
  <c r="F113" i="73"/>
  <c r="N109" i="73"/>
  <c r="M109" i="73"/>
  <c r="L109" i="73"/>
  <c r="K109" i="73"/>
  <c r="J109" i="73"/>
  <c r="I109" i="73"/>
  <c r="H109" i="73"/>
  <c r="G109" i="73"/>
  <c r="F109" i="73"/>
  <c r="N105" i="73"/>
  <c r="M105" i="73"/>
  <c r="L105" i="73"/>
  <c r="K105" i="73"/>
  <c r="J105" i="73"/>
  <c r="I105" i="73"/>
  <c r="H105" i="73"/>
  <c r="G105" i="73"/>
  <c r="F105" i="73"/>
  <c r="N99" i="73"/>
  <c r="G99" i="73"/>
  <c r="N98" i="73"/>
  <c r="N100" i="73" s="1"/>
  <c r="G100" i="73"/>
  <c r="P80" i="73"/>
  <c r="P82" i="73" s="1"/>
  <c r="O80" i="73"/>
  <c r="P75" i="73"/>
  <c r="I75" i="73"/>
  <c r="O73" i="73"/>
  <c r="H73" i="73"/>
  <c r="L72" i="73"/>
  <c r="Q71" i="73"/>
  <c r="P71" i="73"/>
  <c r="P78" i="73" s="1"/>
  <c r="P81" i="73" s="1"/>
  <c r="J71" i="73"/>
  <c r="K71" i="73" s="1"/>
  <c r="I71" i="73"/>
  <c r="P69" i="73"/>
  <c r="I69" i="73"/>
  <c r="R68" i="73"/>
  <c r="O68" i="73"/>
  <c r="K68" i="73"/>
  <c r="H68" i="73"/>
  <c r="Q67" i="73"/>
  <c r="Q69" i="73" s="1"/>
  <c r="R69" i="73" s="1"/>
  <c r="J67" i="73"/>
  <c r="J69" i="73" s="1"/>
  <c r="K69" i="73" s="1"/>
  <c r="P66" i="73"/>
  <c r="I66" i="73"/>
  <c r="P64" i="73"/>
  <c r="I64" i="73"/>
  <c r="R63" i="73"/>
  <c r="O63" i="73"/>
  <c r="K63" i="73"/>
  <c r="H63" i="73"/>
  <c r="Q62" i="73"/>
  <c r="Q64" i="73" s="1"/>
  <c r="R64" i="73" s="1"/>
  <c r="J62" i="73"/>
  <c r="J64" i="73" s="1"/>
  <c r="K64" i="73" s="1"/>
  <c r="P61" i="73"/>
  <c r="I61" i="73"/>
  <c r="P59" i="73"/>
  <c r="I59" i="73"/>
  <c r="R58" i="73"/>
  <c r="O58" i="73"/>
  <c r="K58" i="73"/>
  <c r="H58" i="73"/>
  <c r="Q57" i="73"/>
  <c r="Q59" i="73" s="1"/>
  <c r="R59" i="73" s="1"/>
  <c r="J57" i="73"/>
  <c r="J59" i="73" s="1"/>
  <c r="K59" i="73" s="1"/>
  <c r="P56" i="73"/>
  <c r="I56" i="73"/>
  <c r="P54" i="73"/>
  <c r="I54" i="73"/>
  <c r="R53" i="73"/>
  <c r="O53" i="73"/>
  <c r="K53" i="73"/>
  <c r="H53" i="73"/>
  <c r="Q52" i="73"/>
  <c r="Q54" i="73" s="1"/>
  <c r="J52" i="73"/>
  <c r="J54" i="73" s="1"/>
  <c r="P51" i="73"/>
  <c r="I51" i="73"/>
  <c r="N48" i="73"/>
  <c r="M48" i="73"/>
  <c r="L48" i="73"/>
  <c r="E42" i="73"/>
  <c r="M75" i="8"/>
  <c r="M228" i="8"/>
  <c r="AA560" i="8"/>
  <c r="Z560" i="8"/>
  <c r="Y560" i="8"/>
  <c r="X560" i="8"/>
  <c r="W560" i="8"/>
  <c r="V560" i="8"/>
  <c r="U560" i="8"/>
  <c r="T560" i="8"/>
  <c r="S560" i="8"/>
  <c r="R560" i="8"/>
  <c r="Q560" i="8"/>
  <c r="P560" i="8"/>
  <c r="O560" i="8"/>
  <c r="N560" i="8"/>
  <c r="M560" i="8"/>
  <c r="L560" i="8"/>
  <c r="G560" i="8"/>
  <c r="F560" i="8"/>
  <c r="K554" i="8"/>
  <c r="K560" i="8" s="1"/>
  <c r="J552" i="8"/>
  <c r="J560" i="8" s="1"/>
  <c r="I552" i="8"/>
  <c r="I560" i="8" s="1"/>
  <c r="H552" i="8"/>
  <c r="H560" i="8" s="1"/>
  <c r="AA547" i="8"/>
  <c r="Z547" i="8"/>
  <c r="Y547" i="8"/>
  <c r="X547" i="8"/>
  <c r="W547" i="8"/>
  <c r="V547" i="8"/>
  <c r="U547" i="8"/>
  <c r="T547" i="8"/>
  <c r="S547" i="8"/>
  <c r="R547" i="8"/>
  <c r="Q547" i="8"/>
  <c r="P547" i="8"/>
  <c r="O547" i="8"/>
  <c r="N547" i="8"/>
  <c r="M547" i="8"/>
  <c r="L547" i="8"/>
  <c r="K547" i="8"/>
  <c r="J547" i="8"/>
  <c r="I547" i="8"/>
  <c r="H547" i="8"/>
  <c r="G547" i="8"/>
  <c r="F547" i="8"/>
  <c r="AA534" i="8"/>
  <c r="Z534" i="8"/>
  <c r="Y534" i="8"/>
  <c r="X534" i="8"/>
  <c r="W534" i="8"/>
  <c r="V534" i="8"/>
  <c r="U534" i="8"/>
  <c r="T534" i="8"/>
  <c r="S534" i="8"/>
  <c r="R534" i="8"/>
  <c r="Q534" i="8"/>
  <c r="P534" i="8"/>
  <c r="O534" i="8"/>
  <c r="N534" i="8"/>
  <c r="M534" i="8"/>
  <c r="L534" i="8"/>
  <c r="K534" i="8"/>
  <c r="J534" i="8"/>
  <c r="I534" i="8"/>
  <c r="H534" i="8"/>
  <c r="G534" i="8"/>
  <c r="F534" i="8"/>
  <c r="AA521" i="8"/>
  <c r="Z521" i="8"/>
  <c r="Y521" i="8"/>
  <c r="X521" i="8"/>
  <c r="W521" i="8"/>
  <c r="V521" i="8"/>
  <c r="U521" i="8"/>
  <c r="T521" i="8"/>
  <c r="S521" i="8"/>
  <c r="R521" i="8"/>
  <c r="Q521" i="8"/>
  <c r="P521" i="8"/>
  <c r="O521" i="8"/>
  <c r="N521" i="8"/>
  <c r="M521" i="8"/>
  <c r="L521" i="8"/>
  <c r="K521" i="8"/>
  <c r="J521" i="8"/>
  <c r="I521" i="8"/>
  <c r="H521" i="8"/>
  <c r="G521" i="8"/>
  <c r="F521" i="8"/>
  <c r="AA514" i="8"/>
  <c r="Z514" i="8"/>
  <c r="Y514" i="8"/>
  <c r="X514" i="8"/>
  <c r="W514" i="8"/>
  <c r="V514" i="8"/>
  <c r="U514" i="8"/>
  <c r="T514" i="8"/>
  <c r="S514" i="8"/>
  <c r="R514" i="8"/>
  <c r="Q514" i="8"/>
  <c r="P514" i="8"/>
  <c r="O514" i="8"/>
  <c r="N514" i="8"/>
  <c r="M514" i="8"/>
  <c r="L514" i="8"/>
  <c r="K514" i="8"/>
  <c r="J514" i="8"/>
  <c r="I514" i="8"/>
  <c r="H514" i="8"/>
  <c r="G514" i="8"/>
  <c r="F514" i="8"/>
  <c r="O507" i="8"/>
  <c r="P507" i="8" s="1"/>
  <c r="Q507" i="8" s="1"/>
  <c r="R507" i="8" s="1"/>
  <c r="S507" i="8" s="1"/>
  <c r="T507" i="8" s="1"/>
  <c r="U507" i="8" s="1"/>
  <c r="V507" i="8" s="1"/>
  <c r="W507" i="8" s="1"/>
  <c r="X507" i="8" s="1"/>
  <c r="Y507" i="8" s="1"/>
  <c r="Z507" i="8" s="1"/>
  <c r="AA507" i="8" s="1"/>
  <c r="AB507" i="8" s="1"/>
  <c r="G507" i="8"/>
  <c r="H507" i="8" s="1"/>
  <c r="I507" i="8" s="1"/>
  <c r="J507" i="8" s="1"/>
  <c r="K507" i="8" s="1"/>
  <c r="L507" i="8" s="1"/>
  <c r="M507" i="8" s="1"/>
  <c r="G506" i="8"/>
  <c r="H506" i="8" s="1"/>
  <c r="I506" i="8" s="1"/>
  <c r="J506" i="8" s="1"/>
  <c r="K506" i="8" s="1"/>
  <c r="L506" i="8" s="1"/>
  <c r="M506" i="8" s="1"/>
  <c r="N506" i="8" s="1"/>
  <c r="O506" i="8" s="1"/>
  <c r="P506" i="8" s="1"/>
  <c r="Q506" i="8" s="1"/>
  <c r="R506" i="8" s="1"/>
  <c r="S506" i="8" s="1"/>
  <c r="T506" i="8" s="1"/>
  <c r="U506" i="8" s="1"/>
  <c r="V506" i="8" s="1"/>
  <c r="W506" i="8" s="1"/>
  <c r="X506" i="8" s="1"/>
  <c r="Y506" i="8" s="1"/>
  <c r="Z506" i="8" s="1"/>
  <c r="AA506" i="8" s="1"/>
  <c r="AB506" i="8" s="1"/>
  <c r="G480" i="8"/>
  <c r="H480" i="8" s="1"/>
  <c r="I480" i="8" s="1"/>
  <c r="J480" i="8" s="1"/>
  <c r="K480" i="8" s="1"/>
  <c r="L480" i="8" s="1"/>
  <c r="M480" i="8" s="1"/>
  <c r="N480" i="8" s="1"/>
  <c r="O480" i="8" s="1"/>
  <c r="P480" i="8" s="1"/>
  <c r="Q480" i="8" s="1"/>
  <c r="R480" i="8" s="1"/>
  <c r="S480" i="8" s="1"/>
  <c r="T480" i="8" s="1"/>
  <c r="U480" i="8" s="1"/>
  <c r="V480" i="8" s="1"/>
  <c r="W480" i="8" s="1"/>
  <c r="X480" i="8" s="1"/>
  <c r="Y480" i="8" s="1"/>
  <c r="Z480" i="8" s="1"/>
  <c r="AA480" i="8" s="1"/>
  <c r="AB480" i="8" s="1"/>
  <c r="F481" i="8"/>
  <c r="N481" i="8"/>
  <c r="Z491" i="8"/>
  <c r="AA491" i="8"/>
  <c r="AB503" i="8"/>
  <c r="G502" i="8"/>
  <c r="H502" i="8"/>
  <c r="I502" i="8"/>
  <c r="J502" i="8"/>
  <c r="K502" i="8"/>
  <c r="L502" i="8"/>
  <c r="M502" i="8"/>
  <c r="N502" i="8"/>
  <c r="O502" i="8"/>
  <c r="P502" i="8"/>
  <c r="Q502" i="8"/>
  <c r="R502" i="8"/>
  <c r="T502" i="8"/>
  <c r="U502" i="8"/>
  <c r="V502" i="8"/>
  <c r="W502" i="8"/>
  <c r="X502" i="8"/>
  <c r="Y502" i="8"/>
  <c r="Z502" i="8"/>
  <c r="AA502" i="8"/>
  <c r="O1" i="73"/>
  <c r="P1" i="73" s="1"/>
  <c r="Q1" i="73" s="1"/>
  <c r="R1" i="73" s="1"/>
  <c r="S1" i="73" s="1"/>
  <c r="T1" i="73" s="1"/>
  <c r="U1" i="73" s="1"/>
  <c r="V1" i="73" s="1"/>
  <c r="W1" i="73" s="1"/>
  <c r="X1" i="73" s="1"/>
  <c r="Y1" i="73" s="1"/>
  <c r="Z1" i="73" s="1"/>
  <c r="AA1" i="73" s="1"/>
  <c r="AB1" i="73" s="1"/>
  <c r="G1" i="73"/>
  <c r="H1" i="73" s="1"/>
  <c r="I1" i="73" s="1"/>
  <c r="J1" i="73" s="1"/>
  <c r="K1" i="73" s="1"/>
  <c r="L1" i="73" s="1"/>
  <c r="M1" i="73" s="1"/>
  <c r="X256" i="8"/>
  <c r="X255" i="8"/>
  <c r="W255" i="8"/>
  <c r="W256" i="8"/>
  <c r="V256" i="8"/>
  <c r="V255" i="8"/>
  <c r="T268" i="8"/>
  <c r="N271" i="8"/>
  <c r="O271" i="8"/>
  <c r="O272" i="8" s="1"/>
  <c r="P271" i="8"/>
  <c r="P272" i="8" s="1"/>
  <c r="Q271" i="8"/>
  <c r="Q272" i="8" s="1"/>
  <c r="R271" i="8"/>
  <c r="R272" i="8" s="1"/>
  <c r="S271" i="8"/>
  <c r="U271" i="8"/>
  <c r="V271" i="8"/>
  <c r="V272" i="8" s="1"/>
  <c r="W272" i="8"/>
  <c r="X272" i="8"/>
  <c r="Y272" i="8"/>
  <c r="Z272" i="8"/>
  <c r="AA272" i="8"/>
  <c r="Y277" i="8"/>
  <c r="Z277" i="8"/>
  <c r="N278" i="8"/>
  <c r="N282" i="8" s="1"/>
  <c r="O278" i="8"/>
  <c r="O282" i="8" s="1"/>
  <c r="P278" i="8"/>
  <c r="P282" i="8" s="1"/>
  <c r="Q278" i="8"/>
  <c r="Q282" i="8" s="1"/>
  <c r="R278" i="8"/>
  <c r="R282" i="8" s="1"/>
  <c r="T278" i="8"/>
  <c r="T282" i="8" s="1"/>
  <c r="W281" i="8"/>
  <c r="W282" i="8" s="1"/>
  <c r="X281" i="8"/>
  <c r="X282" i="8" s="1"/>
  <c r="Y281" i="8"/>
  <c r="Z281" i="8"/>
  <c r="S282" i="8"/>
  <c r="U282" i="8"/>
  <c r="V282" i="8"/>
  <c r="AA282" i="8"/>
  <c r="X285" i="8"/>
  <c r="Y285" i="8"/>
  <c r="Z285" i="8"/>
  <c r="F549" i="8" l="1"/>
  <c r="N549" i="8"/>
  <c r="U549" i="8"/>
  <c r="V549" i="8"/>
  <c r="I549" i="8"/>
  <c r="Q549" i="8"/>
  <c r="Y549" i="8"/>
  <c r="H549" i="8"/>
  <c r="P549" i="8"/>
  <c r="X549" i="8"/>
  <c r="K549" i="8"/>
  <c r="S549" i="8"/>
  <c r="AA549" i="8"/>
  <c r="AA273" i="8"/>
  <c r="J549" i="8"/>
  <c r="R549" i="8"/>
  <c r="Z549" i="8"/>
  <c r="L549" i="8"/>
  <c r="T549" i="8"/>
  <c r="G549" i="8"/>
  <c r="O549" i="8"/>
  <c r="W549" i="8"/>
  <c r="M549" i="8"/>
  <c r="R54" i="73"/>
  <c r="R75" i="73" s="1"/>
  <c r="Q75" i="73"/>
  <c r="Q77" i="73" s="1"/>
  <c r="Q78" i="73" s="1"/>
  <c r="P83" i="73"/>
  <c r="J75" i="73"/>
  <c r="J76" i="73" s="1"/>
  <c r="K54" i="73"/>
  <c r="K75" i="73" s="1"/>
  <c r="K76" i="73" s="1"/>
  <c r="L52" i="73"/>
  <c r="L71" i="73" s="1"/>
  <c r="L73" i="73" s="1"/>
  <c r="L57" i="73"/>
  <c r="L62" i="73"/>
  <c r="L67" i="73"/>
  <c r="S52" i="73"/>
  <c r="S57" i="73"/>
  <c r="S62" i="73"/>
  <c r="S67" i="73"/>
  <c r="R71" i="73"/>
  <c r="F523" i="8"/>
  <c r="F562" i="8" s="1"/>
  <c r="F569" i="8" s="1"/>
  <c r="F571" i="8" s="1"/>
  <c r="N523" i="8"/>
  <c r="N562" i="8" s="1"/>
  <c r="N569" i="8" s="1"/>
  <c r="N571" i="8" s="1"/>
  <c r="V523" i="8"/>
  <c r="V562" i="8" s="1"/>
  <c r="V569" i="8" s="1"/>
  <c r="X523" i="8"/>
  <c r="X562" i="8" s="1"/>
  <c r="X569" i="8" s="1"/>
  <c r="J523" i="8"/>
  <c r="J562" i="8" s="1"/>
  <c r="J569" i="8" s="1"/>
  <c r="J571" i="8" s="1"/>
  <c r="R523" i="8"/>
  <c r="R562" i="8" s="1"/>
  <c r="R569" i="8" s="1"/>
  <c r="Z523" i="8"/>
  <c r="Z562" i="8" s="1"/>
  <c r="Z569" i="8" s="1"/>
  <c r="G523" i="8"/>
  <c r="G562" i="8" s="1"/>
  <c r="G569" i="8" s="1"/>
  <c r="G571" i="8" s="1"/>
  <c r="O523" i="8"/>
  <c r="O562" i="8" s="1"/>
  <c r="O569" i="8" s="1"/>
  <c r="W523" i="8"/>
  <c r="W562" i="8" s="1"/>
  <c r="W569" i="8" s="1"/>
  <c r="H523" i="8"/>
  <c r="H562" i="8" s="1"/>
  <c r="H569" i="8" s="1"/>
  <c r="H571" i="8" s="1"/>
  <c r="P523" i="8"/>
  <c r="P562" i="8" s="1"/>
  <c r="P569" i="8" s="1"/>
  <c r="L523" i="8"/>
  <c r="L562" i="8" s="1"/>
  <c r="L569" i="8" s="1"/>
  <c r="T523" i="8"/>
  <c r="T562" i="8" s="1"/>
  <c r="T569" i="8" s="1"/>
  <c r="M523" i="8"/>
  <c r="M562" i="8" s="1"/>
  <c r="M569" i="8" s="1"/>
  <c r="U523" i="8"/>
  <c r="U562" i="8" s="1"/>
  <c r="U569" i="8" s="1"/>
  <c r="I523" i="8"/>
  <c r="I562" i="8" s="1"/>
  <c r="I569" i="8" s="1"/>
  <c r="I571" i="8" s="1"/>
  <c r="Q523" i="8"/>
  <c r="Q562" i="8" s="1"/>
  <c r="Q569" i="8" s="1"/>
  <c r="Y523" i="8"/>
  <c r="Y562" i="8" s="1"/>
  <c r="Y569" i="8" s="1"/>
  <c r="K523" i="8"/>
  <c r="K562" i="8" s="1"/>
  <c r="K569" i="8" s="1"/>
  <c r="K571" i="8" s="1"/>
  <c r="S523" i="8"/>
  <c r="S562" i="8" s="1"/>
  <c r="S569" i="8" s="1"/>
  <c r="AA523" i="8"/>
  <c r="AA562" i="8" s="1"/>
  <c r="AA569" i="8" s="1"/>
  <c r="Z282" i="8"/>
  <c r="Y282" i="8"/>
  <c r="W273" i="8"/>
  <c r="X273" i="8"/>
  <c r="AA194" i="8"/>
  <c r="Z194" i="8"/>
  <c r="Y194" i="8"/>
  <c r="X194" i="8"/>
  <c r="W194" i="8"/>
  <c r="V194" i="8"/>
  <c r="U194" i="8"/>
  <c r="H178" i="8"/>
  <c r="I178" i="8"/>
  <c r="J178" i="8"/>
  <c r="K178" i="8"/>
  <c r="L178" i="8"/>
  <c r="M178" i="8"/>
  <c r="N178" i="8"/>
  <c r="O178" i="8"/>
  <c r="P178" i="8"/>
  <c r="Q178" i="8"/>
  <c r="R178" i="8"/>
  <c r="S178" i="8"/>
  <c r="T178" i="8"/>
  <c r="U178" i="8"/>
  <c r="V178" i="8"/>
  <c r="W178" i="8"/>
  <c r="X178" i="8"/>
  <c r="Y178" i="8"/>
  <c r="Z178" i="8"/>
  <c r="AA178" i="8"/>
  <c r="G237" i="8"/>
  <c r="H237" i="8"/>
  <c r="I237" i="8"/>
  <c r="J237" i="8"/>
  <c r="K237" i="8"/>
  <c r="L237" i="8"/>
  <c r="M237" i="8"/>
  <c r="N237" i="8"/>
  <c r="O237" i="8"/>
  <c r="P237" i="8"/>
  <c r="Q237" i="8"/>
  <c r="R237" i="8"/>
  <c r="S237" i="8"/>
  <c r="T237" i="8"/>
  <c r="U237" i="8"/>
  <c r="V237" i="8"/>
  <c r="W237" i="8"/>
  <c r="X237" i="8"/>
  <c r="Y237" i="8"/>
  <c r="Z237" i="8"/>
  <c r="AA237" i="8"/>
  <c r="F237" i="8"/>
  <c r="G236" i="8"/>
  <c r="H236" i="8"/>
  <c r="I236" i="8"/>
  <c r="J236" i="8"/>
  <c r="K236" i="8"/>
  <c r="L236" i="8"/>
  <c r="M236" i="8"/>
  <c r="N236" i="8"/>
  <c r="O236" i="8"/>
  <c r="P236" i="8"/>
  <c r="Q236" i="8"/>
  <c r="R236" i="8"/>
  <c r="S236" i="8"/>
  <c r="T236" i="8"/>
  <c r="U236" i="8"/>
  <c r="V236" i="8"/>
  <c r="W236" i="8"/>
  <c r="X236" i="8"/>
  <c r="Y236" i="8"/>
  <c r="Z236" i="8"/>
  <c r="AA236" i="8"/>
  <c r="F236" i="8"/>
  <c r="S71" i="73" l="1"/>
  <c r="R76" i="73"/>
  <c r="W298" i="8"/>
  <c r="X298" i="8"/>
  <c r="N238" i="8"/>
  <c r="J238" i="8"/>
  <c r="R238" i="8"/>
  <c r="Z238" i="8"/>
  <c r="O238" i="8"/>
  <c r="W238" i="8"/>
  <c r="G238" i="8"/>
  <c r="Y238" i="8"/>
  <c r="Q238" i="8"/>
  <c r="I238" i="8"/>
  <c r="H238" i="8"/>
  <c r="X238" i="8"/>
  <c r="V238" i="8"/>
  <c r="P238" i="8"/>
  <c r="M238" i="8"/>
  <c r="F238" i="8"/>
  <c r="T238" i="8"/>
  <c r="L238" i="8"/>
  <c r="S238" i="8"/>
  <c r="K238" i="8"/>
  <c r="U238" i="8"/>
  <c r="AA238" i="8"/>
  <c r="M129" i="8"/>
  <c r="M142" i="78"/>
  <c r="M143" i="78"/>
  <c r="M144" i="78"/>
  <c r="M145" i="78"/>
  <c r="K146" i="78"/>
  <c r="M147" i="78"/>
  <c r="M148" i="78"/>
  <c r="M149" i="78"/>
  <c r="M150" i="78"/>
  <c r="K151" i="78"/>
  <c r="M152" i="78"/>
  <c r="M153" i="78"/>
  <c r="M154" i="78"/>
  <c r="M155" i="78"/>
  <c r="M156" i="78"/>
  <c r="M157" i="78"/>
  <c r="M158" i="78"/>
  <c r="M159" i="78"/>
  <c r="K160" i="78"/>
  <c r="M160" i="78" s="1"/>
  <c r="M161" i="78"/>
  <c r="M163" i="78"/>
  <c r="M164" i="78"/>
  <c r="M165" i="78"/>
  <c r="M166" i="78"/>
  <c r="M167" i="78"/>
  <c r="M168" i="78"/>
  <c r="K169" i="78"/>
  <c r="M180" i="78"/>
  <c r="L182" i="78"/>
  <c r="A183" i="78"/>
  <c r="M187" i="78"/>
  <c r="M188" i="78"/>
  <c r="M189" i="78"/>
  <c r="M190" i="78"/>
  <c r="M191" i="78"/>
  <c r="M192" i="78"/>
  <c r="M193" i="78"/>
  <c r="M194" i="78"/>
  <c r="M195" i="78"/>
  <c r="K196" i="78"/>
  <c r="M196" i="78" s="1"/>
  <c r="M197" i="78"/>
  <c r="M198" i="78"/>
  <c r="M199" i="78"/>
  <c r="M200" i="78"/>
  <c r="M202" i="78"/>
  <c r="M203" i="78"/>
  <c r="M204" i="78"/>
  <c r="M205" i="78"/>
  <c r="M206" i="78"/>
  <c r="M207" i="78"/>
  <c r="M208" i="78"/>
  <c r="K209" i="78"/>
  <c r="M210" i="78"/>
  <c r="M211" i="78"/>
  <c r="K212" i="78"/>
  <c r="M212" i="78" s="1"/>
  <c r="M213" i="78"/>
  <c r="H214" i="78"/>
  <c r="M214" i="78"/>
  <c r="M215" i="78"/>
  <c r="M216" i="78"/>
  <c r="K217" i="78"/>
  <c r="M217" i="78" s="1"/>
  <c r="H219" i="78"/>
  <c r="M219" i="78"/>
  <c r="M220" i="78"/>
  <c r="L221" i="78"/>
  <c r="M96" i="8"/>
  <c r="R96" i="8"/>
  <c r="M97" i="8"/>
  <c r="R97" i="8"/>
  <c r="M98" i="8"/>
  <c r="R98" i="8"/>
  <c r="M99" i="8"/>
  <c r="R99" i="8"/>
  <c r="M100" i="8"/>
  <c r="R100" i="8"/>
  <c r="M101" i="8"/>
  <c r="R101" i="8"/>
  <c r="R102" i="8"/>
  <c r="K103" i="8"/>
  <c r="L103" i="8"/>
  <c r="P103" i="8"/>
  <c r="Q103" i="8"/>
  <c r="M106" i="8"/>
  <c r="R106" i="8"/>
  <c r="M107" i="8"/>
  <c r="R107" i="8"/>
  <c r="M108" i="8"/>
  <c r="R108" i="8"/>
  <c r="M109" i="8"/>
  <c r="M110" i="8"/>
  <c r="R110" i="8"/>
  <c r="M111" i="8"/>
  <c r="R111" i="8"/>
  <c r="M112" i="8"/>
  <c r="R112" i="8"/>
  <c r="M113" i="8"/>
  <c r="R113" i="8"/>
  <c r="K114" i="8"/>
  <c r="L114" i="8"/>
  <c r="P114" i="8"/>
  <c r="Q114" i="8"/>
  <c r="M117" i="8"/>
  <c r="R117" i="8"/>
  <c r="M118" i="8"/>
  <c r="R118" i="8"/>
  <c r="M119" i="8"/>
  <c r="R119" i="8"/>
  <c r="M120" i="8"/>
  <c r="R120" i="8"/>
  <c r="K121" i="8"/>
  <c r="L121" i="8"/>
  <c r="P121" i="8"/>
  <c r="Q121" i="8"/>
  <c r="M66" i="8"/>
  <c r="M68" i="8"/>
  <c r="M71" i="8"/>
  <c r="M20" i="8"/>
  <c r="M7" i="8"/>
  <c r="M9" i="8" s="1"/>
  <c r="I109" i="78"/>
  <c r="H108" i="78"/>
  <c r="I107" i="78"/>
  <c r="I106" i="78"/>
  <c r="G105" i="78"/>
  <c r="G108" i="78" s="1"/>
  <c r="I104" i="78"/>
  <c r="I103" i="78"/>
  <c r="I102" i="78"/>
  <c r="I101" i="78"/>
  <c r="I100" i="78"/>
  <c r="I99" i="78"/>
  <c r="I98" i="78"/>
  <c r="I97" i="78"/>
  <c r="G96" i="78"/>
  <c r="I95" i="78"/>
  <c r="I94" i="78"/>
  <c r="I93" i="78"/>
  <c r="I92" i="78"/>
  <c r="I91" i="78"/>
  <c r="I90" i="78"/>
  <c r="I89" i="78"/>
  <c r="I87" i="78"/>
  <c r="I86" i="78"/>
  <c r="I85" i="78"/>
  <c r="I84" i="78"/>
  <c r="G83" i="78"/>
  <c r="I83" i="78" s="1"/>
  <c r="I82" i="78"/>
  <c r="I81" i="78"/>
  <c r="I80" i="78"/>
  <c r="I79" i="78"/>
  <c r="I78" i="78"/>
  <c r="I77" i="78"/>
  <c r="I76" i="78"/>
  <c r="I75" i="78"/>
  <c r="I74" i="78"/>
  <c r="H69" i="78"/>
  <c r="I68" i="78"/>
  <c r="I67" i="78"/>
  <c r="G56" i="78"/>
  <c r="I55" i="78"/>
  <c r="I54" i="78"/>
  <c r="I53" i="78"/>
  <c r="I52" i="78"/>
  <c r="I51" i="78"/>
  <c r="I50" i="78"/>
  <c r="I48" i="78"/>
  <c r="G47" i="78"/>
  <c r="I47" i="78" s="1"/>
  <c r="I46" i="78"/>
  <c r="I45" i="78"/>
  <c r="I44" i="78"/>
  <c r="I43" i="78"/>
  <c r="I42" i="78"/>
  <c r="I41" i="78"/>
  <c r="I40" i="78"/>
  <c r="I39" i="78"/>
  <c r="G38" i="78"/>
  <c r="I37" i="78"/>
  <c r="I36" i="78"/>
  <c r="I35" i="78"/>
  <c r="I34" i="78"/>
  <c r="G33" i="78"/>
  <c r="I32" i="78"/>
  <c r="I31" i="78"/>
  <c r="I30" i="78"/>
  <c r="I29" i="78"/>
  <c r="V122" i="78"/>
  <c r="V135" i="78"/>
  <c r="V133" i="78"/>
  <c r="V132" i="78"/>
  <c r="V131" i="78"/>
  <c r="V130" i="78"/>
  <c r="V125" i="78"/>
  <c r="V124" i="78"/>
  <c r="V123" i="78"/>
  <c r="V119" i="78"/>
  <c r="V118" i="78"/>
  <c r="U120" i="78"/>
  <c r="T120" i="78"/>
  <c r="T127" i="78" s="1"/>
  <c r="T134" i="78" s="1"/>
  <c r="T136" i="78" s="1"/>
  <c r="AA1" i="78"/>
  <c r="H21" i="78"/>
  <c r="H15" i="78"/>
  <c r="O3" i="78"/>
  <c r="P3" i="78" s="1"/>
  <c r="Q3" i="78" s="1"/>
  <c r="R3" i="78" s="1"/>
  <c r="S3" i="78" s="1"/>
  <c r="T3" i="78" s="1"/>
  <c r="U3" i="78" s="1"/>
  <c r="V3" i="78" s="1"/>
  <c r="W3" i="78" s="1"/>
  <c r="X3" i="78" s="1"/>
  <c r="Y3" i="78" s="1"/>
  <c r="Z3" i="78" s="1"/>
  <c r="AA3" i="78" s="1"/>
  <c r="AB3" i="78" s="1"/>
  <c r="G3" i="78"/>
  <c r="H3" i="78" s="1"/>
  <c r="I3" i="78" s="1"/>
  <c r="J3" i="78" s="1"/>
  <c r="K3" i="78" s="1"/>
  <c r="L3" i="78" s="1"/>
  <c r="M3" i="78" s="1"/>
  <c r="G2" i="78"/>
  <c r="H2" i="78" s="1"/>
  <c r="I2" i="78" s="1"/>
  <c r="J2" i="78" s="1"/>
  <c r="K2" i="78" s="1"/>
  <c r="L2" i="78" s="1"/>
  <c r="M2" i="78" s="1"/>
  <c r="N2" i="78" s="1"/>
  <c r="O2" i="78" s="1"/>
  <c r="P2" i="78" s="1"/>
  <c r="Q2" i="78" s="1"/>
  <c r="R2" i="78" s="1"/>
  <c r="S2" i="78" s="1"/>
  <c r="T2" i="78" s="1"/>
  <c r="U2" i="78" s="1"/>
  <c r="V2" i="78" s="1"/>
  <c r="W2" i="78" s="1"/>
  <c r="X2" i="78" s="1"/>
  <c r="Y2" i="78" s="1"/>
  <c r="Z2" i="78" s="1"/>
  <c r="AA2" i="78" s="1"/>
  <c r="AB2" i="78" s="1"/>
  <c r="G88" i="72"/>
  <c r="H83" i="72" s="1"/>
  <c r="H88" i="72" s="1"/>
  <c r="J88" i="72"/>
  <c r="T72" i="72"/>
  <c r="T66" i="72"/>
  <c r="T53" i="72"/>
  <c r="T47" i="72"/>
  <c r="M29" i="72"/>
  <c r="M33" i="72" s="1"/>
  <c r="M35" i="72" s="1"/>
  <c r="J29" i="72"/>
  <c r="H13" i="72"/>
  <c r="H9" i="72"/>
  <c r="H14" i="72" s="1"/>
  <c r="AA459" i="8"/>
  <c r="G417" i="8"/>
  <c r="H417" i="8"/>
  <c r="I417" i="8"/>
  <c r="J417" i="8"/>
  <c r="K417" i="8"/>
  <c r="L417" i="8"/>
  <c r="O295" i="8"/>
  <c r="P295" i="8" s="1"/>
  <c r="Q295" i="8" s="1"/>
  <c r="R295" i="8" s="1"/>
  <c r="S295" i="8" s="1"/>
  <c r="T295" i="8" s="1"/>
  <c r="U295" i="8" s="1"/>
  <c r="V295" i="8" s="1"/>
  <c r="W295" i="8" s="1"/>
  <c r="X295" i="8" s="1"/>
  <c r="Y295" i="8" s="1"/>
  <c r="Z295" i="8" s="1"/>
  <c r="AA295" i="8" s="1"/>
  <c r="AB295" i="8" s="1"/>
  <c r="G295" i="8"/>
  <c r="H295" i="8" s="1"/>
  <c r="I295" i="8" s="1"/>
  <c r="J295" i="8" s="1"/>
  <c r="K295" i="8" s="1"/>
  <c r="L295" i="8" s="1"/>
  <c r="M295" i="8" s="1"/>
  <c r="G294" i="8"/>
  <c r="H294" i="8" s="1"/>
  <c r="I294" i="8" s="1"/>
  <c r="J294" i="8" s="1"/>
  <c r="K294" i="8" s="1"/>
  <c r="L294" i="8" s="1"/>
  <c r="M294" i="8" s="1"/>
  <c r="N294" i="8" s="1"/>
  <c r="O294" i="8" s="1"/>
  <c r="P294" i="8" s="1"/>
  <c r="Q294" i="8" s="1"/>
  <c r="R294" i="8" s="1"/>
  <c r="S294" i="8" s="1"/>
  <c r="T294" i="8" s="1"/>
  <c r="U294" i="8" s="1"/>
  <c r="V294" i="8" s="1"/>
  <c r="W294" i="8" s="1"/>
  <c r="X294" i="8" s="1"/>
  <c r="Y294" i="8" s="1"/>
  <c r="Z294" i="8" s="1"/>
  <c r="AA294" i="8" s="1"/>
  <c r="AB294" i="8" s="1"/>
  <c r="AA293" i="8"/>
  <c r="N327" i="8"/>
  <c r="AA340" i="8"/>
  <c r="G178" i="8"/>
  <c r="AA250" i="8"/>
  <c r="N231" i="3"/>
  <c r="F231" i="3"/>
  <c r="G230" i="3"/>
  <c r="H230" i="3" s="1"/>
  <c r="I230" i="3" s="1"/>
  <c r="J230" i="3" s="1"/>
  <c r="K230" i="3" s="1"/>
  <c r="L230" i="3" s="1"/>
  <c r="M230" i="3" s="1"/>
  <c r="N230" i="3" s="1"/>
  <c r="O230" i="3" s="1"/>
  <c r="P230" i="3" s="1"/>
  <c r="Q230" i="3" s="1"/>
  <c r="R230" i="3" s="1"/>
  <c r="S230" i="3" s="1"/>
  <c r="T230" i="3" s="1"/>
  <c r="U230" i="3" s="1"/>
  <c r="V230" i="3" s="1"/>
  <c r="W230" i="3" s="1"/>
  <c r="X230" i="3" s="1"/>
  <c r="Y230" i="3" s="1"/>
  <c r="Z230" i="3" s="1"/>
  <c r="AA230" i="3" s="1"/>
  <c r="AB230" i="3" s="1"/>
  <c r="M260" i="3"/>
  <c r="N260" i="3"/>
  <c r="L260" i="3"/>
  <c r="AA40" i="73"/>
  <c r="Z40" i="73"/>
  <c r="Y40" i="73"/>
  <c r="X40" i="73"/>
  <c r="W40" i="73"/>
  <c r="V40" i="73"/>
  <c r="U40" i="73"/>
  <c r="T40" i="73"/>
  <c r="S40" i="73"/>
  <c r="R40" i="73"/>
  <c r="Q40" i="73"/>
  <c r="P40" i="73"/>
  <c r="O40" i="73"/>
  <c r="N40" i="73"/>
  <c r="M40" i="73"/>
  <c r="L40" i="73"/>
  <c r="K40" i="73"/>
  <c r="J40" i="73"/>
  <c r="I40" i="73"/>
  <c r="H40" i="73"/>
  <c r="G40" i="73"/>
  <c r="F40" i="73"/>
  <c r="AA27" i="73"/>
  <c r="Z27" i="73"/>
  <c r="Y27" i="73"/>
  <c r="X27" i="73"/>
  <c r="W27" i="73"/>
  <c r="V27" i="73"/>
  <c r="U27" i="73"/>
  <c r="T27" i="73"/>
  <c r="S27" i="73"/>
  <c r="R27" i="73"/>
  <c r="Q27" i="73"/>
  <c r="P27" i="73"/>
  <c r="O27" i="73"/>
  <c r="N27" i="73"/>
  <c r="M27" i="73"/>
  <c r="L27" i="73"/>
  <c r="K27" i="73"/>
  <c r="J27" i="73"/>
  <c r="I27" i="73"/>
  <c r="H27" i="73"/>
  <c r="G27" i="73"/>
  <c r="F27" i="73"/>
  <c r="O3" i="72"/>
  <c r="P3" i="72" s="1"/>
  <c r="Q3" i="72" s="1"/>
  <c r="R3" i="72" s="1"/>
  <c r="S3" i="72" s="1"/>
  <c r="T3" i="72" s="1"/>
  <c r="U3" i="72" s="1"/>
  <c r="V3" i="72" s="1"/>
  <c r="W3" i="72" s="1"/>
  <c r="X3" i="72" s="1"/>
  <c r="Y3" i="72" s="1"/>
  <c r="Z3" i="72" s="1"/>
  <c r="AA3" i="72" s="1"/>
  <c r="AB3" i="72" s="1"/>
  <c r="G3" i="72"/>
  <c r="H3" i="72" s="1"/>
  <c r="I3" i="72" s="1"/>
  <c r="J3" i="72" s="1"/>
  <c r="K3" i="72" s="1"/>
  <c r="L3" i="72" s="1"/>
  <c r="M3" i="72" s="1"/>
  <c r="G2" i="72"/>
  <c r="H2" i="72" s="1"/>
  <c r="I2" i="72" s="1"/>
  <c r="J2" i="72" s="1"/>
  <c r="K2" i="72" s="1"/>
  <c r="L2" i="72" s="1"/>
  <c r="M2" i="72" s="1"/>
  <c r="N2" i="72" s="1"/>
  <c r="O2" i="72" s="1"/>
  <c r="P2" i="72" s="1"/>
  <c r="Q2" i="72" s="1"/>
  <c r="R2" i="72" s="1"/>
  <c r="S2" i="72" s="1"/>
  <c r="T2" i="72" s="1"/>
  <c r="U2" i="72" s="1"/>
  <c r="V2" i="72" s="1"/>
  <c r="W2" i="72" s="1"/>
  <c r="X2" i="72" s="1"/>
  <c r="Y2" i="72" s="1"/>
  <c r="Z2" i="72" s="1"/>
  <c r="AA2" i="72" s="1"/>
  <c r="AB2" i="72" s="1"/>
  <c r="O3" i="57"/>
  <c r="P3" i="57" s="1"/>
  <c r="Q3" i="57" s="1"/>
  <c r="R3" i="57" s="1"/>
  <c r="S3" i="57" s="1"/>
  <c r="T3" i="57" s="1"/>
  <c r="U3" i="57" s="1"/>
  <c r="V3" i="57" s="1"/>
  <c r="W3" i="57" s="1"/>
  <c r="X3" i="57" s="1"/>
  <c r="Y3" i="57" s="1"/>
  <c r="Z3" i="57" s="1"/>
  <c r="AA3" i="57" s="1"/>
  <c r="AB3" i="57" s="1"/>
  <c r="G3" i="57"/>
  <c r="H3" i="57" s="1"/>
  <c r="I3" i="57" s="1"/>
  <c r="J3" i="57" s="1"/>
  <c r="K3" i="57" s="1"/>
  <c r="L3" i="57" s="1"/>
  <c r="M3" i="57" s="1"/>
  <c r="G2" i="57"/>
  <c r="H2" i="57" s="1"/>
  <c r="I2" i="57" s="1"/>
  <c r="J2" i="57" s="1"/>
  <c r="K2" i="57" s="1"/>
  <c r="L2" i="57" s="1"/>
  <c r="M2" i="57" s="1"/>
  <c r="N2" i="57" s="1"/>
  <c r="O2" i="57" s="1"/>
  <c r="P2" i="57" s="1"/>
  <c r="Q2" i="57" s="1"/>
  <c r="R2" i="57" s="1"/>
  <c r="S2" i="57" s="1"/>
  <c r="T2" i="57" s="1"/>
  <c r="U2" i="57" s="1"/>
  <c r="V2" i="57" s="1"/>
  <c r="W2" i="57" s="1"/>
  <c r="X2" i="57" s="1"/>
  <c r="Y2" i="57" s="1"/>
  <c r="Z2" i="57" s="1"/>
  <c r="AA2" i="57" s="1"/>
  <c r="A46" i="8"/>
  <c r="G2" i="8"/>
  <c r="H2" i="8" s="1"/>
  <c r="I2" i="8" s="1"/>
  <c r="J2" i="8" s="1"/>
  <c r="K2" i="8" s="1"/>
  <c r="L2" i="8" s="1"/>
  <c r="M2" i="8" s="1"/>
  <c r="N2" i="8" s="1"/>
  <c r="O2" i="8" s="1"/>
  <c r="P2" i="8" s="1"/>
  <c r="Q2" i="8" s="1"/>
  <c r="R2" i="8" s="1"/>
  <c r="S2" i="8" s="1"/>
  <c r="T2" i="8" s="1"/>
  <c r="U2" i="8" s="1"/>
  <c r="V2" i="8" s="1"/>
  <c r="W2" i="8" s="1"/>
  <c r="X2" i="8" s="1"/>
  <c r="Y2" i="8" s="1"/>
  <c r="Z2" i="8" s="1"/>
  <c r="AA2" i="8" s="1"/>
  <c r="AB2" i="8" s="1"/>
  <c r="O3" i="8"/>
  <c r="P3" i="8" s="1"/>
  <c r="Q3" i="8" s="1"/>
  <c r="R3" i="8" s="1"/>
  <c r="S3" i="8" s="1"/>
  <c r="T3" i="8" s="1"/>
  <c r="U3" i="8" s="1"/>
  <c r="V3" i="8" s="1"/>
  <c r="W3" i="8" s="1"/>
  <c r="X3" i="8" s="1"/>
  <c r="Y3" i="8" s="1"/>
  <c r="Z3" i="8" s="1"/>
  <c r="AA3" i="8" s="1"/>
  <c r="AB3" i="8" s="1"/>
  <c r="G3" i="8"/>
  <c r="H3" i="8" s="1"/>
  <c r="I3" i="8" s="1"/>
  <c r="J3" i="8" s="1"/>
  <c r="K3" i="8" s="1"/>
  <c r="L3" i="8" s="1"/>
  <c r="M3" i="8" s="1"/>
  <c r="N71" i="3"/>
  <c r="F71" i="3"/>
  <c r="N201" i="3"/>
  <c r="F201" i="3"/>
  <c r="N166" i="3"/>
  <c r="F166" i="3"/>
  <c r="N140" i="3"/>
  <c r="F140" i="3"/>
  <c r="M146" i="78" l="1"/>
  <c r="M209" i="78"/>
  <c r="M169" i="78"/>
  <c r="M151" i="78"/>
  <c r="R114" i="8"/>
  <c r="M103" i="8"/>
  <c r="M218" i="78"/>
  <c r="M221" i="78" s="1"/>
  <c r="M162" i="78"/>
  <c r="M182" i="78" s="1"/>
  <c r="K162" i="78"/>
  <c r="K182" i="78" s="1"/>
  <c r="M201" i="78"/>
  <c r="K201" i="78"/>
  <c r="K218" i="78"/>
  <c r="K221" i="78" s="1"/>
  <c r="K123" i="8"/>
  <c r="K124" i="8" s="1"/>
  <c r="M121" i="8"/>
  <c r="S119" i="8"/>
  <c r="M114" i="8"/>
  <c r="R121" i="8"/>
  <c r="L123" i="8"/>
  <c r="L124" i="8" s="1"/>
  <c r="P123" i="8"/>
  <c r="P124" i="8" s="1"/>
  <c r="R103" i="8"/>
  <c r="Q123" i="8"/>
  <c r="Q124" i="8" s="1"/>
  <c r="I33" i="78"/>
  <c r="H110" i="78"/>
  <c r="I105" i="78"/>
  <c r="I108" i="78"/>
  <c r="I96" i="78"/>
  <c r="I56" i="78"/>
  <c r="I38" i="78"/>
  <c r="I49" i="78"/>
  <c r="G49" i="78"/>
  <c r="G69" i="78" s="1"/>
  <c r="G110" i="78" s="1"/>
  <c r="I88" i="78"/>
  <c r="G88" i="78"/>
  <c r="V120" i="78"/>
  <c r="V127" i="78" s="1"/>
  <c r="T4" i="78"/>
  <c r="U127" i="78"/>
  <c r="U134" i="78" s="1"/>
  <c r="U136" i="78" s="1"/>
  <c r="H4" i="78"/>
  <c r="P4" i="78"/>
  <c r="H22" i="78"/>
  <c r="G90" i="72"/>
  <c r="T55" i="72"/>
  <c r="I83" i="72"/>
  <c r="I88" i="72" s="1"/>
  <c r="T74" i="72"/>
  <c r="R123" i="8" l="1"/>
  <c r="R124" i="8" s="1"/>
  <c r="M223" i="78"/>
  <c r="M225" i="78" s="1"/>
  <c r="K223" i="78"/>
  <c r="K225" i="78" s="1"/>
  <c r="M123" i="8"/>
  <c r="M124" i="8" s="1"/>
  <c r="I69" i="78"/>
  <c r="I110" i="78" s="1"/>
  <c r="V134" i="78"/>
  <c r="V136" i="78" s="1"/>
  <c r="O393" i="8" l="1"/>
  <c r="P393" i="8" s="1"/>
  <c r="Q393" i="8" s="1"/>
  <c r="R393" i="8" s="1"/>
  <c r="S393" i="8" s="1"/>
  <c r="T393" i="8" s="1"/>
  <c r="U393" i="8" s="1"/>
  <c r="V393" i="8" s="1"/>
  <c r="W393" i="8" s="1"/>
  <c r="X393" i="8" s="1"/>
  <c r="Y393" i="8" s="1"/>
  <c r="Z393" i="8" s="1"/>
  <c r="AA393" i="8" s="1"/>
  <c r="AB393" i="8" s="1"/>
  <c r="G393" i="8"/>
  <c r="H393" i="8" s="1"/>
  <c r="I393" i="8" s="1"/>
  <c r="J393" i="8" s="1"/>
  <c r="K393" i="8" s="1"/>
  <c r="L393" i="8" s="1"/>
  <c r="M393" i="8" s="1"/>
  <c r="G392" i="8"/>
  <c r="H392" i="8" s="1"/>
  <c r="I392" i="8" s="1"/>
  <c r="J392" i="8" s="1"/>
  <c r="K392" i="8" s="1"/>
  <c r="L392" i="8" s="1"/>
  <c r="M392" i="8" s="1"/>
  <c r="N392" i="8" s="1"/>
  <c r="O392" i="8" s="1"/>
  <c r="P392" i="8" s="1"/>
  <c r="Q392" i="8" s="1"/>
  <c r="R392" i="8" s="1"/>
  <c r="S392" i="8" s="1"/>
  <c r="T392" i="8" s="1"/>
  <c r="U392" i="8" s="1"/>
  <c r="V392" i="8" s="1"/>
  <c r="W392" i="8" s="1"/>
  <c r="X392" i="8" s="1"/>
  <c r="Y392" i="8" s="1"/>
  <c r="Z392" i="8" s="1"/>
  <c r="AA392" i="8" s="1"/>
  <c r="AB392" i="8" s="1"/>
  <c r="O342" i="8"/>
  <c r="P342" i="8" s="1"/>
  <c r="Q342" i="8" s="1"/>
  <c r="R342" i="8" s="1"/>
  <c r="S342" i="8" s="1"/>
  <c r="T342" i="8" s="1"/>
  <c r="U342" i="8" s="1"/>
  <c r="V342" i="8" s="1"/>
  <c r="W342" i="8" s="1"/>
  <c r="X342" i="8" s="1"/>
  <c r="Y342" i="8" s="1"/>
  <c r="Z342" i="8" s="1"/>
  <c r="AA342" i="8" s="1"/>
  <c r="AB342" i="8" s="1"/>
  <c r="G342" i="8"/>
  <c r="H342" i="8" s="1"/>
  <c r="I342" i="8" s="1"/>
  <c r="J342" i="8" s="1"/>
  <c r="K342" i="8" s="1"/>
  <c r="L342" i="8" s="1"/>
  <c r="M342" i="8" s="1"/>
  <c r="G201" i="8"/>
  <c r="H201" i="8" s="1"/>
  <c r="I201" i="8" s="1"/>
  <c r="J201" i="8" s="1"/>
  <c r="K201" i="8" s="1"/>
  <c r="L201" i="8" s="1"/>
  <c r="M201" i="8" s="1"/>
  <c r="N201" i="8" s="1"/>
  <c r="O201" i="8" s="1"/>
  <c r="P201" i="8" s="1"/>
  <c r="Q201" i="8" s="1"/>
  <c r="R201" i="8" s="1"/>
  <c r="S201" i="8" s="1"/>
  <c r="T201" i="8" s="1"/>
  <c r="U201" i="8" s="1"/>
  <c r="V201" i="8" s="1"/>
  <c r="W201" i="8" s="1"/>
  <c r="X201" i="8" s="1"/>
  <c r="Y201" i="8" s="1"/>
  <c r="Z201" i="8" s="1"/>
  <c r="AA201" i="8" s="1"/>
  <c r="AB201" i="8" s="1"/>
  <c r="G47" i="8"/>
  <c r="H47" i="8" s="1"/>
  <c r="I47" i="8" s="1"/>
  <c r="J47" i="8" s="1"/>
  <c r="K47" i="8" s="1"/>
  <c r="L47" i="8" s="1"/>
  <c r="M47" i="8" s="1"/>
  <c r="N47" i="8" s="1"/>
  <c r="O47" i="8" s="1"/>
  <c r="P47" i="8" s="1"/>
  <c r="Q47" i="8" s="1"/>
  <c r="R47" i="8" s="1"/>
  <c r="S47" i="8" s="1"/>
  <c r="T47" i="8" s="1"/>
  <c r="U47" i="8" s="1"/>
  <c r="V47" i="8" s="1"/>
  <c r="W47" i="8" s="1"/>
  <c r="X47" i="8" s="1"/>
  <c r="Y47" i="8" s="1"/>
  <c r="Z47" i="8" s="1"/>
  <c r="AA47" i="8" s="1"/>
  <c r="AB47" i="8" s="1"/>
  <c r="AA225" i="3"/>
  <c r="N225" i="3"/>
  <c r="O225" i="3"/>
  <c r="P225" i="3"/>
  <c r="Q225" i="3"/>
  <c r="R225" i="3"/>
  <c r="S225" i="3"/>
  <c r="T225" i="3"/>
  <c r="U225" i="3"/>
  <c r="V225" i="3"/>
  <c r="W225" i="3"/>
  <c r="X225" i="3"/>
  <c r="Y225" i="3"/>
  <c r="Z225" i="3"/>
  <c r="G8" i="73"/>
  <c r="H8" i="73"/>
  <c r="I8" i="73"/>
  <c r="J8" i="73"/>
  <c r="K8" i="73"/>
  <c r="L8" i="73"/>
  <c r="M8" i="73"/>
  <c r="N8" i="73"/>
  <c r="O8" i="73"/>
  <c r="P8" i="73"/>
  <c r="Q8" i="73"/>
  <c r="R8" i="73"/>
  <c r="S8" i="73"/>
  <c r="T8" i="73"/>
  <c r="U8" i="73"/>
  <c r="V8" i="73"/>
  <c r="W8" i="73"/>
  <c r="X8" i="73"/>
  <c r="Y8" i="73"/>
  <c r="Z8" i="73"/>
  <c r="AA8" i="73"/>
  <c r="N9" i="73"/>
  <c r="O9" i="73"/>
  <c r="P9" i="73"/>
  <c r="Q9" i="73"/>
  <c r="R9" i="73"/>
  <c r="S9" i="73"/>
  <c r="T9" i="73"/>
  <c r="U9" i="73"/>
  <c r="V9" i="73"/>
  <c r="W9" i="73"/>
  <c r="X9" i="73"/>
  <c r="Y9" i="73"/>
  <c r="Z9" i="73"/>
  <c r="AA9" i="73"/>
  <c r="G7" i="73"/>
  <c r="H7" i="73"/>
  <c r="I7" i="73"/>
  <c r="J7" i="73"/>
  <c r="K7" i="73"/>
  <c r="L7" i="73"/>
  <c r="M7" i="73"/>
  <c r="N7" i="73"/>
  <c r="O7" i="73"/>
  <c r="P7" i="73"/>
  <c r="Q7" i="73"/>
  <c r="R7" i="73"/>
  <c r="S7" i="73"/>
  <c r="T7" i="73"/>
  <c r="U7" i="73"/>
  <c r="V7" i="73"/>
  <c r="W7" i="73"/>
  <c r="X7" i="73"/>
  <c r="Y7" i="73"/>
  <c r="Z7" i="73"/>
  <c r="AA7" i="73"/>
  <c r="G6" i="73"/>
  <c r="H6" i="73"/>
  <c r="I6" i="73"/>
  <c r="J6" i="73"/>
  <c r="K6" i="73"/>
  <c r="L6" i="73"/>
  <c r="M6" i="73"/>
  <c r="N6" i="73"/>
  <c r="O6" i="73"/>
  <c r="P6" i="73"/>
  <c r="Q6" i="73"/>
  <c r="R6" i="73"/>
  <c r="S6" i="73"/>
  <c r="T6" i="73"/>
  <c r="U6" i="73"/>
  <c r="V6" i="73"/>
  <c r="W6" i="73"/>
  <c r="X6" i="73"/>
  <c r="Y6" i="73"/>
  <c r="Z6" i="73"/>
  <c r="AA6" i="73"/>
  <c r="G5" i="73"/>
  <c r="H5" i="73"/>
  <c r="I5" i="73"/>
  <c r="J5" i="73"/>
  <c r="K5" i="73"/>
  <c r="L5" i="73"/>
  <c r="M5" i="73"/>
  <c r="N5" i="73"/>
  <c r="O5" i="73"/>
  <c r="P5" i="73"/>
  <c r="Q5" i="73"/>
  <c r="R5" i="73"/>
  <c r="S5" i="73"/>
  <c r="T5" i="73"/>
  <c r="U5" i="73"/>
  <c r="V5" i="73"/>
  <c r="W5" i="73"/>
  <c r="X5" i="73"/>
  <c r="Y5" i="73"/>
  <c r="Z5" i="73"/>
  <c r="AA5" i="73"/>
  <c r="G4" i="73"/>
  <c r="H4" i="73"/>
  <c r="I4" i="73"/>
  <c r="J4" i="73"/>
  <c r="K4" i="73"/>
  <c r="L4" i="73"/>
  <c r="M4" i="73"/>
  <c r="N4" i="73"/>
  <c r="O4" i="73"/>
  <c r="P4" i="73"/>
  <c r="Q4" i="73"/>
  <c r="R4" i="73"/>
  <c r="S4" i="73"/>
  <c r="T4" i="73"/>
  <c r="U4" i="73"/>
  <c r="V4" i="73"/>
  <c r="W4" i="73"/>
  <c r="X4" i="73"/>
  <c r="Y4" i="73"/>
  <c r="Z4" i="73"/>
  <c r="AA4" i="73"/>
  <c r="G3" i="73"/>
  <c r="H3" i="73"/>
  <c r="I3" i="73"/>
  <c r="J3" i="73"/>
  <c r="K3" i="73"/>
  <c r="L3" i="73"/>
  <c r="M3" i="73"/>
  <c r="N3" i="73"/>
  <c r="O3" i="73"/>
  <c r="P3" i="73"/>
  <c r="Q3" i="73"/>
  <c r="R3" i="73"/>
  <c r="S3" i="73"/>
  <c r="T3" i="73"/>
  <c r="U3" i="73"/>
  <c r="F1" i="67"/>
  <c r="E1" i="67"/>
  <c r="W3" i="73" l="1"/>
  <c r="W10" i="73" s="1"/>
  <c r="V3" i="73"/>
  <c r="V10" i="73" s="1"/>
  <c r="V12" i="73" s="1"/>
  <c r="V13" i="73" s="1"/>
  <c r="Y3" i="73"/>
  <c r="Y10" i="73" s="1"/>
  <c r="Y12" i="73" s="1"/>
  <c r="Y13" i="73" s="1"/>
  <c r="AA3" i="73"/>
  <c r="AA10" i="73" s="1"/>
  <c r="AA12" i="73" s="1"/>
  <c r="AA13" i="73" s="1"/>
  <c r="Z3" i="73"/>
  <c r="Z10" i="73" s="1"/>
  <c r="Z12" i="73" s="1"/>
  <c r="Z13" i="73" s="1"/>
  <c r="P10" i="73"/>
  <c r="P12" i="73" s="1"/>
  <c r="P13" i="73" s="1"/>
  <c r="N10" i="73"/>
  <c r="N12" i="73" s="1"/>
  <c r="N13" i="73" s="1"/>
  <c r="S10" i="73"/>
  <c r="S12" i="73" s="1"/>
  <c r="S13" i="73" s="1"/>
  <c r="O10" i="73"/>
  <c r="O12" i="73" s="1"/>
  <c r="O13" i="73" s="1"/>
  <c r="U10" i="73"/>
  <c r="U12" i="73" s="1"/>
  <c r="U13" i="73" s="1"/>
  <c r="T10" i="73"/>
  <c r="T12" i="73" s="1"/>
  <c r="T13" i="73" s="1"/>
  <c r="R10" i="73"/>
  <c r="Q10" i="73"/>
  <c r="Q12" i="73" s="1"/>
  <c r="Q13" i="73" s="1"/>
  <c r="R12" i="73" l="1"/>
  <c r="R13" i="73" s="1"/>
  <c r="W12" i="73"/>
  <c r="W13" i="73" s="1"/>
  <c r="F5" i="67" l="1"/>
  <c r="G5" i="67"/>
  <c r="H5" i="67"/>
  <c r="I5" i="67"/>
  <c r="J5" i="67"/>
  <c r="K5" i="67"/>
  <c r="L5" i="67"/>
  <c r="M5" i="67"/>
  <c r="N5" i="67"/>
  <c r="O5" i="67"/>
  <c r="P5" i="67"/>
  <c r="Q5" i="67"/>
  <c r="R5" i="67"/>
  <c r="S6" i="67"/>
  <c r="S5" i="67" s="1"/>
  <c r="T6" i="67"/>
  <c r="T5" i="67" s="1"/>
  <c r="U6" i="67"/>
  <c r="U5" i="67" s="1"/>
  <c r="V6" i="67"/>
  <c r="V5" i="67" s="1"/>
  <c r="W6" i="67"/>
  <c r="W5" i="67" s="1"/>
  <c r="X6" i="67"/>
  <c r="X5" i="67" s="1"/>
  <c r="Y6" i="67"/>
  <c r="Y5" i="67" s="1"/>
  <c r="Z6" i="67"/>
  <c r="Z5" i="67" s="1"/>
  <c r="AA6" i="67"/>
  <c r="AA5" i="67" s="1"/>
  <c r="F7" i="67"/>
  <c r="G7" i="67"/>
  <c r="H7" i="67"/>
  <c r="I7" i="67"/>
  <c r="J7" i="67"/>
  <c r="K7" i="67"/>
  <c r="L7" i="67"/>
  <c r="M7" i="67"/>
  <c r="N7" i="67"/>
  <c r="O7" i="67"/>
  <c r="P7" i="67"/>
  <c r="Q7" i="67"/>
  <c r="R7" i="67"/>
  <c r="S7" i="67"/>
  <c r="T7" i="67"/>
  <c r="U7" i="67"/>
  <c r="V7" i="67"/>
  <c r="W7" i="67"/>
  <c r="X7" i="67"/>
  <c r="Y7" i="67"/>
  <c r="Z7" i="67"/>
  <c r="AA7" i="67"/>
  <c r="F8" i="67"/>
  <c r="G8" i="67"/>
  <c r="H8" i="67"/>
  <c r="I8" i="67"/>
  <c r="J8" i="67"/>
  <c r="K8" i="67"/>
  <c r="L8" i="67"/>
  <c r="M8" i="67"/>
  <c r="N8" i="67"/>
  <c r="O8" i="67"/>
  <c r="P8" i="67"/>
  <c r="Q8" i="67"/>
  <c r="R8" i="67"/>
  <c r="S8" i="67"/>
  <c r="T8" i="67"/>
  <c r="U8" i="67"/>
  <c r="V8" i="67"/>
  <c r="W8" i="67"/>
  <c r="X8" i="67"/>
  <c r="Y8" i="67"/>
  <c r="Z8" i="67"/>
  <c r="AA8" i="67"/>
  <c r="G9" i="67"/>
  <c r="H9" i="67"/>
  <c r="I9" i="67"/>
  <c r="J9" i="67"/>
  <c r="K9" i="67"/>
  <c r="L9" i="67"/>
  <c r="M9" i="67"/>
  <c r="N9" i="67"/>
  <c r="O9" i="67"/>
  <c r="P9" i="67"/>
  <c r="Q9" i="67"/>
  <c r="R9" i="67"/>
  <c r="S9" i="67"/>
  <c r="U9" i="67"/>
  <c r="V9" i="67"/>
  <c r="W9" i="67"/>
  <c r="X9" i="67"/>
  <c r="Y9" i="67"/>
  <c r="Z9" i="67"/>
  <c r="AA9" i="67"/>
  <c r="F10" i="67"/>
  <c r="G10" i="67"/>
  <c r="H10" i="67"/>
  <c r="I10" i="67"/>
  <c r="J10" i="67"/>
  <c r="K10" i="67"/>
  <c r="L10" i="67"/>
  <c r="M10" i="67"/>
  <c r="N10" i="67"/>
  <c r="O10" i="67"/>
  <c r="P10" i="67"/>
  <c r="Q10" i="67"/>
  <c r="R10" i="67"/>
  <c r="S10" i="67"/>
  <c r="T10" i="67"/>
  <c r="U10" i="67"/>
  <c r="V10" i="67"/>
  <c r="W10" i="67"/>
  <c r="X10" i="67"/>
  <c r="Y10" i="67"/>
  <c r="Z10" i="67"/>
  <c r="AA10" i="67"/>
  <c r="F12" i="67"/>
  <c r="G12" i="67"/>
  <c r="H12" i="67"/>
  <c r="I12" i="67"/>
  <c r="J12" i="67"/>
  <c r="K12" i="67"/>
  <c r="L12" i="67"/>
  <c r="M12" i="67"/>
  <c r="N12" i="67"/>
  <c r="O12" i="67"/>
  <c r="P12" i="67"/>
  <c r="Q12" i="67"/>
  <c r="R12" i="67"/>
  <c r="T12" i="67"/>
  <c r="U12" i="67"/>
  <c r="V12" i="67"/>
  <c r="W12" i="67"/>
  <c r="X12" i="67"/>
  <c r="Y12" i="67"/>
  <c r="Z12" i="67"/>
  <c r="AA12" i="67"/>
  <c r="F13" i="67"/>
  <c r="G13" i="67"/>
  <c r="H13" i="67"/>
  <c r="I13" i="67"/>
  <c r="J13" i="67"/>
  <c r="K13" i="67"/>
  <c r="L13" i="67"/>
  <c r="M13" i="67"/>
  <c r="P13" i="67"/>
  <c r="Q13" i="67"/>
  <c r="R13" i="67"/>
  <c r="S13" i="67"/>
  <c r="T13" i="67"/>
  <c r="U13" i="67"/>
  <c r="V13" i="67"/>
  <c r="W13" i="67"/>
  <c r="X13" i="67"/>
  <c r="Y13" i="67"/>
  <c r="Z13" i="67"/>
  <c r="AA13" i="67"/>
  <c r="F14" i="67"/>
  <c r="G14" i="67"/>
  <c r="H14" i="67"/>
  <c r="I14" i="67"/>
  <c r="J14" i="67"/>
  <c r="K14" i="67"/>
  <c r="L14" i="67"/>
  <c r="M14" i="67"/>
  <c r="N14" i="67"/>
  <c r="O14" i="67"/>
  <c r="P14" i="67"/>
  <c r="Q14" i="67"/>
  <c r="R14" i="67"/>
  <c r="S14" i="67"/>
  <c r="T14" i="67"/>
  <c r="U14" i="67"/>
  <c r="V14" i="67"/>
  <c r="W14" i="67"/>
  <c r="X14" i="67"/>
  <c r="Y14" i="67"/>
  <c r="Z14" i="67"/>
  <c r="AA14" i="67"/>
  <c r="F16" i="67"/>
  <c r="G16" i="67"/>
  <c r="H16" i="67"/>
  <c r="I16" i="67"/>
  <c r="J16" i="67"/>
  <c r="K16" i="67"/>
  <c r="L16" i="67"/>
  <c r="M16" i="67"/>
  <c r="N16" i="67"/>
  <c r="O16" i="67"/>
  <c r="P16" i="67"/>
  <c r="Q16" i="67"/>
  <c r="R16" i="67"/>
  <c r="S16" i="67"/>
  <c r="T16" i="67"/>
  <c r="U16" i="67"/>
  <c r="V16" i="67"/>
  <c r="W16" i="67"/>
  <c r="X16" i="67"/>
  <c r="Y16" i="67"/>
  <c r="Z16" i="67"/>
  <c r="AA16" i="67"/>
  <c r="F17" i="67"/>
  <c r="G17" i="67"/>
  <c r="H17" i="67"/>
  <c r="I17" i="67"/>
  <c r="J17" i="67"/>
  <c r="K17" i="67"/>
  <c r="L17" i="67"/>
  <c r="M17" i="67"/>
  <c r="N17" i="67"/>
  <c r="O17" i="67"/>
  <c r="P17" i="67"/>
  <c r="Q17" i="67"/>
  <c r="R17" i="67"/>
  <c r="S17" i="67"/>
  <c r="T17" i="67"/>
  <c r="U17" i="67"/>
  <c r="V17" i="67"/>
  <c r="W17" i="67"/>
  <c r="X17" i="67"/>
  <c r="Y17" i="67"/>
  <c r="Z17" i="67"/>
  <c r="AA17" i="67"/>
  <c r="F18" i="67"/>
  <c r="G18" i="67"/>
  <c r="H18" i="67"/>
  <c r="I18" i="67"/>
  <c r="J18" i="67"/>
  <c r="K18" i="67"/>
  <c r="L18" i="67"/>
  <c r="M18" i="67"/>
  <c r="N18" i="67"/>
  <c r="O18" i="67"/>
  <c r="P18" i="67"/>
  <c r="Q18" i="67"/>
  <c r="R18" i="67"/>
  <c r="S18" i="67"/>
  <c r="T18" i="67"/>
  <c r="U18" i="67"/>
  <c r="V18" i="67"/>
  <c r="W18" i="67"/>
  <c r="X18" i="67"/>
  <c r="Y18" i="67"/>
  <c r="Z18" i="67"/>
  <c r="AA18" i="67"/>
  <c r="F19" i="67"/>
  <c r="G19" i="67"/>
  <c r="H19" i="67"/>
  <c r="I19" i="67"/>
  <c r="J19" i="67"/>
  <c r="K19" i="67"/>
  <c r="L19" i="67"/>
  <c r="M19" i="67"/>
  <c r="N19" i="67"/>
  <c r="O19" i="67"/>
  <c r="P19" i="67"/>
  <c r="Q19" i="67"/>
  <c r="R19" i="67"/>
  <c r="S19" i="67"/>
  <c r="T19" i="67"/>
  <c r="U19" i="67"/>
  <c r="V19" i="67"/>
  <c r="W19" i="67"/>
  <c r="X19" i="67"/>
  <c r="Y19" i="67"/>
  <c r="Z19" i="67"/>
  <c r="AA19" i="67"/>
  <c r="F20" i="67"/>
  <c r="G20" i="67"/>
  <c r="H20" i="67"/>
  <c r="I20" i="67"/>
  <c r="L20" i="67"/>
  <c r="M20" i="67"/>
  <c r="N20" i="67"/>
  <c r="O20" i="67"/>
  <c r="P20" i="67"/>
  <c r="Q20" i="67"/>
  <c r="R20" i="67"/>
  <c r="S20" i="67"/>
  <c r="T20" i="67"/>
  <c r="U20" i="67"/>
  <c r="V20" i="67"/>
  <c r="W20" i="67"/>
  <c r="X20" i="67"/>
  <c r="Y20" i="67"/>
  <c r="Z20" i="67"/>
  <c r="AA20" i="67"/>
  <c r="F22" i="67"/>
  <c r="G22" i="67"/>
  <c r="H22" i="67"/>
  <c r="I22" i="67"/>
  <c r="J22" i="67"/>
  <c r="K22" i="67"/>
  <c r="L22" i="67"/>
  <c r="M22" i="67"/>
  <c r="N22" i="67"/>
  <c r="O22" i="67"/>
  <c r="P22" i="67"/>
  <c r="Q22" i="67"/>
  <c r="R22" i="67"/>
  <c r="S22" i="67"/>
  <c r="T22" i="67"/>
  <c r="U22" i="67"/>
  <c r="V22" i="67"/>
  <c r="W22" i="67"/>
  <c r="X22" i="67"/>
  <c r="Y22" i="67"/>
  <c r="Z22" i="67"/>
  <c r="AA22" i="67"/>
  <c r="J24" i="67"/>
  <c r="M25" i="67"/>
  <c r="F26" i="67"/>
  <c r="G26" i="67"/>
  <c r="H26" i="67"/>
  <c r="I26" i="67"/>
  <c r="M26" i="67"/>
  <c r="N26" i="67"/>
  <c r="O26" i="67"/>
  <c r="P26" i="67"/>
  <c r="Q26" i="67"/>
  <c r="R26" i="67"/>
  <c r="S26" i="67"/>
  <c r="T26" i="67"/>
  <c r="U26" i="67"/>
  <c r="V26" i="67"/>
  <c r="W26" i="67"/>
  <c r="X26" i="67"/>
  <c r="Y26" i="67"/>
  <c r="Z26" i="67"/>
  <c r="AA26" i="67"/>
  <c r="F27" i="67"/>
  <c r="G27" i="67"/>
  <c r="H27" i="67"/>
  <c r="I27" i="67"/>
  <c r="J27" i="67"/>
  <c r="K27" i="67"/>
  <c r="L27" i="67"/>
  <c r="M27" i="67"/>
  <c r="N27" i="67"/>
  <c r="O27" i="67"/>
  <c r="P27" i="67"/>
  <c r="Q27" i="67"/>
  <c r="R27" i="67"/>
  <c r="S27" i="67"/>
  <c r="T27" i="67"/>
  <c r="U27" i="67"/>
  <c r="V27" i="67"/>
  <c r="W27" i="67"/>
  <c r="X27" i="67"/>
  <c r="Y27" i="67"/>
  <c r="Z27" i="67"/>
  <c r="AA27" i="67"/>
  <c r="E38" i="67"/>
  <c r="F38" i="67"/>
  <c r="L38" i="67"/>
  <c r="G39" i="67"/>
  <c r="H39" i="67" s="1"/>
  <c r="I39" i="67" s="1"/>
  <c r="J39" i="67" s="1"/>
  <c r="K39" i="67" s="1"/>
  <c r="L39" i="67" s="1"/>
  <c r="M39" i="67" s="1"/>
  <c r="N39" i="67" s="1"/>
  <c r="O39" i="67" s="1"/>
  <c r="P39" i="67" s="1"/>
  <c r="Q39" i="67" s="1"/>
  <c r="R39" i="67" s="1"/>
  <c r="S39" i="67" s="1"/>
  <c r="T39" i="67" s="1"/>
  <c r="U39" i="67" s="1"/>
  <c r="V39" i="67" s="1"/>
  <c r="W39" i="67" s="1"/>
  <c r="X39" i="67" s="1"/>
  <c r="Y39" i="67" s="1"/>
  <c r="Z39" i="67" s="1"/>
  <c r="AA39" i="67" s="1"/>
  <c r="F40" i="67"/>
  <c r="G40" i="67"/>
  <c r="H40" i="67"/>
  <c r="I40" i="67"/>
  <c r="J40" i="67"/>
  <c r="K40" i="67"/>
  <c r="L40" i="67"/>
  <c r="M40" i="67"/>
  <c r="N40" i="67"/>
  <c r="O40" i="67"/>
  <c r="P40" i="67"/>
  <c r="Q40" i="67"/>
  <c r="R40" i="67"/>
  <c r="S40" i="67"/>
  <c r="T40" i="67"/>
  <c r="U40" i="67"/>
  <c r="V40" i="67"/>
  <c r="W40" i="67"/>
  <c r="X40" i="67"/>
  <c r="Y40" i="67"/>
  <c r="Z40" i="67"/>
  <c r="AA40" i="67"/>
  <c r="F41" i="67"/>
  <c r="G41" i="67"/>
  <c r="H41" i="67"/>
  <c r="I41" i="67"/>
  <c r="J41" i="67"/>
  <c r="K41" i="67"/>
  <c r="L41" i="67"/>
  <c r="M41" i="67"/>
  <c r="N41" i="67"/>
  <c r="O41" i="67"/>
  <c r="P41" i="67"/>
  <c r="Q41" i="67"/>
  <c r="R41" i="67"/>
  <c r="S41" i="67"/>
  <c r="T41" i="67"/>
  <c r="U41" i="67"/>
  <c r="V41" i="67"/>
  <c r="W41" i="67"/>
  <c r="X41" i="67"/>
  <c r="Y41" i="67"/>
  <c r="Z41" i="67"/>
  <c r="AA41" i="67"/>
  <c r="F42" i="67"/>
  <c r="G42" i="67"/>
  <c r="H42" i="67"/>
  <c r="I42" i="67"/>
  <c r="J42" i="67"/>
  <c r="K42" i="67"/>
  <c r="L42" i="67"/>
  <c r="M42" i="67"/>
  <c r="N42" i="67"/>
  <c r="O42" i="67"/>
  <c r="P42" i="67"/>
  <c r="Q42" i="67"/>
  <c r="R42" i="67"/>
  <c r="S42" i="67"/>
  <c r="T42" i="67"/>
  <c r="U42" i="67"/>
  <c r="V42" i="67"/>
  <c r="W42" i="67"/>
  <c r="X42" i="67"/>
  <c r="Y42" i="67"/>
  <c r="Z42" i="67"/>
  <c r="AA42" i="67"/>
  <c r="F43" i="67"/>
  <c r="G43" i="67"/>
  <c r="H43" i="67"/>
  <c r="I43" i="67"/>
  <c r="J43" i="67"/>
  <c r="K43" i="67"/>
  <c r="L43" i="67"/>
  <c r="M43" i="67"/>
  <c r="N43" i="67"/>
  <c r="O43" i="67"/>
  <c r="P43" i="67"/>
  <c r="Q43" i="67"/>
  <c r="R43" i="67"/>
  <c r="S43" i="67"/>
  <c r="T43" i="67"/>
  <c r="U43" i="67"/>
  <c r="V43" i="67"/>
  <c r="W43" i="67"/>
  <c r="X43" i="67"/>
  <c r="Y43" i="67"/>
  <c r="Z43" i="67"/>
  <c r="AA43" i="67"/>
  <c r="F44" i="67"/>
  <c r="G44" i="67"/>
  <c r="H44" i="67"/>
  <c r="I44" i="67"/>
  <c r="J44" i="67"/>
  <c r="K44" i="67"/>
  <c r="L44" i="67"/>
  <c r="M44" i="67"/>
  <c r="N44" i="67"/>
  <c r="O44" i="67"/>
  <c r="P44" i="67"/>
  <c r="Q44" i="67"/>
  <c r="R44" i="67"/>
  <c r="S44" i="67"/>
  <c r="T44" i="67"/>
  <c r="U44" i="67"/>
  <c r="V44" i="67"/>
  <c r="W44" i="67"/>
  <c r="X44" i="67"/>
  <c r="Y44" i="67"/>
  <c r="Z44" i="67"/>
  <c r="AA44" i="67"/>
  <c r="F45" i="67"/>
  <c r="G45" i="67"/>
  <c r="H45" i="67"/>
  <c r="I45" i="67"/>
  <c r="J45" i="67"/>
  <c r="K45" i="67"/>
  <c r="L45" i="67"/>
  <c r="M45" i="67"/>
  <c r="N45" i="67"/>
  <c r="Q45" i="67"/>
  <c r="R45" i="67"/>
  <c r="S45" i="67"/>
  <c r="T45" i="67"/>
  <c r="U45" i="67"/>
  <c r="V45" i="67"/>
  <c r="W45" i="67"/>
  <c r="X45" i="67"/>
  <c r="Y45" i="67"/>
  <c r="Z45" i="67"/>
  <c r="AA45" i="67"/>
  <c r="F46" i="67"/>
  <c r="G46" i="67"/>
  <c r="H46" i="67"/>
  <c r="I46" i="67"/>
  <c r="J46" i="67"/>
  <c r="K46" i="67"/>
  <c r="L46" i="67"/>
  <c r="M46" i="67"/>
  <c r="N46" i="67"/>
  <c r="O46" i="67"/>
  <c r="P46" i="67"/>
  <c r="Q46" i="67"/>
  <c r="R46" i="67"/>
  <c r="S46" i="67"/>
  <c r="T46" i="67"/>
  <c r="U46" i="67"/>
  <c r="V46" i="67"/>
  <c r="W46" i="67"/>
  <c r="X46" i="67"/>
  <c r="Y46" i="67"/>
  <c r="Z46" i="67"/>
  <c r="AA46" i="67"/>
  <c r="F48" i="67"/>
  <c r="G48" i="67"/>
  <c r="H48" i="67"/>
  <c r="I48" i="67"/>
  <c r="J48" i="67"/>
  <c r="K48" i="67"/>
  <c r="L48" i="67"/>
  <c r="M48" i="67"/>
  <c r="N48" i="67"/>
  <c r="O48" i="67"/>
  <c r="P48" i="67"/>
  <c r="Q48" i="67"/>
  <c r="R48" i="67"/>
  <c r="S48" i="67"/>
  <c r="T48" i="67"/>
  <c r="U48" i="67"/>
  <c r="V48" i="67"/>
  <c r="W48" i="67"/>
  <c r="X48" i="67"/>
  <c r="Y48" i="67"/>
  <c r="Z48" i="67"/>
  <c r="AA48" i="67"/>
  <c r="F49" i="67"/>
  <c r="G49" i="67"/>
  <c r="H49" i="67"/>
  <c r="I49" i="67"/>
  <c r="J49" i="67"/>
  <c r="K49" i="67"/>
  <c r="L49" i="67"/>
  <c r="M49" i="67"/>
  <c r="N49" i="67"/>
  <c r="O49" i="67"/>
  <c r="P49" i="67"/>
  <c r="Q49" i="67"/>
  <c r="R49" i="67"/>
  <c r="S49" i="67"/>
  <c r="T49" i="67"/>
  <c r="U49" i="67"/>
  <c r="V49" i="67"/>
  <c r="W49" i="67"/>
  <c r="X49" i="67"/>
  <c r="Y49" i="67"/>
  <c r="Z49" i="67"/>
  <c r="AA49" i="67"/>
  <c r="F50" i="67"/>
  <c r="G50" i="67"/>
  <c r="H50" i="67"/>
  <c r="I50" i="67"/>
  <c r="J50" i="67"/>
  <c r="K50" i="67"/>
  <c r="L50" i="67"/>
  <c r="M50" i="67"/>
  <c r="N50" i="67"/>
  <c r="O50" i="67"/>
  <c r="P50" i="67"/>
  <c r="Q50" i="67"/>
  <c r="R50" i="67"/>
  <c r="S50" i="67"/>
  <c r="T50" i="67"/>
  <c r="U50" i="67"/>
  <c r="V50" i="67"/>
  <c r="W50" i="67"/>
  <c r="X50" i="67"/>
  <c r="Y50" i="67"/>
  <c r="Z50" i="67"/>
  <c r="AA50" i="67"/>
  <c r="F52" i="67"/>
  <c r="F54" i="67" s="1"/>
  <c r="G52" i="67"/>
  <c r="H52" i="67"/>
  <c r="H54" i="67" s="1"/>
  <c r="I52" i="67"/>
  <c r="I54" i="67" s="1"/>
  <c r="J52" i="67"/>
  <c r="J54" i="67" s="1"/>
  <c r="K52" i="67"/>
  <c r="L52" i="67"/>
  <c r="M52" i="67"/>
  <c r="N52" i="67"/>
  <c r="N54" i="67" s="1"/>
  <c r="O52" i="67"/>
  <c r="P52" i="67"/>
  <c r="P54" i="67" s="1"/>
  <c r="Q52" i="67"/>
  <c r="R52" i="67"/>
  <c r="S52" i="67"/>
  <c r="T52" i="67"/>
  <c r="U52" i="67"/>
  <c r="V52" i="67"/>
  <c r="W52" i="67"/>
  <c r="X52" i="67"/>
  <c r="Y52" i="67"/>
  <c r="Y54" i="67" s="1"/>
  <c r="Z52" i="67"/>
  <c r="Z54" i="67" s="1"/>
  <c r="AA52" i="67"/>
  <c r="AA54" i="67" s="1"/>
  <c r="M53" i="67"/>
  <c r="Q53" i="67"/>
  <c r="R53" i="67"/>
  <c r="S53" i="67"/>
  <c r="T53" i="67"/>
  <c r="U53" i="67"/>
  <c r="V53" i="67"/>
  <c r="W53" i="67"/>
  <c r="X53" i="67"/>
  <c r="M55" i="67"/>
  <c r="F56" i="67"/>
  <c r="G56" i="67"/>
  <c r="H56" i="67"/>
  <c r="I56" i="67"/>
  <c r="J56" i="67"/>
  <c r="K56" i="67"/>
  <c r="L56" i="67"/>
  <c r="M56" i="67"/>
  <c r="N56" i="67"/>
  <c r="O56" i="67"/>
  <c r="P56" i="67"/>
  <c r="Q56" i="67"/>
  <c r="R56" i="67"/>
  <c r="S56" i="67"/>
  <c r="T56" i="67"/>
  <c r="U56" i="67"/>
  <c r="V56" i="67"/>
  <c r="W56" i="67"/>
  <c r="X56" i="67"/>
  <c r="Y56" i="67"/>
  <c r="Z56" i="67"/>
  <c r="AA56" i="67"/>
  <c r="F57" i="67"/>
  <c r="G57" i="67"/>
  <c r="H57" i="67"/>
  <c r="I57" i="67"/>
  <c r="J57" i="67"/>
  <c r="K57" i="67"/>
  <c r="M57" i="67"/>
  <c r="N57" i="67"/>
  <c r="O57" i="67"/>
  <c r="P57" i="67"/>
  <c r="Q57" i="67"/>
  <c r="R57" i="67"/>
  <c r="S57" i="67"/>
  <c r="T57" i="67"/>
  <c r="U57" i="67"/>
  <c r="V57" i="67"/>
  <c r="W57" i="67"/>
  <c r="X57" i="67"/>
  <c r="Y57" i="67"/>
  <c r="Z57" i="67"/>
  <c r="AA57" i="67"/>
  <c r="F60" i="67"/>
  <c r="G60" i="67"/>
  <c r="H60" i="67"/>
  <c r="J60" i="67"/>
  <c r="K60" i="67"/>
  <c r="L60" i="67"/>
  <c r="M60" i="67"/>
  <c r="N60" i="67"/>
  <c r="O60" i="67"/>
  <c r="P60" i="67"/>
  <c r="Q60" i="67"/>
  <c r="R60" i="67"/>
  <c r="S60" i="67"/>
  <c r="T60" i="67"/>
  <c r="U60" i="67"/>
  <c r="V60" i="67"/>
  <c r="W60" i="67"/>
  <c r="X60" i="67"/>
  <c r="Y60" i="67"/>
  <c r="Z60" i="67"/>
  <c r="AA60" i="67"/>
  <c r="F62" i="67"/>
  <c r="F63" i="67" s="1"/>
  <c r="F65" i="67" s="1"/>
  <c r="G62" i="67"/>
  <c r="H62" i="67"/>
  <c r="H63" i="67" s="1"/>
  <c r="H65" i="67" s="1"/>
  <c r="I62" i="67"/>
  <c r="J62" i="67"/>
  <c r="K62" i="67"/>
  <c r="K63" i="67" s="1"/>
  <c r="K65" i="67" s="1"/>
  <c r="L62" i="67"/>
  <c r="N62" i="67"/>
  <c r="N63" i="67" s="1"/>
  <c r="N65" i="67" s="1"/>
  <c r="O62" i="67"/>
  <c r="P62" i="67"/>
  <c r="P63" i="67" s="1"/>
  <c r="P65" i="67" s="1"/>
  <c r="Q62" i="67"/>
  <c r="Q63" i="67" s="1"/>
  <c r="Q65" i="67" s="1"/>
  <c r="R62" i="67"/>
  <c r="R63" i="67" s="1"/>
  <c r="R65" i="67" s="1"/>
  <c r="S62" i="67"/>
  <c r="T62" i="67"/>
  <c r="U62" i="67"/>
  <c r="U63" i="67" s="1"/>
  <c r="U65" i="67" s="1"/>
  <c r="V62" i="67"/>
  <c r="V63" i="67" s="1"/>
  <c r="V65" i="67" s="1"/>
  <c r="W62" i="67"/>
  <c r="X62" i="67"/>
  <c r="X63" i="67" s="1"/>
  <c r="X65" i="67" s="1"/>
  <c r="Y62" i="67"/>
  <c r="Y63" i="67" s="1"/>
  <c r="Y65" i="67" s="1"/>
  <c r="Z62" i="67"/>
  <c r="Z63" i="67" s="1"/>
  <c r="Z65" i="67" s="1"/>
  <c r="AA62" i="67"/>
  <c r="F66" i="67"/>
  <c r="G66" i="67"/>
  <c r="H66" i="67"/>
  <c r="K66" i="67"/>
  <c r="L66" i="67"/>
  <c r="M66" i="67"/>
  <c r="N66" i="67"/>
  <c r="O66" i="67"/>
  <c r="P66" i="67"/>
  <c r="Q66" i="67"/>
  <c r="R66" i="67"/>
  <c r="S66" i="67"/>
  <c r="T66" i="67"/>
  <c r="U66" i="67"/>
  <c r="V66" i="67"/>
  <c r="W66" i="67"/>
  <c r="X66" i="67"/>
  <c r="Y66" i="67"/>
  <c r="Z66" i="67"/>
  <c r="AA66" i="67"/>
  <c r="F67" i="67"/>
  <c r="G67" i="67"/>
  <c r="H67" i="67"/>
  <c r="I67" i="67"/>
  <c r="J67" i="67"/>
  <c r="K67" i="67"/>
  <c r="L67" i="67"/>
  <c r="M67" i="67"/>
  <c r="N67" i="67"/>
  <c r="O67" i="67"/>
  <c r="P67" i="67"/>
  <c r="Q67" i="67"/>
  <c r="R67" i="67"/>
  <c r="S67" i="67"/>
  <c r="T67" i="67"/>
  <c r="U67" i="67"/>
  <c r="V67" i="67"/>
  <c r="W67" i="67"/>
  <c r="X67" i="67"/>
  <c r="Y67" i="67"/>
  <c r="Z67" i="67"/>
  <c r="AA67" i="67"/>
  <c r="F68" i="67"/>
  <c r="G68" i="67"/>
  <c r="H68" i="67"/>
  <c r="I68" i="67"/>
  <c r="J68" i="67"/>
  <c r="K68" i="67"/>
  <c r="L68" i="67"/>
  <c r="M68" i="67"/>
  <c r="N68" i="67"/>
  <c r="O68" i="67"/>
  <c r="P68" i="67"/>
  <c r="Q68" i="67"/>
  <c r="R68" i="67"/>
  <c r="S68" i="67"/>
  <c r="T68" i="67"/>
  <c r="U68" i="67"/>
  <c r="V68" i="67"/>
  <c r="W68" i="67"/>
  <c r="X68" i="67"/>
  <c r="Y68" i="67"/>
  <c r="Z68" i="67"/>
  <c r="AA68" i="67"/>
  <c r="F69" i="67"/>
  <c r="G69" i="67"/>
  <c r="H69" i="67"/>
  <c r="I69" i="67"/>
  <c r="J69" i="67"/>
  <c r="K69" i="67"/>
  <c r="L69" i="67"/>
  <c r="M69" i="67"/>
  <c r="N69" i="67"/>
  <c r="O69" i="67"/>
  <c r="P69" i="67"/>
  <c r="Q69" i="67"/>
  <c r="R69" i="67"/>
  <c r="S69" i="67"/>
  <c r="T69" i="67"/>
  <c r="U69" i="67"/>
  <c r="V69" i="67"/>
  <c r="W69" i="67"/>
  <c r="X69" i="67"/>
  <c r="Y69" i="67"/>
  <c r="Z69" i="67"/>
  <c r="AA69" i="67"/>
  <c r="F70" i="67"/>
  <c r="G70" i="67"/>
  <c r="H70" i="67"/>
  <c r="I70" i="67"/>
  <c r="J70" i="67"/>
  <c r="K70" i="67"/>
  <c r="L70" i="67"/>
  <c r="M70" i="67"/>
  <c r="N70" i="67"/>
  <c r="O70" i="67"/>
  <c r="P70" i="67"/>
  <c r="Q70" i="67"/>
  <c r="R70" i="67"/>
  <c r="S70" i="67"/>
  <c r="T70" i="67"/>
  <c r="U70" i="67"/>
  <c r="V70" i="67"/>
  <c r="W70" i="67"/>
  <c r="X70" i="67"/>
  <c r="Y70" i="67"/>
  <c r="Z70" i="67"/>
  <c r="AA70" i="67"/>
  <c r="F72" i="67"/>
  <c r="G72" i="67"/>
  <c r="H72" i="67"/>
  <c r="I72" i="67"/>
  <c r="J72" i="67"/>
  <c r="K72" i="67"/>
  <c r="L72" i="67"/>
  <c r="M72" i="67"/>
  <c r="N72" i="67"/>
  <c r="P72" i="67"/>
  <c r="Q72" i="67"/>
  <c r="R72" i="67"/>
  <c r="S72" i="67"/>
  <c r="T72" i="67"/>
  <c r="U72" i="67"/>
  <c r="V72" i="67"/>
  <c r="W72" i="67"/>
  <c r="X72" i="67"/>
  <c r="Y72" i="67"/>
  <c r="Z72" i="67"/>
  <c r="AA72" i="67"/>
  <c r="F73" i="67"/>
  <c r="G73" i="67"/>
  <c r="H73" i="67"/>
  <c r="I73" i="67"/>
  <c r="J73" i="67"/>
  <c r="K73" i="67"/>
  <c r="L73" i="67"/>
  <c r="M73" i="67"/>
  <c r="N73" i="67"/>
  <c r="O73" i="67"/>
  <c r="P73" i="67"/>
  <c r="Q73" i="67"/>
  <c r="R73" i="67"/>
  <c r="S73" i="67"/>
  <c r="T73" i="67"/>
  <c r="U73" i="67"/>
  <c r="V73" i="67"/>
  <c r="W73" i="67"/>
  <c r="X73" i="67"/>
  <c r="Y73" i="67"/>
  <c r="Z73" i="67"/>
  <c r="AA73" i="67"/>
  <c r="O82" i="8"/>
  <c r="O72" i="67" s="1"/>
  <c r="AA81" i="8"/>
  <c r="AA84" i="8" s="1"/>
  <c r="Z81" i="8"/>
  <c r="Z84" i="8" s="1"/>
  <c r="Y81" i="8"/>
  <c r="Y84" i="8" s="1"/>
  <c r="X81" i="8"/>
  <c r="X84" i="8" s="1"/>
  <c r="W81" i="8"/>
  <c r="W84" i="8" s="1"/>
  <c r="V81" i="8"/>
  <c r="V84" i="8" s="1"/>
  <c r="U81" i="8"/>
  <c r="U84" i="8" s="1"/>
  <c r="T81" i="8"/>
  <c r="T84" i="8" s="1"/>
  <c r="S81" i="8"/>
  <c r="S84" i="8" s="1"/>
  <c r="R81" i="8"/>
  <c r="R84" i="8" s="1"/>
  <c r="Q81" i="8"/>
  <c r="Q84" i="8" s="1"/>
  <c r="P81" i="8"/>
  <c r="P84" i="8" s="1"/>
  <c r="O81" i="8"/>
  <c r="N81" i="8"/>
  <c r="N84" i="8" s="1"/>
  <c r="L81" i="8"/>
  <c r="L84" i="8" s="1"/>
  <c r="K81" i="8"/>
  <c r="K84" i="8" s="1"/>
  <c r="H81" i="8"/>
  <c r="H84" i="8" s="1"/>
  <c r="G81" i="8"/>
  <c r="G84" i="8" s="1"/>
  <c r="F81" i="8"/>
  <c r="F84" i="8" s="1"/>
  <c r="I77" i="8"/>
  <c r="I74" i="8"/>
  <c r="M72" i="8"/>
  <c r="L71" i="8"/>
  <c r="L68" i="8"/>
  <c r="K68" i="8"/>
  <c r="K72" i="8" s="1"/>
  <c r="J68" i="8"/>
  <c r="I68" i="8"/>
  <c r="H68" i="8"/>
  <c r="H72" i="8" s="1"/>
  <c r="G68" i="8"/>
  <c r="G55" i="67" s="1"/>
  <c r="F68" i="8"/>
  <c r="F72" i="8" s="1"/>
  <c r="M59" i="8"/>
  <c r="M64" i="8" s="1"/>
  <c r="L59" i="8"/>
  <c r="L64" i="8" s="1"/>
  <c r="K59" i="8"/>
  <c r="K47" i="67" s="1"/>
  <c r="J59" i="8"/>
  <c r="I59" i="8"/>
  <c r="H59" i="8"/>
  <c r="H64" i="8" s="1"/>
  <c r="G59" i="8"/>
  <c r="G64" i="8" s="1"/>
  <c r="F59" i="8"/>
  <c r="P58" i="8"/>
  <c r="P45" i="67" s="1"/>
  <c r="O58" i="8"/>
  <c r="O48" i="8"/>
  <c r="P48" i="8" s="1"/>
  <c r="Q48" i="8" s="1"/>
  <c r="R48" i="8" s="1"/>
  <c r="S48" i="8" s="1"/>
  <c r="T48" i="8" s="1"/>
  <c r="U48" i="8" s="1"/>
  <c r="V48" i="8" s="1"/>
  <c r="W48" i="8" s="1"/>
  <c r="X48" i="8" s="1"/>
  <c r="Y48" i="8" s="1"/>
  <c r="Z48" i="8" s="1"/>
  <c r="AA48" i="8" s="1"/>
  <c r="AB48" i="8" s="1"/>
  <c r="G48" i="8"/>
  <c r="H48" i="8" s="1"/>
  <c r="I48" i="8" s="1"/>
  <c r="J48" i="8" s="1"/>
  <c r="K48" i="8" s="1"/>
  <c r="L48" i="8" s="1"/>
  <c r="M48" i="8" s="1"/>
  <c r="L29" i="8"/>
  <c r="L25" i="67" s="1"/>
  <c r="K29" i="8"/>
  <c r="K25" i="67" s="1"/>
  <c r="J29" i="8"/>
  <c r="I29" i="8"/>
  <c r="H29" i="8"/>
  <c r="H25" i="67" s="1"/>
  <c r="G29" i="8"/>
  <c r="G25" i="67" s="1"/>
  <c r="F29" i="8"/>
  <c r="M21" i="67"/>
  <c r="L23" i="8"/>
  <c r="L21" i="67" s="1"/>
  <c r="K23" i="8"/>
  <c r="K21" i="67" s="1"/>
  <c r="J23" i="8"/>
  <c r="I23" i="8"/>
  <c r="H23" i="8"/>
  <c r="H21" i="67" s="1"/>
  <c r="G23" i="8"/>
  <c r="G21" i="67" s="1"/>
  <c r="F23" i="8"/>
  <c r="K20" i="8"/>
  <c r="K20" i="67" s="1"/>
  <c r="J20" i="8"/>
  <c r="J20" i="67" s="1"/>
  <c r="S16" i="8"/>
  <c r="S12" i="67" s="1"/>
  <c r="AA14" i="8"/>
  <c r="Z14" i="8"/>
  <c r="Y14" i="8"/>
  <c r="X14" i="8"/>
  <c r="W14" i="8"/>
  <c r="V14" i="8"/>
  <c r="U14" i="8"/>
  <c r="T14" i="8"/>
  <c r="S14" i="8"/>
  <c r="R14" i="8"/>
  <c r="Q14" i="8"/>
  <c r="P14" i="8"/>
  <c r="M14" i="8"/>
  <c r="L14" i="8"/>
  <c r="K14" i="8"/>
  <c r="J14" i="8"/>
  <c r="I14" i="8"/>
  <c r="H14" i="8"/>
  <c r="G14" i="8"/>
  <c r="F14" i="8"/>
  <c r="O12" i="8"/>
  <c r="O14" i="8" s="1"/>
  <c r="N12" i="8"/>
  <c r="N14" i="8" s="1"/>
  <c r="T7" i="8"/>
  <c r="T9" i="8" s="1"/>
  <c r="F7" i="8"/>
  <c r="F9" i="8" s="1"/>
  <c r="AA5" i="8"/>
  <c r="Z5" i="8"/>
  <c r="Y5" i="8"/>
  <c r="X5" i="8"/>
  <c r="W5" i="8"/>
  <c r="V5" i="8"/>
  <c r="U5" i="8"/>
  <c r="T5" i="8"/>
  <c r="S5" i="8"/>
  <c r="O3" i="67"/>
  <c r="P3" i="67" s="1"/>
  <c r="Q3" i="67" s="1"/>
  <c r="R3" i="67" s="1"/>
  <c r="S3" i="67" s="1"/>
  <c r="T3" i="67" s="1"/>
  <c r="U3" i="67" s="1"/>
  <c r="V3" i="67" s="1"/>
  <c r="W3" i="67" s="1"/>
  <c r="X3" i="67" s="1"/>
  <c r="Y3" i="67" s="1"/>
  <c r="Z3" i="67" s="1"/>
  <c r="AA3" i="67" s="1"/>
  <c r="G3" i="67"/>
  <c r="H3" i="67" s="1"/>
  <c r="I3" i="67" s="1"/>
  <c r="J3" i="67" s="1"/>
  <c r="K3" i="67" s="1"/>
  <c r="L3" i="67" s="1"/>
  <c r="M3" i="67" s="1"/>
  <c r="G2" i="67"/>
  <c r="H2" i="67" s="1"/>
  <c r="I2" i="67" s="1"/>
  <c r="J2" i="67" s="1"/>
  <c r="K2" i="67" s="1"/>
  <c r="L2" i="67" s="1"/>
  <c r="M2" i="67" s="1"/>
  <c r="N2" i="67" s="1"/>
  <c r="O2" i="67" s="1"/>
  <c r="P2" i="67" s="1"/>
  <c r="Q2" i="67" s="1"/>
  <c r="R2" i="67" s="1"/>
  <c r="S2" i="67" s="1"/>
  <c r="T2" i="67" s="1"/>
  <c r="U2" i="67" s="1"/>
  <c r="V2" i="67" s="1"/>
  <c r="W2" i="67" s="1"/>
  <c r="X2" i="67" s="1"/>
  <c r="Y2" i="67" s="1"/>
  <c r="Z2" i="67" s="1"/>
  <c r="AA2" i="67" s="1"/>
  <c r="P1" i="67"/>
  <c r="L1" i="67"/>
  <c r="F55" i="3"/>
  <c r="F56" i="3"/>
  <c r="AA1" i="42"/>
  <c r="P1" i="42"/>
  <c r="F1" i="42"/>
  <c r="E1" i="42"/>
  <c r="O3" i="42"/>
  <c r="P3" i="42"/>
  <c r="Q3" i="42"/>
  <c r="R3" i="42"/>
  <c r="S3" i="42"/>
  <c r="T3" i="42"/>
  <c r="U3" i="42"/>
  <c r="V3" i="42"/>
  <c r="W3" i="42"/>
  <c r="X3" i="42"/>
  <c r="Y3" i="42"/>
  <c r="Z3" i="42"/>
  <c r="AA3" i="42"/>
  <c r="G3" i="42"/>
  <c r="H3" i="42"/>
  <c r="I3" i="42"/>
  <c r="J3" i="42"/>
  <c r="K3" i="42"/>
  <c r="L3" i="42"/>
  <c r="M3" i="42"/>
  <c r="H2" i="42"/>
  <c r="I2" i="42"/>
  <c r="J2" i="42"/>
  <c r="K2" i="42"/>
  <c r="L2" i="42"/>
  <c r="M2" i="42"/>
  <c r="N2" i="42"/>
  <c r="O2" i="42"/>
  <c r="P2" i="42"/>
  <c r="Q2" i="42"/>
  <c r="R2" i="42"/>
  <c r="S2" i="42"/>
  <c r="T2" i="42"/>
  <c r="U2" i="42"/>
  <c r="V2" i="42"/>
  <c r="W2" i="42"/>
  <c r="X2" i="42"/>
  <c r="Y2" i="42"/>
  <c r="Z2" i="42"/>
  <c r="AA2" i="42"/>
  <c r="G2" i="42"/>
  <c r="P3" i="23"/>
  <c r="Q3" i="23"/>
  <c r="R3" i="23"/>
  <c r="S3" i="23"/>
  <c r="T3" i="23"/>
  <c r="U3" i="23"/>
  <c r="V3" i="23"/>
  <c r="W3" i="23"/>
  <c r="X3" i="23"/>
  <c r="Y3" i="23"/>
  <c r="Z3" i="23"/>
  <c r="AA3" i="23"/>
  <c r="O3" i="23"/>
  <c r="G3" i="23"/>
  <c r="H3" i="23"/>
  <c r="I3" i="23"/>
  <c r="J3" i="23"/>
  <c r="K3" i="23"/>
  <c r="L3" i="23"/>
  <c r="M3" i="23"/>
  <c r="I2" i="23"/>
  <c r="J2" i="23"/>
  <c r="K2" i="23"/>
  <c r="L2" i="23"/>
  <c r="M2" i="23"/>
  <c r="N2" i="23"/>
  <c r="O2" i="23"/>
  <c r="P2" i="23"/>
  <c r="Q2" i="23"/>
  <c r="R2" i="23"/>
  <c r="S2" i="23"/>
  <c r="T2" i="23"/>
  <c r="U2" i="23"/>
  <c r="V2" i="23"/>
  <c r="W2" i="23"/>
  <c r="X2" i="23"/>
  <c r="Y2" i="23"/>
  <c r="Z2" i="23"/>
  <c r="AA2" i="23"/>
  <c r="H2" i="23"/>
  <c r="G2" i="23"/>
  <c r="AA1" i="23"/>
  <c r="L1" i="23"/>
  <c r="F1" i="23"/>
  <c r="E1" i="23"/>
  <c r="E1" i="43"/>
  <c r="E1" i="34"/>
  <c r="O3" i="44"/>
  <c r="P3" i="44"/>
  <c r="Q3" i="44"/>
  <c r="R3" i="44"/>
  <c r="S3" i="44"/>
  <c r="T3" i="44"/>
  <c r="U3" i="44"/>
  <c r="V3" i="44"/>
  <c r="W3" i="44"/>
  <c r="X3" i="44"/>
  <c r="Y3" i="44"/>
  <c r="Z3" i="44"/>
  <c r="AA3" i="44"/>
  <c r="G3" i="44"/>
  <c r="H3" i="44"/>
  <c r="I3" i="44"/>
  <c r="J3" i="44"/>
  <c r="K3" i="44"/>
  <c r="L3" i="44"/>
  <c r="M3" i="44"/>
  <c r="H2" i="44"/>
  <c r="I2" i="44"/>
  <c r="J2" i="44"/>
  <c r="K2" i="44"/>
  <c r="L2" i="44"/>
  <c r="M2" i="44"/>
  <c r="N2" i="44"/>
  <c r="O2" i="44"/>
  <c r="P2" i="44"/>
  <c r="Q2" i="44"/>
  <c r="R2" i="44"/>
  <c r="S2" i="44"/>
  <c r="T2" i="44"/>
  <c r="U2" i="44"/>
  <c r="V2" i="44"/>
  <c r="W2" i="44"/>
  <c r="X2" i="44"/>
  <c r="Y2" i="44"/>
  <c r="Z2" i="44"/>
  <c r="AA2" i="44"/>
  <c r="G2" i="44"/>
  <c r="AA1" i="44"/>
  <c r="H1" i="44"/>
  <c r="F1" i="44"/>
  <c r="E1" i="44"/>
  <c r="O3" i="17"/>
  <c r="P3" i="17"/>
  <c r="Q3" i="17"/>
  <c r="R3" i="17"/>
  <c r="S3" i="17"/>
  <c r="T3" i="17"/>
  <c r="U3" i="17"/>
  <c r="V3" i="17"/>
  <c r="W3" i="17"/>
  <c r="X3" i="17"/>
  <c r="Y3" i="17"/>
  <c r="Z3" i="17"/>
  <c r="AA3" i="17"/>
  <c r="G3" i="17"/>
  <c r="H3" i="17"/>
  <c r="I3" i="17"/>
  <c r="J3" i="17"/>
  <c r="K3" i="17"/>
  <c r="L3" i="17"/>
  <c r="M3" i="17"/>
  <c r="G2" i="17"/>
  <c r="H2" i="17"/>
  <c r="I2" i="17"/>
  <c r="J2" i="17"/>
  <c r="K2" i="17"/>
  <c r="L2" i="17"/>
  <c r="M2" i="17"/>
  <c r="N2" i="17"/>
  <c r="O2" i="17"/>
  <c r="P2" i="17"/>
  <c r="Q2" i="17"/>
  <c r="R2" i="17"/>
  <c r="S2" i="17"/>
  <c r="T2" i="17"/>
  <c r="U2" i="17"/>
  <c r="V2" i="17"/>
  <c r="W2" i="17"/>
  <c r="X2" i="17"/>
  <c r="Y2" i="17"/>
  <c r="Z2" i="17"/>
  <c r="AA2" i="17"/>
  <c r="AA1" i="17"/>
  <c r="H1" i="17"/>
  <c r="F1" i="17"/>
  <c r="E1" i="17"/>
  <c r="G161" i="8"/>
  <c r="H161" i="8"/>
  <c r="I161" i="8"/>
  <c r="J161" i="8"/>
  <c r="K161" i="8"/>
  <c r="L161" i="8"/>
  <c r="N161" i="8"/>
  <c r="O161" i="8"/>
  <c r="P161" i="8"/>
  <c r="Q161" i="8"/>
  <c r="R161" i="8"/>
  <c r="S161" i="8"/>
  <c r="T161" i="8"/>
  <c r="U161" i="8"/>
  <c r="V161" i="8"/>
  <c r="W161" i="8"/>
  <c r="X161" i="8"/>
  <c r="Y161" i="8"/>
  <c r="Z161" i="8"/>
  <c r="AA161" i="8"/>
  <c r="G162" i="8"/>
  <c r="H162" i="8"/>
  <c r="I162" i="8"/>
  <c r="J162" i="8"/>
  <c r="K162" i="8"/>
  <c r="L162" i="8"/>
  <c r="M162" i="8"/>
  <c r="N162" i="8"/>
  <c r="O162" i="8"/>
  <c r="P162" i="8"/>
  <c r="Q162" i="8"/>
  <c r="R162" i="8"/>
  <c r="S162" i="8"/>
  <c r="T162" i="8"/>
  <c r="U162" i="8"/>
  <c r="V162" i="8"/>
  <c r="W162" i="8"/>
  <c r="X162" i="8"/>
  <c r="Y162" i="8"/>
  <c r="Z162" i="8"/>
  <c r="AA162" i="8"/>
  <c r="G163" i="8"/>
  <c r="H163" i="8"/>
  <c r="I163" i="8"/>
  <c r="J163" i="8"/>
  <c r="K163" i="8"/>
  <c r="L163" i="8"/>
  <c r="M163" i="8"/>
  <c r="N163" i="8"/>
  <c r="O163" i="8"/>
  <c r="P163" i="8"/>
  <c r="Q163" i="8"/>
  <c r="R163" i="8"/>
  <c r="S163" i="8"/>
  <c r="T163" i="8"/>
  <c r="U163" i="8"/>
  <c r="V163" i="8"/>
  <c r="W163" i="8"/>
  <c r="X163" i="8"/>
  <c r="Y163" i="8"/>
  <c r="Z163" i="8"/>
  <c r="AA163" i="8"/>
  <c r="G166" i="8"/>
  <c r="H166" i="8"/>
  <c r="I166" i="8"/>
  <c r="J166" i="8"/>
  <c r="K166" i="8"/>
  <c r="L166" i="8"/>
  <c r="N166" i="8"/>
  <c r="O166" i="8"/>
  <c r="P166" i="8"/>
  <c r="Q166" i="8"/>
  <c r="R166" i="8"/>
  <c r="S166" i="8"/>
  <c r="T166" i="8"/>
  <c r="U166" i="8"/>
  <c r="V166" i="8"/>
  <c r="W166" i="8"/>
  <c r="X166" i="8"/>
  <c r="Y166" i="8"/>
  <c r="Z166" i="8"/>
  <c r="AA166" i="8"/>
  <c r="G167" i="8"/>
  <c r="G36" i="8" s="1"/>
  <c r="H167" i="8"/>
  <c r="H36" i="8" s="1"/>
  <c r="I167" i="8"/>
  <c r="I36" i="8" s="1"/>
  <c r="J167" i="8"/>
  <c r="J36" i="8" s="1"/>
  <c r="K167" i="8"/>
  <c r="K36" i="8" s="1"/>
  <c r="L167" i="8"/>
  <c r="L36" i="8" s="1"/>
  <c r="M167" i="8"/>
  <c r="N167" i="8"/>
  <c r="N36" i="8" s="1"/>
  <c r="O167" i="8"/>
  <c r="O36" i="8" s="1"/>
  <c r="P167" i="8"/>
  <c r="P36" i="8" s="1"/>
  <c r="Q167" i="8"/>
  <c r="Q36" i="8" s="1"/>
  <c r="R167" i="8"/>
  <c r="R36" i="8" s="1"/>
  <c r="S167" i="8"/>
  <c r="S36" i="8" s="1"/>
  <c r="T167" i="8"/>
  <c r="T36" i="8" s="1"/>
  <c r="U167" i="8"/>
  <c r="V167" i="8"/>
  <c r="V36" i="8" s="1"/>
  <c r="W167" i="8"/>
  <c r="W36" i="8" s="1"/>
  <c r="X167" i="8"/>
  <c r="X36" i="8" s="1"/>
  <c r="Y167" i="8"/>
  <c r="Y36" i="8" s="1"/>
  <c r="Z167" i="8"/>
  <c r="Z36" i="8" s="1"/>
  <c r="AA167" i="8"/>
  <c r="AA36" i="8" s="1"/>
  <c r="G170" i="8"/>
  <c r="H170" i="8"/>
  <c r="I170" i="8"/>
  <c r="J170" i="8"/>
  <c r="K170" i="8"/>
  <c r="K39" i="8" s="1"/>
  <c r="K32" i="67" s="1"/>
  <c r="L170" i="8"/>
  <c r="M170" i="8"/>
  <c r="N170" i="8"/>
  <c r="O170" i="8"/>
  <c r="P170" i="8"/>
  <c r="Q170" i="8"/>
  <c r="Q39" i="8" s="1"/>
  <c r="Q32" i="67" s="1"/>
  <c r="R170" i="8"/>
  <c r="S170" i="8"/>
  <c r="T170" i="8"/>
  <c r="U170" i="8"/>
  <c r="V170" i="8"/>
  <c r="W170" i="8"/>
  <c r="X170" i="8"/>
  <c r="Y170" i="8"/>
  <c r="Z170" i="8"/>
  <c r="AA170" i="8"/>
  <c r="G171" i="8"/>
  <c r="H171" i="8"/>
  <c r="I171" i="8"/>
  <c r="J171" i="8"/>
  <c r="K171" i="8"/>
  <c r="L171" i="8"/>
  <c r="M171" i="8"/>
  <c r="M40" i="8" s="1"/>
  <c r="M33" i="67" s="1"/>
  <c r="N171" i="8"/>
  <c r="O171" i="8"/>
  <c r="P171" i="8"/>
  <c r="Q171" i="8"/>
  <c r="R171" i="8"/>
  <c r="S171" i="8"/>
  <c r="T171" i="8"/>
  <c r="U171" i="8"/>
  <c r="U40" i="8" s="1"/>
  <c r="U33" i="67" s="1"/>
  <c r="V171" i="8"/>
  <c r="W171" i="8"/>
  <c r="X171" i="8"/>
  <c r="Y171" i="8"/>
  <c r="Z171" i="8"/>
  <c r="AA171" i="8"/>
  <c r="F171" i="8"/>
  <c r="F170" i="8"/>
  <c r="F162" i="8"/>
  <c r="F163" i="8"/>
  <c r="F161" i="8"/>
  <c r="F166" i="8"/>
  <c r="F167" i="8"/>
  <c r="F1" i="33"/>
  <c r="E1" i="33"/>
  <c r="F1" i="20"/>
  <c r="E1" i="20"/>
  <c r="F1" i="34"/>
  <c r="P333" i="8"/>
  <c r="I1" i="36"/>
  <c r="I1" i="33"/>
  <c r="H1" i="20"/>
  <c r="L1" i="34"/>
  <c r="C1" i="31"/>
  <c r="F1" i="36"/>
  <c r="O252" i="8"/>
  <c r="P252" i="8" s="1"/>
  <c r="Q252" i="8" s="1"/>
  <c r="R252" i="8" s="1"/>
  <c r="S252" i="8" s="1"/>
  <c r="T252" i="8" s="1"/>
  <c r="U252" i="8" s="1"/>
  <c r="V252" i="8" s="1"/>
  <c r="W252" i="8" s="1"/>
  <c r="X252" i="8" s="1"/>
  <c r="Y252" i="8" s="1"/>
  <c r="Z252" i="8" s="1"/>
  <c r="AA252" i="8" s="1"/>
  <c r="AB252" i="8" s="1"/>
  <c r="G252" i="8"/>
  <c r="H252" i="8" s="1"/>
  <c r="I252" i="8" s="1"/>
  <c r="J252" i="8" s="1"/>
  <c r="K252" i="8" s="1"/>
  <c r="L252" i="8" s="1"/>
  <c r="M252" i="8" s="1"/>
  <c r="O461" i="8"/>
  <c r="P461" i="8" s="1"/>
  <c r="Q461" i="8" s="1"/>
  <c r="R461" i="8" s="1"/>
  <c r="S461" i="8" s="1"/>
  <c r="T461" i="8" s="1"/>
  <c r="U461" i="8" s="1"/>
  <c r="V461" i="8" s="1"/>
  <c r="W461" i="8" s="1"/>
  <c r="X461" i="8" s="1"/>
  <c r="Y461" i="8" s="1"/>
  <c r="Z461" i="8" s="1"/>
  <c r="AA461" i="8" s="1"/>
  <c r="AB461" i="8" s="1"/>
  <c r="G461" i="8"/>
  <c r="H461" i="8" s="1"/>
  <c r="I461" i="8" s="1"/>
  <c r="J461" i="8" s="1"/>
  <c r="K461" i="8" s="1"/>
  <c r="L461" i="8" s="1"/>
  <c r="M461" i="8" s="1"/>
  <c r="G460" i="8"/>
  <c r="H460" i="8" s="1"/>
  <c r="I460" i="8" s="1"/>
  <c r="J460" i="8" s="1"/>
  <c r="K460" i="8" s="1"/>
  <c r="L460" i="8" s="1"/>
  <c r="M460" i="8" s="1"/>
  <c r="N460" i="8" s="1"/>
  <c r="O460" i="8" s="1"/>
  <c r="P460" i="8" s="1"/>
  <c r="Q460" i="8" s="1"/>
  <c r="R460" i="8" s="1"/>
  <c r="S460" i="8" s="1"/>
  <c r="T460" i="8" s="1"/>
  <c r="U460" i="8" s="1"/>
  <c r="V460" i="8" s="1"/>
  <c r="W460" i="8" s="1"/>
  <c r="X460" i="8" s="1"/>
  <c r="Y460" i="8" s="1"/>
  <c r="Z460" i="8" s="1"/>
  <c r="AA460" i="8" s="1"/>
  <c r="AB460" i="8" s="1"/>
  <c r="AA13" i="57"/>
  <c r="N142" i="8"/>
  <c r="O142" i="8"/>
  <c r="P142" i="8"/>
  <c r="Q142" i="8"/>
  <c r="R142" i="8"/>
  <c r="S142" i="8"/>
  <c r="T142" i="8"/>
  <c r="U142" i="8"/>
  <c r="V142" i="8"/>
  <c r="W142" i="8"/>
  <c r="X142" i="8"/>
  <c r="Y142" i="8"/>
  <c r="Z142" i="8"/>
  <c r="AA142" i="8"/>
  <c r="G154" i="8"/>
  <c r="H154" i="8"/>
  <c r="I154" i="8"/>
  <c r="J154" i="8"/>
  <c r="K154" i="8"/>
  <c r="L154" i="8"/>
  <c r="M154" i="8"/>
  <c r="N154" i="8"/>
  <c r="O154" i="8"/>
  <c r="P154" i="8"/>
  <c r="Q154" i="8"/>
  <c r="R154" i="8"/>
  <c r="S154" i="8"/>
  <c r="T154" i="8"/>
  <c r="U154" i="8"/>
  <c r="V154" i="8"/>
  <c r="W154" i="8"/>
  <c r="X154" i="8"/>
  <c r="Y154" i="8"/>
  <c r="Z154" i="8"/>
  <c r="AA154" i="8"/>
  <c r="N146" i="8"/>
  <c r="AA214" i="3"/>
  <c r="AA222" i="3" s="1"/>
  <c r="Z214" i="3"/>
  <c r="Z226" i="3" s="1"/>
  <c r="Z227" i="3" s="1"/>
  <c r="Y214" i="3"/>
  <c r="X214" i="3"/>
  <c r="X226" i="3" s="1"/>
  <c r="X227" i="3" s="1"/>
  <c r="W214" i="3"/>
  <c r="W226" i="3" s="1"/>
  <c r="W227" i="3" s="1"/>
  <c r="V214" i="3"/>
  <c r="V226" i="3" s="1"/>
  <c r="V227" i="3" s="1"/>
  <c r="U214" i="3"/>
  <c r="U226" i="3" s="1"/>
  <c r="U227" i="3" s="1"/>
  <c r="T214" i="3"/>
  <c r="T226" i="3" s="1"/>
  <c r="T227" i="3" s="1"/>
  <c r="S214" i="3"/>
  <c r="R214" i="3"/>
  <c r="R226" i="3" s="1"/>
  <c r="R227" i="3" s="1"/>
  <c r="Q214" i="3"/>
  <c r="P214" i="3"/>
  <c r="P226" i="3" s="1"/>
  <c r="P227" i="3" s="1"/>
  <c r="O214" i="3"/>
  <c r="O226" i="3" s="1"/>
  <c r="O227" i="3" s="1"/>
  <c r="M214" i="3"/>
  <c r="M222" i="3" s="1"/>
  <c r="L214" i="3"/>
  <c r="L222" i="3" s="1"/>
  <c r="K214" i="3"/>
  <c r="K222" i="3" s="1"/>
  <c r="J214" i="3"/>
  <c r="J222" i="3" s="1"/>
  <c r="I214" i="3"/>
  <c r="I222" i="3" s="1"/>
  <c r="H214" i="3"/>
  <c r="H222" i="3" s="1"/>
  <c r="G214" i="3"/>
  <c r="G222" i="3" s="1"/>
  <c r="F214" i="3"/>
  <c r="N214" i="3"/>
  <c r="G200" i="3"/>
  <c r="H200" i="3" s="1"/>
  <c r="I200" i="3" s="1"/>
  <c r="J200" i="3" s="1"/>
  <c r="K200" i="3" s="1"/>
  <c r="L200" i="3" s="1"/>
  <c r="M200" i="3" s="1"/>
  <c r="N200" i="3" s="1"/>
  <c r="O200" i="3" s="1"/>
  <c r="P200" i="3" s="1"/>
  <c r="Q200" i="3" s="1"/>
  <c r="R200" i="3" s="1"/>
  <c r="S200" i="3" s="1"/>
  <c r="T200" i="3" s="1"/>
  <c r="U200" i="3" s="1"/>
  <c r="V200" i="3" s="1"/>
  <c r="W200" i="3" s="1"/>
  <c r="X200" i="3" s="1"/>
  <c r="Y200" i="3" s="1"/>
  <c r="Z200" i="3" s="1"/>
  <c r="AA200" i="3" s="1"/>
  <c r="AB200" i="3" s="1"/>
  <c r="G419" i="8"/>
  <c r="H419" i="8"/>
  <c r="I419" i="8"/>
  <c r="J419" i="8"/>
  <c r="K419" i="8"/>
  <c r="L419" i="8"/>
  <c r="M419" i="8"/>
  <c r="N419" i="8"/>
  <c r="O419" i="8"/>
  <c r="P419" i="8"/>
  <c r="Q453" i="8" s="1"/>
  <c r="Q419" i="8"/>
  <c r="R453" i="8" s="1"/>
  <c r="R419" i="8"/>
  <c r="S453" i="8" s="1"/>
  <c r="S419" i="8"/>
  <c r="T453" i="8" s="1"/>
  <c r="T419" i="8"/>
  <c r="U453" i="8" s="1"/>
  <c r="U419" i="8"/>
  <c r="V453" i="8" s="1"/>
  <c r="V419" i="8"/>
  <c r="W453" i="8" s="1"/>
  <c r="W419" i="8"/>
  <c r="X453" i="8" s="1"/>
  <c r="X419" i="8"/>
  <c r="Y453" i="8" s="1"/>
  <c r="Y419" i="8"/>
  <c r="Z453" i="8" s="1"/>
  <c r="Z419" i="8"/>
  <c r="AA453" i="8" s="1"/>
  <c r="AA419" i="8"/>
  <c r="AB453" i="8" s="1"/>
  <c r="F419" i="8"/>
  <c r="G346" i="8"/>
  <c r="H346" i="8"/>
  <c r="I346" i="8"/>
  <c r="J346" i="8"/>
  <c r="K346" i="8"/>
  <c r="L346" i="8"/>
  <c r="M346" i="8"/>
  <c r="N346" i="8"/>
  <c r="O346" i="8"/>
  <c r="P346" i="8"/>
  <c r="Q346" i="8"/>
  <c r="R346" i="8"/>
  <c r="S346" i="8"/>
  <c r="T346" i="8"/>
  <c r="U346" i="8"/>
  <c r="V346" i="8"/>
  <c r="W346" i="8"/>
  <c r="X346" i="8"/>
  <c r="Y346" i="8"/>
  <c r="Z346" i="8"/>
  <c r="AA346" i="8"/>
  <c r="G341" i="8"/>
  <c r="H341" i="8" s="1"/>
  <c r="I341" i="8" s="1"/>
  <c r="J341" i="8" s="1"/>
  <c r="K341" i="8" s="1"/>
  <c r="L341" i="8" s="1"/>
  <c r="M341" i="8" s="1"/>
  <c r="N341" i="8" s="1"/>
  <c r="O341" i="8" s="1"/>
  <c r="P341" i="8" s="1"/>
  <c r="Q341" i="8" s="1"/>
  <c r="R341" i="8" s="1"/>
  <c r="S341" i="8" s="1"/>
  <c r="T341" i="8" s="1"/>
  <c r="U341" i="8" s="1"/>
  <c r="V341" i="8" s="1"/>
  <c r="W341" i="8" s="1"/>
  <c r="X341" i="8" s="1"/>
  <c r="Y341" i="8" s="1"/>
  <c r="Z341" i="8" s="1"/>
  <c r="AA341" i="8" s="1"/>
  <c r="AB341" i="8" s="1"/>
  <c r="G251" i="8"/>
  <c r="H251" i="8" s="1"/>
  <c r="I251" i="8" s="1"/>
  <c r="J251" i="8" s="1"/>
  <c r="K251" i="8" s="1"/>
  <c r="L251" i="8" s="1"/>
  <c r="M251" i="8" s="1"/>
  <c r="N251" i="8" s="1"/>
  <c r="O251" i="8" s="1"/>
  <c r="P251" i="8" s="1"/>
  <c r="Q251" i="8" s="1"/>
  <c r="R251" i="8" s="1"/>
  <c r="S251" i="8" s="1"/>
  <c r="T251" i="8" s="1"/>
  <c r="U251" i="8" s="1"/>
  <c r="V251" i="8" s="1"/>
  <c r="W251" i="8" s="1"/>
  <c r="X251" i="8" s="1"/>
  <c r="Y251" i="8" s="1"/>
  <c r="Z251" i="8" s="1"/>
  <c r="AA251" i="8" s="1"/>
  <c r="AB251" i="8" s="1"/>
  <c r="K247" i="8"/>
  <c r="L247" i="8"/>
  <c r="J247" i="8"/>
  <c r="F417" i="8"/>
  <c r="F465" i="8"/>
  <c r="F476" i="8" s="1"/>
  <c r="P417" i="8"/>
  <c r="Q417" i="8"/>
  <c r="R417" i="8"/>
  <c r="S417" i="8"/>
  <c r="T417" i="8"/>
  <c r="U417" i="8"/>
  <c r="V417" i="8"/>
  <c r="W417" i="8"/>
  <c r="X417" i="8"/>
  <c r="Y417" i="8"/>
  <c r="Z417" i="8"/>
  <c r="AA417" i="8"/>
  <c r="G465" i="8"/>
  <c r="G476" i="8" s="1"/>
  <c r="H465" i="8"/>
  <c r="H476" i="8" s="1"/>
  <c r="I465" i="8"/>
  <c r="I476" i="8" s="1"/>
  <c r="J465" i="8"/>
  <c r="J476" i="8" s="1"/>
  <c r="K465" i="8"/>
  <c r="K476" i="8" s="1"/>
  <c r="L465" i="8"/>
  <c r="L476" i="8" s="1"/>
  <c r="O417" i="8"/>
  <c r="N417" i="8"/>
  <c r="M417" i="8"/>
  <c r="F242" i="8"/>
  <c r="F243" i="8"/>
  <c r="F244" i="8"/>
  <c r="AA388" i="8"/>
  <c r="AA382" i="8"/>
  <c r="AA370" i="8"/>
  <c r="AA365" i="8"/>
  <c r="AA359" i="8"/>
  <c r="F346" i="8"/>
  <c r="M321" i="8"/>
  <c r="M317" i="8"/>
  <c r="M257" i="8"/>
  <c r="N261" i="3"/>
  <c r="O261" i="3"/>
  <c r="P261" i="3"/>
  <c r="Q261" i="3"/>
  <c r="R261" i="3"/>
  <c r="S261" i="3"/>
  <c r="T261" i="3"/>
  <c r="U261" i="3"/>
  <c r="V261" i="3"/>
  <c r="W261" i="3"/>
  <c r="X261" i="3"/>
  <c r="Y261" i="3"/>
  <c r="Z261" i="3"/>
  <c r="H388" i="8"/>
  <c r="I388" i="8"/>
  <c r="J388" i="8"/>
  <c r="K388" i="8"/>
  <c r="L388" i="8"/>
  <c r="T388" i="8"/>
  <c r="U388" i="8"/>
  <c r="V388" i="8"/>
  <c r="F388" i="8"/>
  <c r="AA411" i="8"/>
  <c r="Z411" i="8"/>
  <c r="Y411" i="8"/>
  <c r="X411" i="8"/>
  <c r="W411" i="8"/>
  <c r="V411" i="8"/>
  <c r="U411" i="8"/>
  <c r="T411" i="8"/>
  <c r="S411" i="8"/>
  <c r="R411" i="8"/>
  <c r="Q411" i="8"/>
  <c r="P411" i="8"/>
  <c r="O411" i="8"/>
  <c r="N411" i="8"/>
  <c r="M411" i="8"/>
  <c r="AA397" i="8"/>
  <c r="Z397" i="8"/>
  <c r="Y397" i="8"/>
  <c r="X397" i="8"/>
  <c r="W397" i="8"/>
  <c r="V397" i="8"/>
  <c r="U397" i="8"/>
  <c r="T397" i="8"/>
  <c r="S397" i="8"/>
  <c r="R397" i="8"/>
  <c r="Q397" i="8"/>
  <c r="P397" i="8"/>
  <c r="O397" i="8"/>
  <c r="N397" i="8"/>
  <c r="M397" i="8"/>
  <c r="L397" i="8"/>
  <c r="K397" i="8"/>
  <c r="J397" i="8"/>
  <c r="I397" i="8"/>
  <c r="H397" i="8"/>
  <c r="G397" i="8"/>
  <c r="F397" i="8"/>
  <c r="Z382" i="8"/>
  <c r="Y382" i="8"/>
  <c r="X382" i="8"/>
  <c r="W382" i="8"/>
  <c r="V382" i="8"/>
  <c r="U382" i="8"/>
  <c r="T382" i="8"/>
  <c r="S382" i="8"/>
  <c r="R382" i="8"/>
  <c r="Q382" i="8"/>
  <c r="P382" i="8"/>
  <c r="O382" i="8"/>
  <c r="N382" i="8"/>
  <c r="M382" i="8"/>
  <c r="L382" i="8"/>
  <c r="K382" i="8"/>
  <c r="J382" i="8"/>
  <c r="I382" i="8"/>
  <c r="H382" i="8"/>
  <c r="G382" i="8"/>
  <c r="F382" i="8"/>
  <c r="Z370" i="8"/>
  <c r="Y370" i="8"/>
  <c r="X370" i="8"/>
  <c r="W370" i="8"/>
  <c r="V370" i="8"/>
  <c r="U370" i="8"/>
  <c r="T370" i="8"/>
  <c r="S370" i="8"/>
  <c r="R370" i="8"/>
  <c r="Q370" i="8"/>
  <c r="P370" i="8"/>
  <c r="O370" i="8"/>
  <c r="N370" i="8"/>
  <c r="M370" i="8"/>
  <c r="L370" i="8"/>
  <c r="K370" i="8"/>
  <c r="J370" i="8"/>
  <c r="I370" i="8"/>
  <c r="H370" i="8"/>
  <c r="G370" i="8"/>
  <c r="F370" i="8"/>
  <c r="Z365" i="8"/>
  <c r="Y365" i="8"/>
  <c r="X365" i="8"/>
  <c r="W365" i="8"/>
  <c r="V365" i="8"/>
  <c r="U365" i="8"/>
  <c r="T365" i="8"/>
  <c r="S365" i="8"/>
  <c r="R365" i="8"/>
  <c r="Q365" i="8"/>
  <c r="P365" i="8"/>
  <c r="O365" i="8"/>
  <c r="N365" i="8"/>
  <c r="M365" i="8"/>
  <c r="L365" i="8"/>
  <c r="K365" i="8"/>
  <c r="J365" i="8"/>
  <c r="I365" i="8"/>
  <c r="H365" i="8"/>
  <c r="G365" i="8"/>
  <c r="F365" i="8"/>
  <c r="Z359" i="8"/>
  <c r="Y359" i="8"/>
  <c r="X359" i="8"/>
  <c r="W359" i="8"/>
  <c r="V359" i="8"/>
  <c r="U359" i="8"/>
  <c r="T359" i="8"/>
  <c r="S359" i="8"/>
  <c r="R359" i="8"/>
  <c r="Q359" i="8"/>
  <c r="P359" i="8"/>
  <c r="O359" i="8"/>
  <c r="N359" i="8"/>
  <c r="M359" i="8"/>
  <c r="L359" i="8"/>
  <c r="K359" i="8"/>
  <c r="J359" i="8"/>
  <c r="I359" i="8"/>
  <c r="H359" i="8"/>
  <c r="G359" i="8"/>
  <c r="F359" i="8"/>
  <c r="N388" i="8"/>
  <c r="G388" i="8"/>
  <c r="AA290" i="8"/>
  <c r="W290" i="8"/>
  <c r="W299" i="8" s="1"/>
  <c r="W300" i="8" s="1"/>
  <c r="V290" i="8"/>
  <c r="V299" i="8" s="1"/>
  <c r="U290" i="8"/>
  <c r="U309" i="8" s="1"/>
  <c r="U320" i="8" s="1"/>
  <c r="T290" i="8"/>
  <c r="T309" i="8" s="1"/>
  <c r="T320" i="8" s="1"/>
  <c r="S290" i="8"/>
  <c r="S309" i="8" s="1"/>
  <c r="S320" i="8" s="1"/>
  <c r="R286" i="8"/>
  <c r="R290" i="8" s="1"/>
  <c r="Q286" i="8"/>
  <c r="Q290" i="8" s="1"/>
  <c r="Q309" i="8" s="1"/>
  <c r="Q320" i="8" s="1"/>
  <c r="P286" i="8"/>
  <c r="P290" i="8" s="1"/>
  <c r="O286" i="8"/>
  <c r="O290" i="8" s="1"/>
  <c r="O309" i="8" s="1"/>
  <c r="O320" i="8" s="1"/>
  <c r="N286" i="8"/>
  <c r="N290" i="8" s="1"/>
  <c r="N309" i="8" s="1"/>
  <c r="N320" i="8" s="1"/>
  <c r="Z290" i="8"/>
  <c r="Y290" i="8"/>
  <c r="Y299" i="8" s="1"/>
  <c r="X290" i="8"/>
  <c r="X299" i="8" s="1"/>
  <c r="X300" i="8" s="1"/>
  <c r="AA298" i="8"/>
  <c r="U304" i="8"/>
  <c r="U316" i="8" s="1"/>
  <c r="S304" i="8"/>
  <c r="S316" i="8" s="1"/>
  <c r="P308" i="8"/>
  <c r="P319" i="8" s="1"/>
  <c r="U267" i="8"/>
  <c r="U272" i="8" s="1"/>
  <c r="T267" i="8"/>
  <c r="T272" i="8" s="1"/>
  <c r="S267" i="8"/>
  <c r="S272" i="8" s="1"/>
  <c r="N267" i="8"/>
  <c r="N272" i="8" s="1"/>
  <c r="AA303" i="8"/>
  <c r="X303" i="8"/>
  <c r="N265" i="8"/>
  <c r="Q264" i="8"/>
  <c r="P264" i="8"/>
  <c r="O264" i="8"/>
  <c r="Z262" i="8"/>
  <c r="Z265" i="8" s="1"/>
  <c r="Y262" i="8"/>
  <c r="Y265" i="8" s="1"/>
  <c r="U261" i="8"/>
  <c r="U265" i="8" s="1"/>
  <c r="T261" i="8"/>
  <c r="T265" i="8" s="1"/>
  <c r="S261" i="8"/>
  <c r="S265" i="8" s="1"/>
  <c r="Q261" i="8"/>
  <c r="Q265" i="8" s="1"/>
  <c r="P261" i="8"/>
  <c r="P265" i="8" s="1"/>
  <c r="AA257" i="8"/>
  <c r="Z256" i="8"/>
  <c r="Y256" i="8"/>
  <c r="U256" i="8"/>
  <c r="T256" i="8"/>
  <c r="S256" i="8"/>
  <c r="R256" i="8"/>
  <c r="Q256" i="8"/>
  <c r="P256" i="8"/>
  <c r="O256" i="8"/>
  <c r="N256" i="8"/>
  <c r="Z255" i="8"/>
  <c r="Y255" i="8"/>
  <c r="U255" i="8"/>
  <c r="T255" i="8"/>
  <c r="S255" i="8"/>
  <c r="R255" i="8"/>
  <c r="Q255" i="8"/>
  <c r="P255" i="8"/>
  <c r="O255" i="8"/>
  <c r="N255" i="8"/>
  <c r="AA242" i="8"/>
  <c r="G242" i="8"/>
  <c r="H242" i="8"/>
  <c r="I242" i="8"/>
  <c r="J242" i="8"/>
  <c r="K242" i="8"/>
  <c r="L242" i="8"/>
  <c r="M242" i="8"/>
  <c r="N242" i="8"/>
  <c r="O242" i="8"/>
  <c r="P242" i="8"/>
  <c r="Q242" i="8"/>
  <c r="R242" i="8"/>
  <c r="S242" i="8"/>
  <c r="T242" i="8"/>
  <c r="U242" i="8"/>
  <c r="V242" i="8"/>
  <c r="W242" i="8"/>
  <c r="X242" i="8"/>
  <c r="Y242" i="8"/>
  <c r="Z242" i="8"/>
  <c r="G243" i="8"/>
  <c r="H243" i="8"/>
  <c r="I243" i="8"/>
  <c r="J243" i="8"/>
  <c r="K243" i="8"/>
  <c r="L243" i="8"/>
  <c r="M243" i="8"/>
  <c r="N243" i="8"/>
  <c r="O243" i="8"/>
  <c r="P243" i="8"/>
  <c r="Q243" i="8"/>
  <c r="R243" i="8"/>
  <c r="S243" i="8"/>
  <c r="T243" i="8"/>
  <c r="U243" i="8"/>
  <c r="V243" i="8"/>
  <c r="W243" i="8"/>
  <c r="X243" i="8"/>
  <c r="Y243" i="8"/>
  <c r="Z243" i="8"/>
  <c r="AA243" i="8"/>
  <c r="G244" i="8"/>
  <c r="H244" i="8"/>
  <c r="I244" i="8"/>
  <c r="J244" i="8"/>
  <c r="K244" i="8"/>
  <c r="L244" i="8"/>
  <c r="M244" i="8"/>
  <c r="N244" i="8"/>
  <c r="O244" i="8"/>
  <c r="P244" i="8"/>
  <c r="Q244" i="8"/>
  <c r="R244" i="8"/>
  <c r="S244" i="8"/>
  <c r="T244" i="8"/>
  <c r="U244" i="8"/>
  <c r="V244" i="8"/>
  <c r="W244" i="8"/>
  <c r="X244" i="8"/>
  <c r="Y244" i="8"/>
  <c r="Z244" i="8"/>
  <c r="AA244" i="8"/>
  <c r="AA230" i="8"/>
  <c r="Z230" i="8"/>
  <c r="Y230" i="8"/>
  <c r="X230" i="8"/>
  <c r="W230" i="8"/>
  <c r="V230" i="8"/>
  <c r="U230" i="8"/>
  <c r="T230" i="8"/>
  <c r="S230" i="8"/>
  <c r="R230" i="8"/>
  <c r="Q230" i="8"/>
  <c r="P230" i="8"/>
  <c r="O230" i="8"/>
  <c r="N230" i="8"/>
  <c r="M230" i="8"/>
  <c r="L230" i="8"/>
  <c r="K230" i="8"/>
  <c r="J230" i="8"/>
  <c r="I230" i="8"/>
  <c r="H230" i="8"/>
  <c r="G230" i="8"/>
  <c r="F230" i="8"/>
  <c r="AA226" i="8"/>
  <c r="Z226" i="8"/>
  <c r="Y226" i="8"/>
  <c r="X226" i="8"/>
  <c r="W226" i="8"/>
  <c r="V226" i="8"/>
  <c r="U226" i="8"/>
  <c r="T226" i="8"/>
  <c r="S226" i="8"/>
  <c r="R226" i="8"/>
  <c r="Q226" i="8"/>
  <c r="P226" i="8"/>
  <c r="O226" i="8"/>
  <c r="N226" i="8"/>
  <c r="M226" i="8"/>
  <c r="L226" i="8"/>
  <c r="K226" i="8"/>
  <c r="J226" i="8"/>
  <c r="I226" i="8"/>
  <c r="H226" i="8"/>
  <c r="G226" i="8"/>
  <c r="F226" i="8"/>
  <c r="AA222" i="8"/>
  <c r="Z222" i="8"/>
  <c r="Y222" i="8"/>
  <c r="X222" i="8"/>
  <c r="W222" i="8"/>
  <c r="V222" i="8"/>
  <c r="U222" i="8"/>
  <c r="T222" i="8"/>
  <c r="S222" i="8"/>
  <c r="R222" i="8"/>
  <c r="Q222" i="8"/>
  <c r="P222" i="8"/>
  <c r="O222" i="8"/>
  <c r="N222" i="8"/>
  <c r="M222" i="8"/>
  <c r="L222" i="8"/>
  <c r="K222" i="8"/>
  <c r="J222" i="8"/>
  <c r="I222" i="8"/>
  <c r="H222" i="8"/>
  <c r="G222" i="8"/>
  <c r="F222" i="8"/>
  <c r="AA218" i="8"/>
  <c r="Z218" i="8"/>
  <c r="Y218" i="8"/>
  <c r="X218" i="8"/>
  <c r="W218" i="8"/>
  <c r="V218" i="8"/>
  <c r="U218" i="8"/>
  <c r="T218" i="8"/>
  <c r="S218" i="8"/>
  <c r="R218" i="8"/>
  <c r="Q218" i="8"/>
  <c r="P218" i="8"/>
  <c r="O218" i="8"/>
  <c r="N218" i="8"/>
  <c r="M218" i="8"/>
  <c r="L218" i="8"/>
  <c r="K218" i="8"/>
  <c r="J218" i="8"/>
  <c r="I218" i="8"/>
  <c r="H218" i="8"/>
  <c r="G218" i="8"/>
  <c r="F218" i="8"/>
  <c r="AA214" i="8"/>
  <c r="Z214" i="8"/>
  <c r="Y214" i="8"/>
  <c r="X214" i="8"/>
  <c r="W214" i="8"/>
  <c r="V214" i="8"/>
  <c r="U214" i="8"/>
  <c r="T214" i="8"/>
  <c r="S214" i="8"/>
  <c r="R214" i="8"/>
  <c r="Q214" i="8"/>
  <c r="P214" i="8"/>
  <c r="O214" i="8"/>
  <c r="N214" i="8"/>
  <c r="M214" i="8"/>
  <c r="L214" i="8"/>
  <c r="K214" i="8"/>
  <c r="J214" i="8"/>
  <c r="I214" i="8"/>
  <c r="H214" i="8"/>
  <c r="G214" i="8"/>
  <c r="F214" i="8"/>
  <c r="AA210" i="8"/>
  <c r="Z210" i="8"/>
  <c r="Y210" i="8"/>
  <c r="X210" i="8"/>
  <c r="W210" i="8"/>
  <c r="V210" i="8"/>
  <c r="U210" i="8"/>
  <c r="T210" i="8"/>
  <c r="S210" i="8"/>
  <c r="R210" i="8"/>
  <c r="Q210" i="8"/>
  <c r="P210" i="8"/>
  <c r="O210" i="8"/>
  <c r="N210" i="8"/>
  <c r="AA206" i="8"/>
  <c r="Z206" i="8"/>
  <c r="Y206" i="8"/>
  <c r="X206" i="8"/>
  <c r="W206" i="8"/>
  <c r="V206" i="8"/>
  <c r="U206" i="8"/>
  <c r="T206" i="8"/>
  <c r="S206" i="8"/>
  <c r="R206" i="8"/>
  <c r="Q206" i="8"/>
  <c r="P206" i="8"/>
  <c r="O206" i="8"/>
  <c r="N206" i="8"/>
  <c r="M206" i="8"/>
  <c r="O202" i="8"/>
  <c r="P202" i="8" s="1"/>
  <c r="Q202" i="8" s="1"/>
  <c r="R202" i="8" s="1"/>
  <c r="S202" i="8" s="1"/>
  <c r="T202" i="8" s="1"/>
  <c r="U202" i="8" s="1"/>
  <c r="V202" i="8" s="1"/>
  <c r="W202" i="8" s="1"/>
  <c r="X202" i="8" s="1"/>
  <c r="Y202" i="8" s="1"/>
  <c r="Z202" i="8" s="1"/>
  <c r="AA202" i="8" s="1"/>
  <c r="AB202" i="8" s="1"/>
  <c r="G202" i="8"/>
  <c r="H202" i="8" s="1"/>
  <c r="I202" i="8" s="1"/>
  <c r="J202" i="8" s="1"/>
  <c r="K202" i="8" s="1"/>
  <c r="L202" i="8" s="1"/>
  <c r="M202" i="8" s="1"/>
  <c r="O388" i="8"/>
  <c r="W388" i="8"/>
  <c r="P388" i="8"/>
  <c r="X388" i="8"/>
  <c r="Q388" i="8"/>
  <c r="Y388" i="8"/>
  <c r="R388" i="8"/>
  <c r="Z388" i="8"/>
  <c r="S388" i="8"/>
  <c r="AA449" i="8"/>
  <c r="AA158" i="8"/>
  <c r="AA146" i="8"/>
  <c r="AA131" i="8"/>
  <c r="AA150" i="8"/>
  <c r="AA57" i="3"/>
  <c r="AA51" i="3"/>
  <c r="AA43" i="3"/>
  <c r="L263" i="3"/>
  <c r="M263" i="3"/>
  <c r="G70" i="3"/>
  <c r="H70" i="3" s="1"/>
  <c r="I70" i="3" s="1"/>
  <c r="J70" i="3" s="1"/>
  <c r="K70" i="3" s="1"/>
  <c r="L70" i="3" s="1"/>
  <c r="M70" i="3" s="1"/>
  <c r="N70" i="3" s="1"/>
  <c r="O70" i="3" s="1"/>
  <c r="P70" i="3" s="1"/>
  <c r="Q70" i="3" s="1"/>
  <c r="R70" i="3" s="1"/>
  <c r="S70" i="3" s="1"/>
  <c r="T70" i="3" s="1"/>
  <c r="U70" i="3" s="1"/>
  <c r="V70" i="3" s="1"/>
  <c r="W70" i="3" s="1"/>
  <c r="X70" i="3" s="1"/>
  <c r="Y70" i="3" s="1"/>
  <c r="Z70" i="3" s="1"/>
  <c r="AA70" i="3" s="1"/>
  <c r="AB70" i="3" s="1"/>
  <c r="L11" i="3"/>
  <c r="L55" i="3"/>
  <c r="J11" i="3"/>
  <c r="J80" i="3"/>
  <c r="J112" i="3" s="1"/>
  <c r="F8" i="73"/>
  <c r="F7" i="73"/>
  <c r="F6" i="73"/>
  <c r="F5" i="73"/>
  <c r="F4" i="73"/>
  <c r="F3" i="73"/>
  <c r="T48" i="42"/>
  <c r="K187" i="60"/>
  <c r="R373" i="60"/>
  <c r="R372" i="60"/>
  <c r="Q372" i="60"/>
  <c r="N371" i="60"/>
  <c r="O371" i="60"/>
  <c r="P371" i="60"/>
  <c r="Q371" i="60"/>
  <c r="R371" i="60"/>
  <c r="R367" i="60"/>
  <c r="Q367" i="60"/>
  <c r="P367" i="60"/>
  <c r="O367" i="60"/>
  <c r="N367" i="60"/>
  <c r="M367" i="60"/>
  <c r="M364" i="60"/>
  <c r="R359" i="60"/>
  <c r="Q359" i="60"/>
  <c r="P359" i="60"/>
  <c r="O359" i="60"/>
  <c r="N359" i="60"/>
  <c r="M359" i="60"/>
  <c r="K356" i="60"/>
  <c r="N353" i="60"/>
  <c r="L353" i="60"/>
  <c r="F353" i="60"/>
  <c r="Q351" i="60"/>
  <c r="O351" i="60"/>
  <c r="I351" i="60"/>
  <c r="G351" i="60"/>
  <c r="R350" i="60"/>
  <c r="R351" i="60"/>
  <c r="Q350" i="60"/>
  <c r="P350" i="60"/>
  <c r="P351" i="60"/>
  <c r="O350" i="60"/>
  <c r="N350" i="60"/>
  <c r="N351" i="60"/>
  <c r="M350" i="60"/>
  <c r="M351" i="60"/>
  <c r="L350" i="60"/>
  <c r="L351" i="60"/>
  <c r="K350" i="60"/>
  <c r="J350" i="60"/>
  <c r="J353" i="60"/>
  <c r="J354" i="60"/>
  <c r="I350" i="60"/>
  <c r="I353" i="60"/>
  <c r="H350" i="60"/>
  <c r="H353" i="60"/>
  <c r="H354" i="60"/>
  <c r="G350" i="60"/>
  <c r="G353" i="60"/>
  <c r="G354" i="60"/>
  <c r="F350" i="60"/>
  <c r="R346" i="60"/>
  <c r="L343" i="60"/>
  <c r="F343" i="60"/>
  <c r="F347" i="60"/>
  <c r="C342" i="60"/>
  <c r="R341" i="60"/>
  <c r="Q341" i="60"/>
  <c r="P341" i="60"/>
  <c r="O341" i="60"/>
  <c r="N341" i="60"/>
  <c r="M341" i="60"/>
  <c r="M352" i="60"/>
  <c r="C341" i="60"/>
  <c r="R340" i="60"/>
  <c r="R352" i="60"/>
  <c r="Q340" i="60"/>
  <c r="P340" i="60"/>
  <c r="P352" i="60"/>
  <c r="O340" i="60"/>
  <c r="O352" i="60"/>
  <c r="N340" i="60"/>
  <c r="N352" i="60"/>
  <c r="C340" i="60"/>
  <c r="R338" i="60"/>
  <c r="R356" i="60"/>
  <c r="Q338" i="60"/>
  <c r="Q356" i="60"/>
  <c r="P338" i="60"/>
  <c r="P356" i="60"/>
  <c r="O338" i="60"/>
  <c r="O356" i="60"/>
  <c r="N338" i="60"/>
  <c r="N356" i="60"/>
  <c r="M338" i="60"/>
  <c r="L338" i="60"/>
  <c r="L356" i="60"/>
  <c r="K338" i="60"/>
  <c r="K343" i="60"/>
  <c r="J338" i="60"/>
  <c r="J356" i="60"/>
  <c r="I338" i="60"/>
  <c r="I356" i="60"/>
  <c r="H338" i="60"/>
  <c r="H356" i="60"/>
  <c r="G338" i="60"/>
  <c r="G356" i="60"/>
  <c r="F338" i="60"/>
  <c r="F356" i="60"/>
  <c r="C338" i="60"/>
  <c r="I332" i="60"/>
  <c r="O329" i="60"/>
  <c r="G329" i="60"/>
  <c r="G333" i="60"/>
  <c r="I328" i="60"/>
  <c r="G326" i="60"/>
  <c r="H326" i="60"/>
  <c r="I326" i="60"/>
  <c r="J326" i="60"/>
  <c r="K326" i="60"/>
  <c r="L326" i="60"/>
  <c r="M326" i="60"/>
  <c r="N326" i="60"/>
  <c r="O326" i="60"/>
  <c r="P326" i="60"/>
  <c r="Q326" i="60"/>
  <c r="R326" i="60"/>
  <c r="L325" i="60"/>
  <c r="R324" i="60"/>
  <c r="L324" i="60"/>
  <c r="R323" i="60"/>
  <c r="Q323" i="60"/>
  <c r="Q325" i="60"/>
  <c r="P323" i="60"/>
  <c r="O323" i="60"/>
  <c r="O325" i="60"/>
  <c r="N323" i="60"/>
  <c r="S323" i="60"/>
  <c r="M323" i="60"/>
  <c r="L323" i="60"/>
  <c r="K323" i="60"/>
  <c r="J323" i="60"/>
  <c r="I323" i="60"/>
  <c r="I325" i="60"/>
  <c r="H323" i="60"/>
  <c r="G323" i="60"/>
  <c r="G325" i="60"/>
  <c r="F323" i="60"/>
  <c r="F324" i="60"/>
  <c r="F325" i="60"/>
  <c r="P321" i="60"/>
  <c r="H321" i="60"/>
  <c r="F321" i="60"/>
  <c r="R320" i="60"/>
  <c r="R321" i="60"/>
  <c r="Q320" i="60"/>
  <c r="Q324" i="60"/>
  <c r="P320" i="60"/>
  <c r="P324" i="60"/>
  <c r="O320" i="60"/>
  <c r="O324" i="60"/>
  <c r="N320" i="60"/>
  <c r="M320" i="60"/>
  <c r="M321" i="60"/>
  <c r="L320" i="60"/>
  <c r="L321" i="60"/>
  <c r="K320" i="60"/>
  <c r="K321" i="60"/>
  <c r="J320" i="60"/>
  <c r="J321" i="60"/>
  <c r="I320" i="60"/>
  <c r="I324" i="60"/>
  <c r="H320" i="60"/>
  <c r="H324" i="60"/>
  <c r="G320" i="60"/>
  <c r="G324" i="60"/>
  <c r="Q315" i="60"/>
  <c r="N315" i="60"/>
  <c r="O315" i="60"/>
  <c r="M315" i="60"/>
  <c r="P314" i="60"/>
  <c r="N313" i="60"/>
  <c r="M313" i="60"/>
  <c r="M314" i="60"/>
  <c r="K311" i="60"/>
  <c r="L311" i="60"/>
  <c r="M311" i="60"/>
  <c r="N311" i="60"/>
  <c r="O311" i="60"/>
  <c r="P311" i="60"/>
  <c r="Q311" i="60"/>
  <c r="R311" i="60"/>
  <c r="G311" i="60"/>
  <c r="H311" i="60"/>
  <c r="I311" i="60"/>
  <c r="J311" i="60"/>
  <c r="R310" i="60"/>
  <c r="Q310" i="60"/>
  <c r="N310" i="60"/>
  <c r="O307" i="60"/>
  <c r="N302" i="60"/>
  <c r="I297" i="60"/>
  <c r="P295" i="60"/>
  <c r="N295" i="60"/>
  <c r="H295" i="60"/>
  <c r="F295" i="60"/>
  <c r="R294" i="60"/>
  <c r="R329" i="60"/>
  <c r="Q294" i="60"/>
  <c r="Q329" i="60"/>
  <c r="P294" i="60"/>
  <c r="P329" i="60"/>
  <c r="O294" i="60"/>
  <c r="N294" i="60"/>
  <c r="N329" i="60"/>
  <c r="M294" i="60"/>
  <c r="M329" i="60"/>
  <c r="L294" i="60"/>
  <c r="L329" i="60"/>
  <c r="L333" i="60"/>
  <c r="L115" i="60"/>
  <c r="L119" i="60"/>
  <c r="K294" i="60"/>
  <c r="K329" i="60"/>
  <c r="K333" i="60"/>
  <c r="K115" i="60"/>
  <c r="K119" i="60"/>
  <c r="J294" i="60"/>
  <c r="J329" i="60"/>
  <c r="J333" i="60"/>
  <c r="J115" i="60"/>
  <c r="J119" i="60"/>
  <c r="I294" i="60"/>
  <c r="I329" i="60"/>
  <c r="I333" i="60"/>
  <c r="I115" i="60"/>
  <c r="I119" i="60"/>
  <c r="H294" i="60"/>
  <c r="H329" i="60"/>
  <c r="H333" i="60"/>
  <c r="H115" i="60"/>
  <c r="G294" i="60"/>
  <c r="F294" i="60"/>
  <c r="F329" i="60"/>
  <c r="F333" i="60"/>
  <c r="I287" i="60"/>
  <c r="N286" i="60"/>
  <c r="H286" i="60"/>
  <c r="F286" i="60"/>
  <c r="R285" i="60"/>
  <c r="Q284" i="60"/>
  <c r="R284" i="60"/>
  <c r="N283" i="60"/>
  <c r="O283" i="60"/>
  <c r="P283" i="60"/>
  <c r="R282" i="60"/>
  <c r="R302" i="60"/>
  <c r="Q282" i="60"/>
  <c r="Q302" i="60"/>
  <c r="P282" i="60"/>
  <c r="P302" i="60"/>
  <c r="O282" i="60"/>
  <c r="N282" i="60"/>
  <c r="M282" i="60"/>
  <c r="L282" i="60"/>
  <c r="L295" i="60"/>
  <c r="K282" i="60"/>
  <c r="J282" i="60"/>
  <c r="J295" i="60"/>
  <c r="I282" i="60"/>
  <c r="I295" i="60"/>
  <c r="I298" i="60"/>
  <c r="H282" i="60"/>
  <c r="G282" i="60"/>
  <c r="G295" i="60"/>
  <c r="F282" i="60"/>
  <c r="H280" i="60"/>
  <c r="I280" i="60"/>
  <c r="J280" i="60"/>
  <c r="K280" i="60"/>
  <c r="L280" i="60"/>
  <c r="M280" i="60"/>
  <c r="N280" i="60"/>
  <c r="O280" i="60"/>
  <c r="P280" i="60"/>
  <c r="Q280" i="60"/>
  <c r="R280" i="60"/>
  <c r="G280" i="60"/>
  <c r="S267" i="60"/>
  <c r="S266" i="60"/>
  <c r="N260" i="60"/>
  <c r="G257" i="60"/>
  <c r="H252" i="60"/>
  <c r="H257" i="60"/>
  <c r="I252" i="60"/>
  <c r="I257" i="60"/>
  <c r="J252" i="60"/>
  <c r="J257" i="60"/>
  <c r="K252" i="60"/>
  <c r="K257" i="60"/>
  <c r="F257" i="60"/>
  <c r="L252" i="60"/>
  <c r="L257" i="60"/>
  <c r="M252" i="60"/>
  <c r="M257" i="60"/>
  <c r="R250" i="60"/>
  <c r="R370" i="60"/>
  <c r="R375" i="60"/>
  <c r="Q250" i="60"/>
  <c r="Q370" i="60"/>
  <c r="P250" i="60"/>
  <c r="P370" i="60"/>
  <c r="P375" i="60"/>
  <c r="O250" i="60"/>
  <c r="O370" i="60"/>
  <c r="O375" i="60"/>
  <c r="N250" i="60"/>
  <c r="N370" i="60"/>
  <c r="N375" i="60"/>
  <c r="M250" i="60"/>
  <c r="M370" i="60"/>
  <c r="M375" i="60"/>
  <c r="L250" i="60"/>
  <c r="L370" i="60"/>
  <c r="L375" i="60"/>
  <c r="L377" i="60"/>
  <c r="K250" i="60"/>
  <c r="K370" i="60"/>
  <c r="K375" i="60"/>
  <c r="K377" i="60"/>
  <c r="K378" i="60"/>
  <c r="J250" i="60"/>
  <c r="J370" i="60"/>
  <c r="J375" i="60"/>
  <c r="J377" i="60"/>
  <c r="J378" i="60"/>
  <c r="I250" i="60"/>
  <c r="I370" i="60"/>
  <c r="I375" i="60"/>
  <c r="I377" i="60"/>
  <c r="H250" i="60"/>
  <c r="H370" i="60"/>
  <c r="H375" i="60"/>
  <c r="H377" i="60"/>
  <c r="G250" i="60"/>
  <c r="G370" i="60"/>
  <c r="G375" i="60"/>
  <c r="G377" i="60"/>
  <c r="G378" i="60"/>
  <c r="F250" i="60"/>
  <c r="F370" i="60"/>
  <c r="F375" i="60"/>
  <c r="F377" i="60"/>
  <c r="G249" i="60"/>
  <c r="H249" i="60"/>
  <c r="I249" i="60"/>
  <c r="J249" i="60"/>
  <c r="K249" i="60"/>
  <c r="L249" i="60"/>
  <c r="M249" i="60"/>
  <c r="N249" i="60"/>
  <c r="O249" i="60"/>
  <c r="P249" i="60"/>
  <c r="Q249" i="60"/>
  <c r="R249" i="60"/>
  <c r="K248" i="60"/>
  <c r="I248" i="60"/>
  <c r="R245" i="60"/>
  <c r="Q245" i="60"/>
  <c r="P245" i="60"/>
  <c r="P248" i="60"/>
  <c r="Q230" i="60"/>
  <c r="Q248" i="60"/>
  <c r="R230" i="60"/>
  <c r="R248" i="60"/>
  <c r="S248" i="60"/>
  <c r="O245" i="60"/>
  <c r="O248" i="60"/>
  <c r="N245" i="60"/>
  <c r="N248" i="60"/>
  <c r="M245" i="60"/>
  <c r="M248" i="60"/>
  <c r="L245" i="60"/>
  <c r="L248" i="60"/>
  <c r="K245" i="60"/>
  <c r="J245" i="60"/>
  <c r="J248" i="60"/>
  <c r="I245" i="60"/>
  <c r="H245" i="60"/>
  <c r="H248" i="60"/>
  <c r="G245" i="60"/>
  <c r="G248" i="60"/>
  <c r="F245" i="60"/>
  <c r="F248" i="60"/>
  <c r="H229" i="60"/>
  <c r="I229" i="60"/>
  <c r="J229" i="60"/>
  <c r="K229" i="60"/>
  <c r="L229" i="60"/>
  <c r="M229" i="60"/>
  <c r="N229" i="60"/>
  <c r="O229" i="60"/>
  <c r="P229" i="60"/>
  <c r="Q229" i="60"/>
  <c r="R229" i="60"/>
  <c r="G229" i="60"/>
  <c r="R224" i="60"/>
  <c r="Q219" i="60"/>
  <c r="P214" i="60"/>
  <c r="O208" i="60"/>
  <c r="N202" i="60"/>
  <c r="M196" i="60"/>
  <c r="L191" i="60"/>
  <c r="K184" i="60"/>
  <c r="J178" i="60"/>
  <c r="I175" i="60"/>
  <c r="I173" i="60"/>
  <c r="H168" i="60"/>
  <c r="G166" i="60"/>
  <c r="G160" i="60"/>
  <c r="F153" i="60"/>
  <c r="N150" i="60"/>
  <c r="M150" i="60"/>
  <c r="L150" i="60"/>
  <c r="K150" i="60"/>
  <c r="J150" i="60"/>
  <c r="I150" i="60"/>
  <c r="H150" i="60"/>
  <c r="G150" i="60"/>
  <c r="Q151" i="60"/>
  <c r="O151" i="60"/>
  <c r="N152" i="60"/>
  <c r="L157" i="60"/>
  <c r="J157" i="60"/>
  <c r="H152" i="60"/>
  <c r="F152" i="60"/>
  <c r="F146" i="60"/>
  <c r="Q145" i="60"/>
  <c r="O145" i="60"/>
  <c r="O82" i="60"/>
  <c r="I145" i="60"/>
  <c r="Q143" i="60"/>
  <c r="Q80" i="60"/>
  <c r="K143" i="60"/>
  <c r="K80" i="60"/>
  <c r="I143" i="60"/>
  <c r="I80" i="60"/>
  <c r="I141" i="60"/>
  <c r="I142" i="60"/>
  <c r="I79" i="60"/>
  <c r="R137" i="60"/>
  <c r="R145" i="60"/>
  <c r="Q137" i="60"/>
  <c r="P137" i="60"/>
  <c r="P145" i="60"/>
  <c r="O137" i="60"/>
  <c r="N137" i="60"/>
  <c r="N145" i="60"/>
  <c r="M137" i="60"/>
  <c r="M145" i="60"/>
  <c r="M82" i="60"/>
  <c r="L137" i="60"/>
  <c r="L145" i="60"/>
  <c r="K137" i="60"/>
  <c r="K145" i="60"/>
  <c r="J137" i="60"/>
  <c r="J145" i="60"/>
  <c r="I137" i="60"/>
  <c r="R135" i="60"/>
  <c r="R143" i="60"/>
  <c r="R80" i="60"/>
  <c r="Q135" i="60"/>
  <c r="P135" i="60"/>
  <c r="P143" i="60"/>
  <c r="P80" i="60"/>
  <c r="O135" i="60"/>
  <c r="O143" i="60"/>
  <c r="O80" i="60"/>
  <c r="N135" i="60"/>
  <c r="N143" i="60"/>
  <c r="M135" i="60"/>
  <c r="M143" i="60"/>
  <c r="M80" i="60"/>
  <c r="L135" i="60"/>
  <c r="L143" i="60"/>
  <c r="L80" i="60"/>
  <c r="K135" i="60"/>
  <c r="J135" i="60"/>
  <c r="J143" i="60"/>
  <c r="J80" i="60"/>
  <c r="I135" i="60"/>
  <c r="H135" i="60"/>
  <c r="H143" i="60"/>
  <c r="H80" i="60"/>
  <c r="G135" i="60"/>
  <c r="G143" i="60"/>
  <c r="G80" i="60"/>
  <c r="F135" i="60"/>
  <c r="F143" i="60"/>
  <c r="I134" i="60"/>
  <c r="I140" i="60"/>
  <c r="G133" i="60"/>
  <c r="R132" i="60"/>
  <c r="R226" i="60"/>
  <c r="Q132" i="60"/>
  <c r="Q221" i="60"/>
  <c r="P132" i="60"/>
  <c r="P216" i="60"/>
  <c r="O132" i="60"/>
  <c r="O210" i="60"/>
  <c r="N132" i="60"/>
  <c r="N204" i="60"/>
  <c r="M132" i="60"/>
  <c r="M198" i="60"/>
  <c r="L132" i="60"/>
  <c r="K132" i="60"/>
  <c r="J132" i="60"/>
  <c r="I132" i="60"/>
  <c r="H132" i="60"/>
  <c r="G132" i="60"/>
  <c r="F132" i="60"/>
  <c r="F133" i="60"/>
  <c r="F287" i="60"/>
  <c r="Q131" i="60"/>
  <c r="P131" i="60"/>
  <c r="O131" i="60"/>
  <c r="L131" i="60"/>
  <c r="K131" i="60"/>
  <c r="J131" i="60"/>
  <c r="I131" i="60"/>
  <c r="H131" i="60"/>
  <c r="G131" i="60"/>
  <c r="F131" i="60"/>
  <c r="G130" i="60"/>
  <c r="H130" i="60"/>
  <c r="I130" i="60"/>
  <c r="J130" i="60"/>
  <c r="K130" i="60"/>
  <c r="L130" i="60"/>
  <c r="M130" i="60"/>
  <c r="N130" i="60"/>
  <c r="O130" i="60"/>
  <c r="P130" i="60"/>
  <c r="Q130" i="60"/>
  <c r="R130" i="60"/>
  <c r="R127" i="60"/>
  <c r="Q127" i="60"/>
  <c r="P127" i="60"/>
  <c r="O127" i="60"/>
  <c r="I122" i="60"/>
  <c r="J122" i="60"/>
  <c r="F120" i="60"/>
  <c r="R118" i="60"/>
  <c r="Q118" i="60"/>
  <c r="M118" i="60"/>
  <c r="O117" i="60"/>
  <c r="P117" i="60"/>
  <c r="Q117" i="60"/>
  <c r="N117" i="60"/>
  <c r="G115" i="60"/>
  <c r="G119" i="60"/>
  <c r="F115" i="60"/>
  <c r="F119" i="60"/>
  <c r="F121" i="60"/>
  <c r="F126" i="60"/>
  <c r="H114" i="60"/>
  <c r="I112" i="60"/>
  <c r="L109" i="60"/>
  <c r="K109" i="60"/>
  <c r="J109" i="60"/>
  <c r="R105" i="60"/>
  <c r="Q105" i="60"/>
  <c r="M105" i="60"/>
  <c r="R103" i="60"/>
  <c r="Q102" i="60"/>
  <c r="R102" i="60"/>
  <c r="N101" i="60"/>
  <c r="O101" i="60"/>
  <c r="P101" i="60"/>
  <c r="Q101" i="60"/>
  <c r="R101" i="60"/>
  <c r="L100" i="60"/>
  <c r="L106" i="60"/>
  <c r="L110" i="60"/>
  <c r="K100" i="60"/>
  <c r="J100" i="60"/>
  <c r="I100" i="60"/>
  <c r="H100" i="60"/>
  <c r="G100" i="60"/>
  <c r="F100" i="60"/>
  <c r="F106" i="60"/>
  <c r="F110" i="60"/>
  <c r="R99" i="60"/>
  <c r="Q99" i="60"/>
  <c r="P99" i="60"/>
  <c r="O99" i="60"/>
  <c r="N99" i="60"/>
  <c r="M99" i="60"/>
  <c r="L99" i="60"/>
  <c r="K99" i="60"/>
  <c r="K106" i="60"/>
  <c r="K110" i="60"/>
  <c r="J99" i="60"/>
  <c r="I99" i="60"/>
  <c r="I106" i="60"/>
  <c r="I110" i="60"/>
  <c r="H99" i="60"/>
  <c r="G99" i="60"/>
  <c r="G106" i="60"/>
  <c r="G110" i="60"/>
  <c r="F99" i="60"/>
  <c r="N98" i="60"/>
  <c r="L98" i="60"/>
  <c r="K98" i="60"/>
  <c r="J98" i="60"/>
  <c r="I98" i="60"/>
  <c r="H98" i="60"/>
  <c r="G98" i="60"/>
  <c r="F98" i="60"/>
  <c r="R94" i="60"/>
  <c r="S107" i="60"/>
  <c r="Q94" i="60"/>
  <c r="P94" i="60"/>
  <c r="O94" i="60"/>
  <c r="N94" i="60"/>
  <c r="M94" i="60"/>
  <c r="M98" i="60"/>
  <c r="Q93" i="60"/>
  <c r="P93" i="60"/>
  <c r="P98" i="60"/>
  <c r="O93" i="60"/>
  <c r="O98" i="60"/>
  <c r="R88" i="60"/>
  <c r="R98" i="60"/>
  <c r="Q88" i="60"/>
  <c r="Q98" i="60"/>
  <c r="P88" i="60"/>
  <c r="Q87" i="60"/>
  <c r="R87" i="60"/>
  <c r="G87" i="60"/>
  <c r="H87" i="60"/>
  <c r="I87" i="60"/>
  <c r="J87" i="60"/>
  <c r="K87" i="60"/>
  <c r="L87" i="60"/>
  <c r="F83" i="60"/>
  <c r="N82" i="60"/>
  <c r="L82" i="60"/>
  <c r="N80" i="60"/>
  <c r="F80" i="60"/>
  <c r="I78" i="60"/>
  <c r="R69" i="60"/>
  <c r="P69" i="60"/>
  <c r="L69" i="60"/>
  <c r="J69" i="60"/>
  <c r="I69" i="60"/>
  <c r="H69" i="60"/>
  <c r="F69" i="60"/>
  <c r="R66" i="60"/>
  <c r="Q66" i="60"/>
  <c r="Q69" i="60"/>
  <c r="P66" i="60"/>
  <c r="O66" i="60"/>
  <c r="O69" i="60"/>
  <c r="N66" i="60"/>
  <c r="N69" i="60"/>
  <c r="M66" i="60"/>
  <c r="M64" i="60"/>
  <c r="M69" i="60"/>
  <c r="K64" i="60"/>
  <c r="K69" i="60"/>
  <c r="J64" i="60"/>
  <c r="G64" i="60"/>
  <c r="G69" i="60"/>
  <c r="Q57" i="60"/>
  <c r="R57" i="60"/>
  <c r="G57" i="60"/>
  <c r="H57" i="60"/>
  <c r="I57" i="60"/>
  <c r="J57" i="60"/>
  <c r="K57" i="60"/>
  <c r="L57" i="60"/>
  <c r="N54" i="60"/>
  <c r="F54" i="60"/>
  <c r="R53" i="60"/>
  <c r="Q53" i="60"/>
  <c r="P53" i="60"/>
  <c r="O53" i="60"/>
  <c r="R52" i="60"/>
  <c r="Q52" i="60"/>
  <c r="S39" i="60"/>
  <c r="P52" i="60"/>
  <c r="O52" i="60"/>
  <c r="N52" i="60"/>
  <c r="M52" i="60"/>
  <c r="L52" i="60"/>
  <c r="K52" i="60"/>
  <c r="I52" i="60"/>
  <c r="G52" i="60"/>
  <c r="F52" i="60"/>
  <c r="J48" i="60"/>
  <c r="J52" i="60"/>
  <c r="I48" i="60"/>
  <c r="H47" i="60"/>
  <c r="H52" i="60"/>
  <c r="I46" i="60"/>
  <c r="R44" i="60"/>
  <c r="Q44" i="60"/>
  <c r="P44" i="60"/>
  <c r="O44" i="60"/>
  <c r="N44" i="60"/>
  <c r="M44" i="60"/>
  <c r="J44" i="60"/>
  <c r="I44" i="60"/>
  <c r="H44" i="60"/>
  <c r="H54" i="60"/>
  <c r="G44" i="60"/>
  <c r="F44" i="60"/>
  <c r="L43" i="60"/>
  <c r="L44" i="60"/>
  <c r="K43" i="60"/>
  <c r="K44" i="60"/>
  <c r="J43" i="60"/>
  <c r="Q39" i="60"/>
  <c r="O39" i="60"/>
  <c r="O54" i="60"/>
  <c r="N39" i="60"/>
  <c r="M39" i="60"/>
  <c r="M54" i="60"/>
  <c r="L39" i="60"/>
  <c r="L54" i="60"/>
  <c r="K39" i="60"/>
  <c r="K54" i="60"/>
  <c r="J39" i="60"/>
  <c r="J54" i="60"/>
  <c r="I39" i="60"/>
  <c r="H39" i="60"/>
  <c r="G39" i="60"/>
  <c r="F39" i="60"/>
  <c r="S38" i="60"/>
  <c r="Q34" i="60"/>
  <c r="P34" i="60"/>
  <c r="O34" i="60"/>
  <c r="R29" i="60"/>
  <c r="R39" i="60"/>
  <c r="Q29" i="60"/>
  <c r="P29" i="60"/>
  <c r="P39" i="60"/>
  <c r="P54" i="60"/>
  <c r="M27" i="60"/>
  <c r="N27" i="60"/>
  <c r="O27" i="60"/>
  <c r="P27" i="60"/>
  <c r="Q27" i="60"/>
  <c r="R27" i="60"/>
  <c r="G27" i="60"/>
  <c r="H27" i="60"/>
  <c r="I27" i="60"/>
  <c r="J27" i="60"/>
  <c r="K27" i="60"/>
  <c r="L27" i="60"/>
  <c r="Q26" i="60"/>
  <c r="I26" i="60"/>
  <c r="P25" i="60"/>
  <c r="O25" i="60"/>
  <c r="N25" i="60"/>
  <c r="L25" i="60"/>
  <c r="K25" i="60"/>
  <c r="J25" i="60"/>
  <c r="I25" i="60"/>
  <c r="H25" i="60"/>
  <c r="F25" i="60"/>
  <c r="H24" i="60"/>
  <c r="H137" i="60"/>
  <c r="H145" i="60"/>
  <c r="G24" i="60"/>
  <c r="G137" i="60"/>
  <c r="G145" i="60"/>
  <c r="F24" i="60"/>
  <c r="F137" i="60"/>
  <c r="F145" i="60"/>
  <c r="F147" i="60"/>
  <c r="S22" i="60"/>
  <c r="R22" i="60"/>
  <c r="R25" i="60"/>
  <c r="Q22" i="60"/>
  <c r="Q25" i="60"/>
  <c r="N22" i="60"/>
  <c r="N131" i="60"/>
  <c r="M22" i="60"/>
  <c r="R14" i="60"/>
  <c r="R26" i="60"/>
  <c r="Q14" i="60"/>
  <c r="P14" i="60"/>
  <c r="P26" i="60"/>
  <c r="O14" i="60"/>
  <c r="O26" i="60"/>
  <c r="N14" i="60"/>
  <c r="N26" i="60"/>
  <c r="M14" i="60"/>
  <c r="L14" i="60"/>
  <c r="L26" i="60"/>
  <c r="L55" i="60"/>
  <c r="K14" i="60"/>
  <c r="K26" i="60"/>
  <c r="K55" i="60"/>
  <c r="I14" i="60"/>
  <c r="H14" i="60"/>
  <c r="H26" i="60"/>
  <c r="F14" i="60"/>
  <c r="F26" i="60"/>
  <c r="F55" i="60"/>
  <c r="M9" i="60"/>
  <c r="K9" i="60"/>
  <c r="J9" i="60"/>
  <c r="J14" i="60"/>
  <c r="J26" i="60"/>
  <c r="J55" i="60"/>
  <c r="G9" i="60"/>
  <c r="G14" i="60"/>
  <c r="M2" i="60"/>
  <c r="N2" i="60"/>
  <c r="O2" i="60"/>
  <c r="P2" i="60"/>
  <c r="Q2" i="60"/>
  <c r="R2" i="60"/>
  <c r="S2" i="60"/>
  <c r="G2" i="60"/>
  <c r="H2" i="60"/>
  <c r="I2" i="60"/>
  <c r="J2" i="60"/>
  <c r="K2" i="60"/>
  <c r="L2" i="60"/>
  <c r="J152" i="60"/>
  <c r="L152" i="60"/>
  <c r="Q283" i="60"/>
  <c r="R283" i="60"/>
  <c r="P286" i="60"/>
  <c r="M259" i="60"/>
  <c r="M260" i="60"/>
  <c r="F298" i="60"/>
  <c r="L378" i="60"/>
  <c r="M356" i="60"/>
  <c r="M361" i="60"/>
  <c r="M362" i="60"/>
  <c r="M353" i="60"/>
  <c r="M354" i="60"/>
  <c r="I354" i="60"/>
  <c r="L354" i="60"/>
  <c r="G287" i="60"/>
  <c r="G297" i="60"/>
  <c r="G298" i="60"/>
  <c r="N314" i="60"/>
  <c r="O314" i="60"/>
  <c r="H325" i="60"/>
  <c r="P325" i="60"/>
  <c r="K353" i="60"/>
  <c r="K354" i="60"/>
  <c r="K351" i="60"/>
  <c r="M325" i="60"/>
  <c r="O313" i="60"/>
  <c r="Q346" i="60"/>
  <c r="Q366" i="60"/>
  <c r="S320" i="60"/>
  <c r="N324" i="60"/>
  <c r="H378" i="60"/>
  <c r="K295" i="60"/>
  <c r="K286" i="60"/>
  <c r="R325" i="60"/>
  <c r="I378" i="60"/>
  <c r="Q375" i="60"/>
  <c r="P296" i="60"/>
  <c r="J324" i="60"/>
  <c r="J325" i="60"/>
  <c r="M295" i="60"/>
  <c r="M286" i="60"/>
  <c r="M296" i="60"/>
  <c r="M302" i="60"/>
  <c r="M307" i="60"/>
  <c r="N321" i="60"/>
  <c r="S321" i="60"/>
  <c r="K347" i="60"/>
  <c r="L347" i="60"/>
  <c r="L348" i="60"/>
  <c r="L344" i="60"/>
  <c r="Q352" i="60"/>
  <c r="G286" i="60"/>
  <c r="O286" i="60"/>
  <c r="O295" i="60"/>
  <c r="N307" i="60"/>
  <c r="G321" i="60"/>
  <c r="O321" i="60"/>
  <c r="K324" i="60"/>
  <c r="K325" i="60"/>
  <c r="H351" i="60"/>
  <c r="H106" i="60"/>
  <c r="H110" i="60"/>
  <c r="I286" i="60"/>
  <c r="Q286" i="60"/>
  <c r="Q295" i="60"/>
  <c r="F297" i="60"/>
  <c r="O302" i="60"/>
  <c r="P307" i="60"/>
  <c r="I321" i="60"/>
  <c r="Q321" i="60"/>
  <c r="M324" i="60"/>
  <c r="G343" i="60"/>
  <c r="M346" i="60"/>
  <c r="J351" i="60"/>
  <c r="O353" i="60"/>
  <c r="O354" i="60"/>
  <c r="N366" i="60"/>
  <c r="J286" i="60"/>
  <c r="R286" i="60"/>
  <c r="R295" i="60"/>
  <c r="Q307" i="60"/>
  <c r="H343" i="60"/>
  <c r="N346" i="60"/>
  <c r="P353" i="60"/>
  <c r="J106" i="60"/>
  <c r="R307" i="60"/>
  <c r="I343" i="60"/>
  <c r="O346" i="60"/>
  <c r="Q353" i="60"/>
  <c r="Q354" i="60"/>
  <c r="H119" i="60"/>
  <c r="L286" i="60"/>
  <c r="N296" i="60"/>
  <c r="J343" i="60"/>
  <c r="P346" i="60"/>
  <c r="R353" i="60"/>
  <c r="G82" i="60"/>
  <c r="Q55" i="60"/>
  <c r="R117" i="60"/>
  <c r="P55" i="60"/>
  <c r="G141" i="60"/>
  <c r="H133" i="60"/>
  <c r="J82" i="60"/>
  <c r="R82" i="60"/>
  <c r="Q82" i="60"/>
  <c r="R157" i="60"/>
  <c r="H55" i="60"/>
  <c r="F82" i="60"/>
  <c r="F84" i="60"/>
  <c r="F134" i="60"/>
  <c r="F140" i="60"/>
  <c r="K82" i="60"/>
  <c r="K157" i="60"/>
  <c r="K152" i="60"/>
  <c r="G54" i="60"/>
  <c r="M25" i="60"/>
  <c r="M26" i="60"/>
  <c r="M55" i="60"/>
  <c r="M131" i="60"/>
  <c r="M157" i="60"/>
  <c r="Q54" i="60"/>
  <c r="H134" i="60"/>
  <c r="H140" i="60"/>
  <c r="F141" i="60"/>
  <c r="I144" i="60"/>
  <c r="I77" i="60"/>
  <c r="I81" i="60"/>
  <c r="M152" i="60"/>
  <c r="H82" i="60"/>
  <c r="F128" i="60"/>
  <c r="G134" i="60"/>
  <c r="G140" i="60"/>
  <c r="G26" i="60"/>
  <c r="G55" i="60"/>
  <c r="R54" i="60"/>
  <c r="R55" i="60"/>
  <c r="I54" i="60"/>
  <c r="I55" i="60"/>
  <c r="I136" i="60"/>
  <c r="I138" i="60"/>
  <c r="G152" i="60"/>
  <c r="O157" i="60"/>
  <c r="G153" i="60"/>
  <c r="P82" i="60"/>
  <c r="I82" i="60"/>
  <c r="P157" i="60"/>
  <c r="N55" i="60"/>
  <c r="O55" i="60"/>
  <c r="J110" i="60"/>
  <c r="J133" i="60"/>
  <c r="J180" i="60"/>
  <c r="I152" i="60"/>
  <c r="Q157" i="60"/>
  <c r="G162" i="60"/>
  <c r="G25" i="60"/>
  <c r="P151" i="60"/>
  <c r="R131" i="60"/>
  <c r="R151" i="60"/>
  <c r="G157" i="60"/>
  <c r="H157" i="60"/>
  <c r="I157" i="60"/>
  <c r="U13" i="57"/>
  <c r="V13" i="57"/>
  <c r="W13" i="57"/>
  <c r="X13" i="57"/>
  <c r="Y13" i="57"/>
  <c r="Z13" i="57"/>
  <c r="J297" i="60"/>
  <c r="J298" i="60"/>
  <c r="J287" i="60"/>
  <c r="F136" i="60"/>
  <c r="F138" i="60"/>
  <c r="O296" i="60"/>
  <c r="H287" i="60"/>
  <c r="H297" i="60"/>
  <c r="H298" i="60"/>
  <c r="R354" i="60"/>
  <c r="H347" i="60"/>
  <c r="H348" i="60"/>
  <c r="H344" i="60"/>
  <c r="M276" i="60"/>
  <c r="N259" i="60"/>
  <c r="N276" i="60"/>
  <c r="I347" i="60"/>
  <c r="I344" i="60"/>
  <c r="R296" i="60"/>
  <c r="G344" i="60"/>
  <c r="G347" i="60"/>
  <c r="G348" i="60"/>
  <c r="N354" i="60"/>
  <c r="S324" i="60"/>
  <c r="N325" i="60"/>
  <c r="S325" i="60"/>
  <c r="J347" i="60"/>
  <c r="J348" i="60"/>
  <c r="J344" i="60"/>
  <c r="K344" i="60"/>
  <c r="P354" i="60"/>
  <c r="Q296" i="60"/>
  <c r="H77" i="60"/>
  <c r="F77" i="60"/>
  <c r="F144" i="60"/>
  <c r="G165" i="60"/>
  <c r="G164" i="60"/>
  <c r="H153" i="60"/>
  <c r="G146" i="60"/>
  <c r="G120" i="60"/>
  <c r="G121" i="60"/>
  <c r="G126" i="60"/>
  <c r="G128" i="60"/>
  <c r="G77" i="60"/>
  <c r="G136" i="60"/>
  <c r="G138" i="60"/>
  <c r="N157" i="60"/>
  <c r="J141" i="60"/>
  <c r="K133" i="60"/>
  <c r="J181" i="60"/>
  <c r="I154" i="60"/>
  <c r="G78" i="60"/>
  <c r="G142" i="60"/>
  <c r="J134" i="60"/>
  <c r="J140" i="60"/>
  <c r="F78" i="60"/>
  <c r="F142" i="60"/>
  <c r="H170" i="60"/>
  <c r="H141" i="60"/>
  <c r="H136" i="60"/>
  <c r="H138" i="60"/>
  <c r="K287" i="60"/>
  <c r="K297" i="60"/>
  <c r="K298" i="60"/>
  <c r="F79" i="60"/>
  <c r="F332" i="60"/>
  <c r="F328" i="60"/>
  <c r="G79" i="60"/>
  <c r="G81" i="60"/>
  <c r="G332" i="60"/>
  <c r="G328" i="60"/>
  <c r="G144" i="60"/>
  <c r="I348" i="60"/>
  <c r="O259" i="60"/>
  <c r="O276" i="60"/>
  <c r="N277" i="60"/>
  <c r="K348" i="60"/>
  <c r="G154" i="60"/>
  <c r="F148" i="60"/>
  <c r="F154" i="60"/>
  <c r="H142" i="60"/>
  <c r="H78" i="60"/>
  <c r="F81" i="60"/>
  <c r="F85" i="60"/>
  <c r="F86" i="60"/>
  <c r="F129" i="60"/>
  <c r="J136" i="60"/>
  <c r="J138" i="60"/>
  <c r="H146" i="60"/>
  <c r="H120" i="60"/>
  <c r="H121" i="60"/>
  <c r="H126" i="60"/>
  <c r="H128" i="60"/>
  <c r="I153" i="60"/>
  <c r="H144" i="60"/>
  <c r="G83" i="60"/>
  <c r="G84" i="60"/>
  <c r="G147" i="60"/>
  <c r="G148" i="60"/>
  <c r="L133" i="60"/>
  <c r="K188" i="60"/>
  <c r="K134" i="60"/>
  <c r="K140" i="60"/>
  <c r="K141" i="60"/>
  <c r="J142" i="60"/>
  <c r="J78" i="60"/>
  <c r="J77" i="60"/>
  <c r="J79" i="60"/>
  <c r="J332" i="60"/>
  <c r="J328" i="60"/>
  <c r="L287" i="60"/>
  <c r="L297" i="60"/>
  <c r="L298" i="60"/>
  <c r="P259" i="60"/>
  <c r="P276" i="60"/>
  <c r="O277" i="60"/>
  <c r="H81" i="60"/>
  <c r="J144" i="60"/>
  <c r="H79" i="60"/>
  <c r="H332" i="60"/>
  <c r="H328" i="60"/>
  <c r="H154" i="60"/>
  <c r="H148" i="60"/>
  <c r="K77" i="60"/>
  <c r="J154" i="60"/>
  <c r="J155" i="60"/>
  <c r="K136" i="60"/>
  <c r="K138" i="60"/>
  <c r="H83" i="60"/>
  <c r="H84" i="60"/>
  <c r="H147" i="60"/>
  <c r="G155" i="60"/>
  <c r="K142" i="60"/>
  <c r="K78" i="60"/>
  <c r="G85" i="60"/>
  <c r="G86" i="60"/>
  <c r="G129" i="60"/>
  <c r="I146" i="60"/>
  <c r="I120" i="60"/>
  <c r="I121" i="60"/>
  <c r="I126" i="60"/>
  <c r="I128" i="60"/>
  <c r="J153" i="60"/>
  <c r="J81" i="60"/>
  <c r="L193" i="60"/>
  <c r="N200" i="60"/>
  <c r="M133" i="60"/>
  <c r="L141" i="60"/>
  <c r="L134" i="60"/>
  <c r="L140" i="60"/>
  <c r="T92" i="31"/>
  <c r="T90" i="31"/>
  <c r="Q259" i="60"/>
  <c r="Q276" i="60"/>
  <c r="P277" i="60"/>
  <c r="M287" i="60"/>
  <c r="M289" i="60"/>
  <c r="M290" i="60"/>
  <c r="M297" i="60"/>
  <c r="H85" i="60"/>
  <c r="H86" i="60"/>
  <c r="H129" i="60"/>
  <c r="K79" i="60"/>
  <c r="K332" i="60"/>
  <c r="K328" i="60"/>
  <c r="L77" i="60"/>
  <c r="I83" i="60"/>
  <c r="I84" i="60"/>
  <c r="I85" i="60"/>
  <c r="I86" i="60"/>
  <c r="I129" i="60"/>
  <c r="I147" i="60"/>
  <c r="I148" i="60"/>
  <c r="L136" i="60"/>
  <c r="L138" i="60"/>
  <c r="K81" i="60"/>
  <c r="M199" i="60"/>
  <c r="M141" i="60"/>
  <c r="N133" i="60"/>
  <c r="M134" i="60"/>
  <c r="M140" i="60"/>
  <c r="K144" i="60"/>
  <c r="L142" i="60"/>
  <c r="L78" i="60"/>
  <c r="H155" i="60"/>
  <c r="I155" i="60"/>
  <c r="K153" i="60"/>
  <c r="J120" i="60"/>
  <c r="J121" i="60"/>
  <c r="J126" i="60"/>
  <c r="J128" i="60"/>
  <c r="J146" i="60"/>
  <c r="L79" i="60"/>
  <c r="L328" i="60"/>
  <c r="L332" i="60"/>
  <c r="M301" i="60"/>
  <c r="M303" i="60"/>
  <c r="M306" i="60"/>
  <c r="M308" i="60"/>
  <c r="M299" i="60"/>
  <c r="M298" i="60"/>
  <c r="L144" i="60"/>
  <c r="L154" i="60"/>
  <c r="L155" i="60"/>
  <c r="N287" i="60"/>
  <c r="N289" i="60"/>
  <c r="N290" i="60"/>
  <c r="N291" i="60"/>
  <c r="N297" i="60"/>
  <c r="R259" i="60"/>
  <c r="R276" i="60"/>
  <c r="R277" i="60"/>
  <c r="Q277" i="60"/>
  <c r="M77" i="60"/>
  <c r="O206" i="60"/>
  <c r="N205" i="60"/>
  <c r="M136" i="60"/>
  <c r="M138" i="60"/>
  <c r="J83" i="60"/>
  <c r="J84" i="60"/>
  <c r="J85" i="60"/>
  <c r="J86" i="60"/>
  <c r="J129" i="60"/>
  <c r="J147" i="60"/>
  <c r="J148" i="60"/>
  <c r="K154" i="60"/>
  <c r="K155" i="60"/>
  <c r="L153" i="60"/>
  <c r="K146" i="60"/>
  <c r="K120" i="60"/>
  <c r="K121" i="60"/>
  <c r="K126" i="60"/>
  <c r="K128" i="60"/>
  <c r="N136" i="60"/>
  <c r="N138" i="60"/>
  <c r="N141" i="60"/>
  <c r="O133" i="60"/>
  <c r="N134" i="60"/>
  <c r="N140" i="60"/>
  <c r="M142" i="60"/>
  <c r="M78" i="60"/>
  <c r="L81" i="60"/>
  <c r="M166" i="8"/>
  <c r="M79" i="60"/>
  <c r="M81" i="60"/>
  <c r="M332" i="60"/>
  <c r="M334" i="60"/>
  <c r="M328" i="60"/>
  <c r="M330" i="60"/>
  <c r="N301" i="60"/>
  <c r="N303" i="60"/>
  <c r="N304" i="60"/>
  <c r="N306" i="60"/>
  <c r="N308" i="60"/>
  <c r="N309" i="60"/>
  <c r="N298" i="60"/>
  <c r="N299" i="60"/>
  <c r="O287" i="60"/>
  <c r="O289" i="60"/>
  <c r="O290" i="60"/>
  <c r="O291" i="60"/>
  <c r="O297" i="60"/>
  <c r="N78" i="60"/>
  <c r="N142" i="60"/>
  <c r="M153" i="60"/>
  <c r="L146" i="60"/>
  <c r="L120" i="60"/>
  <c r="L121" i="60"/>
  <c r="L126" i="60"/>
  <c r="L128" i="60"/>
  <c r="O211" i="60"/>
  <c r="O141" i="60"/>
  <c r="P133" i="60"/>
  <c r="O134" i="60"/>
  <c r="O140" i="60"/>
  <c r="K83" i="60"/>
  <c r="K84" i="60"/>
  <c r="K85" i="60"/>
  <c r="K86" i="60"/>
  <c r="K129" i="60"/>
  <c r="K147" i="60"/>
  <c r="K148" i="60"/>
  <c r="N77" i="60"/>
  <c r="N144" i="60"/>
  <c r="M144" i="60"/>
  <c r="M339" i="60"/>
  <c r="M343" i="60"/>
  <c r="M100" i="60"/>
  <c r="M106" i="60"/>
  <c r="M110" i="60"/>
  <c r="M368" i="60"/>
  <c r="M376" i="60"/>
  <c r="M377" i="60"/>
  <c r="M378" i="60"/>
  <c r="M333" i="60"/>
  <c r="M360" i="60"/>
  <c r="M335" i="60"/>
  <c r="P287" i="60"/>
  <c r="P289" i="60"/>
  <c r="P290" i="60"/>
  <c r="P291" i="60"/>
  <c r="P297" i="60"/>
  <c r="O301" i="60"/>
  <c r="O303" i="60"/>
  <c r="O304" i="60"/>
  <c r="O306" i="60"/>
  <c r="O308" i="60"/>
  <c r="O309" i="60"/>
  <c r="O299" i="60"/>
  <c r="O298" i="60"/>
  <c r="N79" i="60"/>
  <c r="N332" i="60"/>
  <c r="N328" i="60"/>
  <c r="N330" i="60"/>
  <c r="N81" i="60"/>
  <c r="O78" i="60"/>
  <c r="O142" i="60"/>
  <c r="N154" i="60"/>
  <c r="L83" i="60"/>
  <c r="L84" i="60"/>
  <c r="L85" i="60"/>
  <c r="L86" i="60"/>
  <c r="L129" i="60"/>
  <c r="L147" i="60"/>
  <c r="L148" i="60"/>
  <c r="O77" i="60"/>
  <c r="N153" i="60"/>
  <c r="M146" i="60"/>
  <c r="M120" i="60"/>
  <c r="P217" i="60"/>
  <c r="P141" i="60"/>
  <c r="Q133" i="60"/>
  <c r="P136" i="60"/>
  <c r="P138" i="60"/>
  <c r="P134" i="60"/>
  <c r="P140" i="60"/>
  <c r="M154" i="60"/>
  <c r="M155" i="60"/>
  <c r="O136" i="60"/>
  <c r="O138" i="60"/>
  <c r="M344" i="60"/>
  <c r="M347" i="60"/>
  <c r="M348" i="60"/>
  <c r="N360" i="60"/>
  <c r="N361" i="60"/>
  <c r="N362" i="60"/>
  <c r="N334" i="60"/>
  <c r="N365" i="60"/>
  <c r="P301" i="60"/>
  <c r="P303" i="60"/>
  <c r="P304" i="60"/>
  <c r="P306" i="60"/>
  <c r="P308" i="60"/>
  <c r="P309" i="60"/>
  <c r="P299" i="60"/>
  <c r="P298" i="60"/>
  <c r="Q297" i="60"/>
  <c r="Q287" i="60"/>
  <c r="Q289" i="60"/>
  <c r="Q290" i="60"/>
  <c r="Q291" i="60"/>
  <c r="M116" i="60"/>
  <c r="M119" i="60"/>
  <c r="M121" i="60"/>
  <c r="M126" i="60"/>
  <c r="M128" i="60"/>
  <c r="M336" i="60"/>
  <c r="O79" i="60"/>
  <c r="O81" i="60"/>
  <c r="O332" i="60"/>
  <c r="O334" i="60"/>
  <c r="O328" i="60"/>
  <c r="O330" i="60"/>
  <c r="M369" i="60"/>
  <c r="O144" i="60"/>
  <c r="Q141" i="60"/>
  <c r="R133" i="60"/>
  <c r="Q222" i="60"/>
  <c r="Q134" i="60"/>
  <c r="Q140" i="60"/>
  <c r="P142" i="60"/>
  <c r="P78" i="60"/>
  <c r="N155" i="60"/>
  <c r="M83" i="60"/>
  <c r="M84" i="60"/>
  <c r="M85" i="60"/>
  <c r="M86" i="60"/>
  <c r="M147" i="60"/>
  <c r="M148" i="60"/>
  <c r="O153" i="60"/>
  <c r="N146" i="60"/>
  <c r="N120" i="60"/>
  <c r="P144" i="60"/>
  <c r="P77" i="60"/>
  <c r="O100" i="60"/>
  <c r="O106" i="60"/>
  <c r="O110" i="60"/>
  <c r="O333" i="60"/>
  <c r="O368" i="60"/>
  <c r="O369" i="60"/>
  <c r="O376" i="60"/>
  <c r="O377" i="60"/>
  <c r="O339" i="60"/>
  <c r="O343" i="60"/>
  <c r="N339" i="60"/>
  <c r="N343" i="60"/>
  <c r="N100" i="60"/>
  <c r="N106" i="60"/>
  <c r="N110" i="60"/>
  <c r="N376" i="60"/>
  <c r="N377" i="60"/>
  <c r="N378" i="60"/>
  <c r="N368" i="60"/>
  <c r="N369" i="60"/>
  <c r="N333" i="60"/>
  <c r="M129" i="60"/>
  <c r="N335" i="60"/>
  <c r="Q301" i="60"/>
  <c r="Q303" i="60"/>
  <c r="Q304" i="60"/>
  <c r="Q306" i="60"/>
  <c r="Q308" i="60"/>
  <c r="Q309" i="60"/>
  <c r="Q299" i="60"/>
  <c r="Q298" i="60"/>
  <c r="R297" i="60"/>
  <c r="R287" i="60"/>
  <c r="R289" i="60"/>
  <c r="R290" i="60"/>
  <c r="R291" i="60"/>
  <c r="P79" i="60"/>
  <c r="P81" i="60"/>
  <c r="P332" i="60"/>
  <c r="P334" i="60"/>
  <c r="P328" i="60"/>
  <c r="P330" i="60"/>
  <c r="O335" i="60"/>
  <c r="O360" i="60"/>
  <c r="O361" i="60"/>
  <c r="O362" i="60"/>
  <c r="P154" i="60"/>
  <c r="R141" i="60"/>
  <c r="R227" i="60"/>
  <c r="R134" i="60"/>
  <c r="R140" i="60"/>
  <c r="Q77" i="60"/>
  <c r="N83" i="60"/>
  <c r="N84" i="60"/>
  <c r="N85" i="60"/>
  <c r="N86" i="60"/>
  <c r="N147" i="60"/>
  <c r="N148" i="60"/>
  <c r="Q136" i="60"/>
  <c r="Q138" i="60"/>
  <c r="P153" i="60"/>
  <c r="O146" i="60"/>
  <c r="O120" i="60"/>
  <c r="Q142" i="60"/>
  <c r="Q78" i="60"/>
  <c r="O154" i="60"/>
  <c r="O156" i="60"/>
  <c r="N129" i="60"/>
  <c r="P368" i="60"/>
  <c r="P369" i="60"/>
  <c r="P376" i="60"/>
  <c r="P377" i="60"/>
  <c r="P378" i="60"/>
  <c r="P333" i="60"/>
  <c r="P339" i="60"/>
  <c r="P343" i="60"/>
  <c r="P100" i="60"/>
  <c r="P106" i="60"/>
  <c r="P110" i="60"/>
  <c r="O344" i="60"/>
  <c r="O347" i="60"/>
  <c r="P335" i="60"/>
  <c r="P360" i="60"/>
  <c r="P361" i="60"/>
  <c r="P362" i="60"/>
  <c r="O378" i="60"/>
  <c r="N116" i="60"/>
  <c r="N119" i="60"/>
  <c r="N121" i="60"/>
  <c r="N126" i="60"/>
  <c r="N128" i="60"/>
  <c r="N336" i="60"/>
  <c r="Q79" i="60"/>
  <c r="Q332" i="60"/>
  <c r="Q328" i="60"/>
  <c r="Q330" i="60"/>
  <c r="R306" i="60"/>
  <c r="R308" i="60"/>
  <c r="R309" i="60"/>
  <c r="R299" i="60"/>
  <c r="R301" i="60"/>
  <c r="R303" i="60"/>
  <c r="R304" i="60"/>
  <c r="R298" i="60"/>
  <c r="O116" i="60"/>
  <c r="O119" i="60"/>
  <c r="O121" i="60"/>
  <c r="O126" i="60"/>
  <c r="O128" i="60"/>
  <c r="O336" i="60"/>
  <c r="N344" i="60"/>
  <c r="N347" i="60"/>
  <c r="N348" i="60"/>
  <c r="O83" i="60"/>
  <c r="O84" i="60"/>
  <c r="O85" i="60"/>
  <c r="O86" i="60"/>
  <c r="O147" i="60"/>
  <c r="O148" i="60"/>
  <c r="R77" i="60"/>
  <c r="R136" i="60"/>
  <c r="R138" i="60"/>
  <c r="Q81" i="60"/>
  <c r="R142" i="60"/>
  <c r="R78" i="60"/>
  <c r="Q144" i="60"/>
  <c r="P146" i="60"/>
  <c r="P120" i="60"/>
  <c r="Q153" i="60"/>
  <c r="P156" i="60"/>
  <c r="O129" i="60"/>
  <c r="Q360" i="60"/>
  <c r="Q361" i="60"/>
  <c r="Q362" i="60"/>
  <c r="Q334" i="60"/>
  <c r="Q365" i="60"/>
  <c r="O348" i="60"/>
  <c r="R79" i="60"/>
  <c r="R332" i="60"/>
  <c r="R334" i="60"/>
  <c r="R328" i="60"/>
  <c r="R330" i="60"/>
  <c r="P347" i="60"/>
  <c r="P348" i="60"/>
  <c r="P344" i="60"/>
  <c r="P116" i="60"/>
  <c r="P119" i="60"/>
  <c r="P336" i="60"/>
  <c r="P121" i="60"/>
  <c r="P126" i="60"/>
  <c r="P128" i="60"/>
  <c r="R81" i="60"/>
  <c r="Q154" i="60"/>
  <c r="Q156" i="60"/>
  <c r="R144" i="60"/>
  <c r="Q146" i="60"/>
  <c r="Q120" i="60"/>
  <c r="R153" i="60"/>
  <c r="P83" i="60"/>
  <c r="P84" i="60"/>
  <c r="P85" i="60"/>
  <c r="P86" i="60"/>
  <c r="P147" i="60"/>
  <c r="P148" i="60"/>
  <c r="P129" i="60"/>
  <c r="Q368" i="60"/>
  <c r="Q369" i="60"/>
  <c r="Q376" i="60"/>
  <c r="Q377" i="60"/>
  <c r="Q378" i="60"/>
  <c r="Q333" i="60"/>
  <c r="Q339" i="60"/>
  <c r="Q343" i="60"/>
  <c r="Q100" i="60"/>
  <c r="Q106" i="60"/>
  <c r="Q110" i="60"/>
  <c r="Q335" i="60"/>
  <c r="R376" i="60"/>
  <c r="R377" i="60"/>
  <c r="R378" i="60"/>
  <c r="R333" i="60"/>
  <c r="R339" i="60"/>
  <c r="R343" i="60"/>
  <c r="R368" i="60"/>
  <c r="R100" i="60"/>
  <c r="R106" i="60"/>
  <c r="R110" i="60"/>
  <c r="R360" i="60"/>
  <c r="R361" i="60"/>
  <c r="R362" i="60"/>
  <c r="R335" i="60"/>
  <c r="Q83" i="60"/>
  <c r="Q84" i="60"/>
  <c r="Q85" i="60"/>
  <c r="Q86" i="60"/>
  <c r="Q147" i="60"/>
  <c r="Q148" i="60"/>
  <c r="R120" i="60"/>
  <c r="R146" i="60"/>
  <c r="R154" i="60"/>
  <c r="R156" i="60"/>
  <c r="Q347" i="60"/>
  <c r="Q348" i="60"/>
  <c r="S348" i="60"/>
  <c r="Q344" i="60"/>
  <c r="Q116" i="60"/>
  <c r="Q119" i="60"/>
  <c r="Q121" i="60"/>
  <c r="Q126" i="60"/>
  <c r="Q128" i="60"/>
  <c r="Q129" i="60"/>
  <c r="Q336" i="60"/>
  <c r="R344" i="60"/>
  <c r="R347" i="60"/>
  <c r="R369" i="60"/>
  <c r="R121" i="60"/>
  <c r="R126" i="60"/>
  <c r="R128" i="60"/>
  <c r="R116" i="60"/>
  <c r="R119" i="60"/>
  <c r="R336" i="60"/>
  <c r="R83" i="60"/>
  <c r="R84" i="60"/>
  <c r="R85" i="60"/>
  <c r="R86" i="60"/>
  <c r="R147" i="60"/>
  <c r="R148" i="60"/>
  <c r="R348" i="60"/>
  <c r="S86" i="60"/>
  <c r="R129" i="60"/>
  <c r="G1" i="36"/>
  <c r="M9" i="73"/>
  <c r="M10" i="73" s="1"/>
  <c r="M12" i="73" s="1"/>
  <c r="M13" i="73" s="1"/>
  <c r="J9" i="73"/>
  <c r="I9" i="73"/>
  <c r="I10" i="73" s="1"/>
  <c r="I12" i="73" s="1"/>
  <c r="I13" i="73" s="1"/>
  <c r="I14" i="73" s="1"/>
  <c r="H9" i="73"/>
  <c r="H10" i="73" s="1"/>
  <c r="H12" i="73" s="1"/>
  <c r="H13" i="73" s="1"/>
  <c r="H14" i="73" s="1"/>
  <c r="G9" i="73"/>
  <c r="G10" i="73" s="1"/>
  <c r="F9" i="73"/>
  <c r="G55" i="3"/>
  <c r="H55" i="3"/>
  <c r="I55" i="3"/>
  <c r="J55" i="3"/>
  <c r="K55" i="3"/>
  <c r="M55" i="3"/>
  <c r="G56" i="3"/>
  <c r="H56" i="3"/>
  <c r="I56" i="3"/>
  <c r="J56" i="3"/>
  <c r="K56" i="3"/>
  <c r="L56" i="3"/>
  <c r="M56" i="3"/>
  <c r="G34" i="3"/>
  <c r="H34" i="3"/>
  <c r="I34" i="3"/>
  <c r="J34" i="3"/>
  <c r="G36" i="3"/>
  <c r="H36" i="3"/>
  <c r="I36" i="3"/>
  <c r="J36" i="3"/>
  <c r="K36" i="3"/>
  <c r="L36" i="3"/>
  <c r="M36" i="3"/>
  <c r="G38" i="3"/>
  <c r="H38" i="3"/>
  <c r="I38" i="3"/>
  <c r="J38" i="3"/>
  <c r="K38" i="3"/>
  <c r="L38" i="3"/>
  <c r="M38" i="3"/>
  <c r="G39" i="3"/>
  <c r="H39" i="3"/>
  <c r="I39" i="3"/>
  <c r="J39" i="3"/>
  <c r="K39" i="3"/>
  <c r="L39" i="3"/>
  <c r="M39" i="3"/>
  <c r="G40" i="3"/>
  <c r="H40" i="3"/>
  <c r="I40" i="3"/>
  <c r="J40" i="3"/>
  <c r="K40" i="3"/>
  <c r="L40" i="3"/>
  <c r="M40" i="3"/>
  <c r="G41" i="3"/>
  <c r="H41" i="3"/>
  <c r="I41" i="3"/>
  <c r="J41" i="3"/>
  <c r="K41" i="3"/>
  <c r="L41" i="3"/>
  <c r="M41" i="3"/>
  <c r="F95" i="3"/>
  <c r="F97" i="3" s="1"/>
  <c r="F98" i="3" s="1"/>
  <c r="F100" i="3" s="1"/>
  <c r="M98" i="3"/>
  <c r="G103" i="3"/>
  <c r="G35" i="3" s="1"/>
  <c r="H103" i="3"/>
  <c r="H35" i="3" s="1"/>
  <c r="I103" i="3"/>
  <c r="I35" i="3" s="1"/>
  <c r="J103" i="3"/>
  <c r="J35" i="3" s="1"/>
  <c r="K103" i="3"/>
  <c r="K35" i="3" s="1"/>
  <c r="L103" i="3"/>
  <c r="L35" i="3" s="1"/>
  <c r="M103" i="3"/>
  <c r="M35" i="3" s="1"/>
  <c r="F103" i="3"/>
  <c r="F35" i="3" s="1"/>
  <c r="K107" i="3"/>
  <c r="K34" i="3" s="1"/>
  <c r="F39" i="3"/>
  <c r="F109" i="3"/>
  <c r="F26" i="3" s="1"/>
  <c r="G245" i="3"/>
  <c r="H245" i="3"/>
  <c r="I245" i="3"/>
  <c r="I49" i="3" s="1"/>
  <c r="J245" i="3"/>
  <c r="J49" i="3" s="1"/>
  <c r="K245" i="3"/>
  <c r="L245" i="3"/>
  <c r="L49" i="3" s="1"/>
  <c r="M245" i="3"/>
  <c r="M49" i="3" s="1"/>
  <c r="F245" i="3"/>
  <c r="F49" i="3" s="1"/>
  <c r="G139" i="3"/>
  <c r="H139" i="3" s="1"/>
  <c r="I139" i="3" s="1"/>
  <c r="J139" i="3" s="1"/>
  <c r="K139" i="3" s="1"/>
  <c r="L139" i="3" s="1"/>
  <c r="M139" i="3" s="1"/>
  <c r="N139" i="3" s="1"/>
  <c r="O139" i="3" s="1"/>
  <c r="P139" i="3" s="1"/>
  <c r="Q139" i="3" s="1"/>
  <c r="R139" i="3" s="1"/>
  <c r="S139" i="3" s="1"/>
  <c r="T139" i="3" s="1"/>
  <c r="U139" i="3" s="1"/>
  <c r="V139" i="3" s="1"/>
  <c r="W139" i="3" s="1"/>
  <c r="X139" i="3" s="1"/>
  <c r="Y139" i="3" s="1"/>
  <c r="Z139" i="3" s="1"/>
  <c r="AA139" i="3" s="1"/>
  <c r="AB139" i="3" s="1"/>
  <c r="N51" i="3"/>
  <c r="O51" i="3"/>
  <c r="P51" i="3"/>
  <c r="Q51" i="3"/>
  <c r="R51" i="3"/>
  <c r="S51" i="3"/>
  <c r="T51" i="3"/>
  <c r="U51" i="3"/>
  <c r="V51" i="3"/>
  <c r="W51" i="3"/>
  <c r="X51" i="3"/>
  <c r="Y51" i="3"/>
  <c r="Z51" i="3"/>
  <c r="N43" i="3"/>
  <c r="O43" i="3"/>
  <c r="P43" i="3"/>
  <c r="Q43" i="3"/>
  <c r="R43" i="3"/>
  <c r="S43" i="3"/>
  <c r="T43" i="3"/>
  <c r="U43" i="3"/>
  <c r="V43" i="3"/>
  <c r="W43" i="3"/>
  <c r="Y43" i="3"/>
  <c r="Z43" i="3"/>
  <c r="G3" i="36"/>
  <c r="H3" i="36"/>
  <c r="I3" i="36"/>
  <c r="J3" i="36"/>
  <c r="K3" i="36"/>
  <c r="L3" i="36"/>
  <c r="M3" i="36"/>
  <c r="N3" i="36"/>
  <c r="O3" i="36"/>
  <c r="P3" i="36"/>
  <c r="Q3" i="36"/>
  <c r="R3" i="36"/>
  <c r="S3" i="36"/>
  <c r="T3" i="36"/>
  <c r="U3" i="36"/>
  <c r="V3" i="36"/>
  <c r="W3" i="36"/>
  <c r="X3" i="36"/>
  <c r="Y3" i="36"/>
  <c r="Z3" i="36"/>
  <c r="AA3" i="36"/>
  <c r="S13" i="57"/>
  <c r="R13" i="57"/>
  <c r="Q13" i="57"/>
  <c r="P13" i="57"/>
  <c r="O13" i="57"/>
  <c r="N13" i="57"/>
  <c r="M13" i="57"/>
  <c r="L13" i="57"/>
  <c r="K13" i="57"/>
  <c r="J13" i="57"/>
  <c r="I13" i="57"/>
  <c r="H13" i="57"/>
  <c r="G13" i="57"/>
  <c r="T13" i="57"/>
  <c r="W11" i="57"/>
  <c r="X11" i="57"/>
  <c r="Y11" i="57"/>
  <c r="Z11" i="57"/>
  <c r="AA11" i="57"/>
  <c r="V238" i="3"/>
  <c r="W238" i="3"/>
  <c r="X238" i="3"/>
  <c r="Y238" i="3"/>
  <c r="Z238" i="3"/>
  <c r="U238" i="3"/>
  <c r="I445" i="8"/>
  <c r="H445" i="8"/>
  <c r="G445" i="8"/>
  <c r="F445" i="8"/>
  <c r="J445" i="8"/>
  <c r="K445" i="8"/>
  <c r="M445" i="8"/>
  <c r="O433" i="8"/>
  <c r="N445" i="8"/>
  <c r="N454" i="8" s="1"/>
  <c r="L445" i="8"/>
  <c r="P445" i="8"/>
  <c r="O432" i="8"/>
  <c r="O435" i="8"/>
  <c r="O449" i="8"/>
  <c r="Y449" i="8"/>
  <c r="X449" i="8"/>
  <c r="W449" i="8"/>
  <c r="V449" i="8"/>
  <c r="U449" i="8"/>
  <c r="R449" i="8"/>
  <c r="Q449" i="8"/>
  <c r="P449" i="8"/>
  <c r="Y429" i="8"/>
  <c r="X429" i="8"/>
  <c r="W429" i="8"/>
  <c r="V429" i="8"/>
  <c r="U429" i="8"/>
  <c r="T429" i="8"/>
  <c r="S429" i="8"/>
  <c r="R429" i="8"/>
  <c r="Q429" i="8"/>
  <c r="P429" i="8"/>
  <c r="P455" i="8" s="1"/>
  <c r="O429" i="8"/>
  <c r="N429" i="8"/>
  <c r="Z429" i="8"/>
  <c r="G165" i="3"/>
  <c r="H165" i="3" s="1"/>
  <c r="I165" i="3" s="1"/>
  <c r="J165" i="3" s="1"/>
  <c r="K165" i="3" s="1"/>
  <c r="L165" i="3" s="1"/>
  <c r="M165" i="3" s="1"/>
  <c r="N165" i="3" s="1"/>
  <c r="O165" i="3" s="1"/>
  <c r="P165" i="3" s="1"/>
  <c r="Q165" i="3" s="1"/>
  <c r="R165" i="3" s="1"/>
  <c r="S165" i="3" s="1"/>
  <c r="T165" i="3" s="1"/>
  <c r="U165" i="3" s="1"/>
  <c r="V165" i="3" s="1"/>
  <c r="W165" i="3" s="1"/>
  <c r="X165" i="3" s="1"/>
  <c r="Y165" i="3" s="1"/>
  <c r="Z165" i="3" s="1"/>
  <c r="AA165" i="3" s="1"/>
  <c r="AB165" i="3" s="1"/>
  <c r="O4" i="42"/>
  <c r="P4" i="42"/>
  <c r="Q4" i="42"/>
  <c r="R4" i="42"/>
  <c r="S4" i="42"/>
  <c r="T4" i="42"/>
  <c r="U4" i="42"/>
  <c r="V4" i="42"/>
  <c r="W4" i="42"/>
  <c r="X4" i="42"/>
  <c r="Y4" i="42"/>
  <c r="Z4" i="42"/>
  <c r="AA4" i="42"/>
  <c r="G4" i="42"/>
  <c r="H4" i="42"/>
  <c r="I4" i="42"/>
  <c r="J4" i="42"/>
  <c r="K4" i="42"/>
  <c r="L4" i="42"/>
  <c r="M4" i="42"/>
  <c r="O3" i="33"/>
  <c r="P3" i="33"/>
  <c r="Q3" i="33"/>
  <c r="R3" i="33"/>
  <c r="S3" i="33"/>
  <c r="T3" i="33"/>
  <c r="U3" i="33"/>
  <c r="V3" i="33"/>
  <c r="W3" i="33"/>
  <c r="X3" i="33"/>
  <c r="Y3" i="33"/>
  <c r="Z3" i="33"/>
  <c r="AA3" i="33"/>
  <c r="G3" i="33"/>
  <c r="H3" i="33"/>
  <c r="I3" i="33"/>
  <c r="J3" i="33"/>
  <c r="K3" i="33"/>
  <c r="L3" i="33"/>
  <c r="M3" i="33"/>
  <c r="O3" i="20"/>
  <c r="P3" i="20"/>
  <c r="Q3" i="20"/>
  <c r="R3" i="20"/>
  <c r="S3" i="20"/>
  <c r="T3" i="20"/>
  <c r="U3" i="20"/>
  <c r="V3" i="20"/>
  <c r="W3" i="20"/>
  <c r="X3" i="20"/>
  <c r="Y3" i="20"/>
  <c r="Z3" i="20"/>
  <c r="AA3" i="20"/>
  <c r="G3" i="20"/>
  <c r="H3" i="20"/>
  <c r="I3" i="20"/>
  <c r="J3" i="20"/>
  <c r="K3" i="20"/>
  <c r="L3" i="20"/>
  <c r="M3" i="20"/>
  <c r="O3" i="34"/>
  <c r="P3" i="34"/>
  <c r="Q3" i="34"/>
  <c r="R3" i="34"/>
  <c r="S3" i="34"/>
  <c r="T3" i="34"/>
  <c r="U3" i="34"/>
  <c r="V3" i="34"/>
  <c r="W3" i="34"/>
  <c r="X3" i="34"/>
  <c r="Y3" i="34"/>
  <c r="Z3" i="34"/>
  <c r="AA3" i="34"/>
  <c r="G3" i="34"/>
  <c r="H3" i="34"/>
  <c r="I3" i="34"/>
  <c r="J3" i="34"/>
  <c r="K3" i="34"/>
  <c r="L3" i="34"/>
  <c r="M3" i="34"/>
  <c r="O127" i="8"/>
  <c r="P127" i="8" s="1"/>
  <c r="Q127" i="8" s="1"/>
  <c r="R127" i="8" s="1"/>
  <c r="S127" i="8" s="1"/>
  <c r="T127" i="8" s="1"/>
  <c r="U127" i="8" s="1"/>
  <c r="V127" i="8" s="1"/>
  <c r="W127" i="8" s="1"/>
  <c r="X127" i="8" s="1"/>
  <c r="Y127" i="8" s="1"/>
  <c r="Z127" i="8" s="1"/>
  <c r="AA127" i="8" s="1"/>
  <c r="AB127" i="8" s="1"/>
  <c r="G127" i="8"/>
  <c r="H127" i="8" s="1"/>
  <c r="I127" i="8" s="1"/>
  <c r="J127" i="8" s="1"/>
  <c r="K127" i="8" s="1"/>
  <c r="L127" i="8" s="1"/>
  <c r="M127" i="8" s="1"/>
  <c r="L109" i="3"/>
  <c r="L26" i="3" s="1"/>
  <c r="K109" i="3"/>
  <c r="K26" i="3" s="1"/>
  <c r="J109" i="3"/>
  <c r="J26" i="3" s="1"/>
  <c r="I109" i="3"/>
  <c r="I26" i="3" s="1"/>
  <c r="H109" i="3"/>
  <c r="H26" i="3" s="1"/>
  <c r="G109" i="3"/>
  <c r="G26" i="3" s="1"/>
  <c r="M109" i="3"/>
  <c r="M26" i="3" s="1"/>
  <c r="N11" i="3"/>
  <c r="O11" i="3"/>
  <c r="P11" i="3"/>
  <c r="Q11" i="3"/>
  <c r="R11" i="3"/>
  <c r="S11" i="3"/>
  <c r="T11" i="3"/>
  <c r="U11" i="3"/>
  <c r="V11" i="3"/>
  <c r="W11" i="3"/>
  <c r="X11" i="3"/>
  <c r="Y11" i="3"/>
  <c r="Z11" i="3"/>
  <c r="Y139" i="36"/>
  <c r="X139" i="36"/>
  <c r="W139" i="36"/>
  <c r="V139" i="36"/>
  <c r="U139" i="36"/>
  <c r="T139" i="36"/>
  <c r="S139" i="36"/>
  <c r="R139" i="36"/>
  <c r="Q139" i="36"/>
  <c r="P139" i="36"/>
  <c r="O139" i="36"/>
  <c r="M139" i="36"/>
  <c r="L139" i="36"/>
  <c r="K139" i="36"/>
  <c r="J139" i="36"/>
  <c r="I139" i="36"/>
  <c r="H139" i="36"/>
  <c r="G139" i="36"/>
  <c r="F139" i="36"/>
  <c r="Y131" i="36"/>
  <c r="X131" i="36"/>
  <c r="W131" i="36"/>
  <c r="V131" i="36"/>
  <c r="U131" i="36"/>
  <c r="T131" i="36"/>
  <c r="S131" i="36"/>
  <c r="R131" i="36"/>
  <c r="Q131" i="36"/>
  <c r="P131" i="36"/>
  <c r="O131" i="36"/>
  <c r="M131" i="36"/>
  <c r="L131" i="36"/>
  <c r="K131" i="36"/>
  <c r="J131" i="36"/>
  <c r="I131" i="36"/>
  <c r="H131" i="36"/>
  <c r="G131" i="36"/>
  <c r="F131" i="36"/>
  <c r="X126" i="36"/>
  <c r="Y121" i="36"/>
  <c r="X121" i="36"/>
  <c r="Y123" i="36"/>
  <c r="Y126" i="36"/>
  <c r="Y112" i="36"/>
  <c r="X112" i="36"/>
  <c r="W112" i="36"/>
  <c r="V112" i="36"/>
  <c r="U112" i="36"/>
  <c r="T112" i="36"/>
  <c r="S112" i="36"/>
  <c r="R112" i="36"/>
  <c r="Q112" i="36"/>
  <c r="P112" i="36"/>
  <c r="O112" i="36"/>
  <c r="L112" i="36"/>
  <c r="K112" i="36"/>
  <c r="J112" i="36"/>
  <c r="I112" i="36"/>
  <c r="H112" i="36"/>
  <c r="G112" i="36"/>
  <c r="F112" i="36"/>
  <c r="Y108" i="36"/>
  <c r="X108" i="36"/>
  <c r="W108" i="36"/>
  <c r="V108" i="36"/>
  <c r="U108" i="36"/>
  <c r="T108" i="36"/>
  <c r="S108" i="36"/>
  <c r="R108" i="36"/>
  <c r="Q108" i="36"/>
  <c r="P108" i="36"/>
  <c r="O108" i="36"/>
  <c r="L108" i="36"/>
  <c r="K108" i="36"/>
  <c r="J108" i="36"/>
  <c r="I108" i="36"/>
  <c r="H108" i="36"/>
  <c r="G108" i="36"/>
  <c r="F108" i="36"/>
  <c r="F101" i="36"/>
  <c r="F94" i="36"/>
  <c r="F29" i="36"/>
  <c r="F100" i="36"/>
  <c r="X99" i="36"/>
  <c r="W99" i="36"/>
  <c r="V99" i="36"/>
  <c r="U99" i="36"/>
  <c r="T99" i="36"/>
  <c r="S99" i="36"/>
  <c r="R99" i="36"/>
  <c r="Q99" i="36"/>
  <c r="P99" i="36"/>
  <c r="O99" i="36"/>
  <c r="O101" i="36"/>
  <c r="M98" i="36"/>
  <c r="M100" i="36"/>
  <c r="L98" i="36"/>
  <c r="L100" i="36"/>
  <c r="K98" i="36"/>
  <c r="K100" i="36"/>
  <c r="J98" i="36"/>
  <c r="J100" i="36"/>
  <c r="I98" i="36"/>
  <c r="I100" i="36"/>
  <c r="H98" i="36"/>
  <c r="H100" i="36"/>
  <c r="G98" i="36"/>
  <c r="I89" i="36"/>
  <c r="I90" i="36" s="1"/>
  <c r="I25" i="36" s="1"/>
  <c r="X80" i="36"/>
  <c r="W80" i="36"/>
  <c r="V80" i="36"/>
  <c r="U80" i="36"/>
  <c r="T80" i="36"/>
  <c r="S80" i="36"/>
  <c r="R80" i="36"/>
  <c r="Q80" i="36"/>
  <c r="P80" i="36"/>
  <c r="O80" i="36"/>
  <c r="O81" i="36" s="1"/>
  <c r="O89" i="36" s="1"/>
  <c r="M80" i="36"/>
  <c r="L80" i="36"/>
  <c r="K80" i="36"/>
  <c r="J80" i="36"/>
  <c r="J81" i="36" s="1"/>
  <c r="I80" i="36"/>
  <c r="H80" i="36"/>
  <c r="G80" i="36"/>
  <c r="F80" i="36"/>
  <c r="F81" i="36" s="1"/>
  <c r="O79" i="36"/>
  <c r="L79" i="36"/>
  <c r="K79" i="36"/>
  <c r="J79" i="36"/>
  <c r="I79" i="36"/>
  <c r="I82" i="36" s="1"/>
  <c r="I84" i="36" s="1"/>
  <c r="H79" i="36"/>
  <c r="G79" i="36"/>
  <c r="F79" i="36"/>
  <c r="G78" i="36"/>
  <c r="H78" i="36"/>
  <c r="I78" i="36"/>
  <c r="J78" i="36"/>
  <c r="K78" i="36"/>
  <c r="L78" i="36"/>
  <c r="M78" i="36"/>
  <c r="N78" i="36"/>
  <c r="O78" i="36"/>
  <c r="P78" i="36"/>
  <c r="Q78" i="36"/>
  <c r="R78" i="36"/>
  <c r="S78" i="36"/>
  <c r="T78" i="36"/>
  <c r="U78" i="36"/>
  <c r="V78" i="36"/>
  <c r="W78" i="36"/>
  <c r="X78" i="36"/>
  <c r="Y78" i="36"/>
  <c r="Z78" i="36"/>
  <c r="AA78" i="36"/>
  <c r="R75" i="36"/>
  <c r="Q75" i="36"/>
  <c r="P75" i="36"/>
  <c r="O75" i="36"/>
  <c r="X73" i="36"/>
  <c r="W73" i="36"/>
  <c r="V73" i="36"/>
  <c r="U73" i="36"/>
  <c r="T73" i="36"/>
  <c r="X72" i="36"/>
  <c r="W72" i="36"/>
  <c r="V72" i="36"/>
  <c r="U72" i="36"/>
  <c r="T72" i="36"/>
  <c r="X71" i="36"/>
  <c r="W71" i="36"/>
  <c r="V71" i="36"/>
  <c r="U71" i="36"/>
  <c r="T71" i="36"/>
  <c r="X70" i="36"/>
  <c r="W70" i="36"/>
  <c r="V70" i="36"/>
  <c r="U70" i="36"/>
  <c r="T70" i="36"/>
  <c r="I70" i="36"/>
  <c r="J70" i="36"/>
  <c r="X66" i="36"/>
  <c r="W66" i="36"/>
  <c r="V66" i="36"/>
  <c r="U66" i="36"/>
  <c r="T66" i="36"/>
  <c r="S66" i="36"/>
  <c r="R66" i="36"/>
  <c r="Q66" i="36"/>
  <c r="M66" i="36"/>
  <c r="O65" i="36"/>
  <c r="P65" i="36" s="1"/>
  <c r="X64" i="36"/>
  <c r="W64" i="36"/>
  <c r="V64" i="36"/>
  <c r="U64" i="36"/>
  <c r="T64" i="36"/>
  <c r="S64" i="36"/>
  <c r="R64" i="36"/>
  <c r="Q64" i="36"/>
  <c r="P64" i="36"/>
  <c r="O64" i="36"/>
  <c r="M64" i="36"/>
  <c r="L63" i="36"/>
  <c r="L67" i="36" s="1"/>
  <c r="L69" i="36" s="1"/>
  <c r="L74" i="36" s="1"/>
  <c r="K63" i="36"/>
  <c r="K67" i="36" s="1"/>
  <c r="K69" i="36" s="1"/>
  <c r="K74" i="36" s="1"/>
  <c r="J63" i="36"/>
  <c r="J67" i="36" s="1"/>
  <c r="J69" i="36" s="1"/>
  <c r="J74" i="36" s="1"/>
  <c r="I63" i="36"/>
  <c r="I67" i="36" s="1"/>
  <c r="I69" i="36" s="1"/>
  <c r="I74" i="36" s="1"/>
  <c r="H63" i="36"/>
  <c r="H67" i="36" s="1"/>
  <c r="H69" i="36" s="1"/>
  <c r="H74" i="36" s="1"/>
  <c r="G63" i="36"/>
  <c r="G67" i="36" s="1"/>
  <c r="G69" i="36" s="1"/>
  <c r="G74" i="36" s="1"/>
  <c r="F63" i="36"/>
  <c r="F67" i="36"/>
  <c r="X62" i="36"/>
  <c r="X67" i="36" s="1"/>
  <c r="X69" i="36" s="1"/>
  <c r="W62" i="36"/>
  <c r="W67" i="36" s="1"/>
  <c r="W69" i="36" s="1"/>
  <c r="V62" i="36"/>
  <c r="V67" i="36" s="1"/>
  <c r="V69" i="36" s="1"/>
  <c r="U62" i="36"/>
  <c r="U67" i="36" s="1"/>
  <c r="U69" i="36" s="1"/>
  <c r="T62" i="36"/>
  <c r="T67" i="36" s="1"/>
  <c r="T69" i="36" s="1"/>
  <c r="H62" i="36"/>
  <c r="I60" i="36"/>
  <c r="X57" i="36"/>
  <c r="W57" i="36"/>
  <c r="V57" i="36"/>
  <c r="U57" i="36"/>
  <c r="T57" i="36"/>
  <c r="L57" i="36"/>
  <c r="K57" i="36"/>
  <c r="J57" i="36"/>
  <c r="X56" i="36"/>
  <c r="W56" i="36"/>
  <c r="V56" i="36"/>
  <c r="U56" i="36"/>
  <c r="T56" i="36"/>
  <c r="X53" i="36"/>
  <c r="W53" i="36"/>
  <c r="V53" i="36"/>
  <c r="U53" i="36"/>
  <c r="T53" i="36"/>
  <c r="S53" i="36"/>
  <c r="R53" i="36"/>
  <c r="Q53" i="36"/>
  <c r="M53" i="36"/>
  <c r="X51" i="36"/>
  <c r="W51" i="36"/>
  <c r="V51" i="36"/>
  <c r="U51" i="36"/>
  <c r="T51" i="36"/>
  <c r="S50" i="36"/>
  <c r="T50" i="36" s="1"/>
  <c r="U50" i="36" s="1"/>
  <c r="V50" i="36" s="1"/>
  <c r="W50" i="36" s="1"/>
  <c r="X50" i="36" s="1"/>
  <c r="R49" i="36"/>
  <c r="S49" i="36" s="1"/>
  <c r="T49" i="36" s="1"/>
  <c r="U49" i="36" s="1"/>
  <c r="V49" i="36" s="1"/>
  <c r="W49" i="36" s="1"/>
  <c r="X49" i="36" s="1"/>
  <c r="Q48" i="36"/>
  <c r="R48" i="36" s="1"/>
  <c r="S48" i="36" s="1"/>
  <c r="T48" i="36" s="1"/>
  <c r="U48" i="36" s="1"/>
  <c r="V48" i="36" s="1"/>
  <c r="W48" i="36" s="1"/>
  <c r="X48" i="36" s="1"/>
  <c r="O47" i="36"/>
  <c r="P47" i="36" s="1"/>
  <c r="Q47" i="36" s="1"/>
  <c r="R47" i="36" s="1"/>
  <c r="S47" i="36" s="1"/>
  <c r="T47" i="36" s="1"/>
  <c r="U47" i="36" s="1"/>
  <c r="V47" i="36" s="1"/>
  <c r="W47" i="36" s="1"/>
  <c r="X47" i="36" s="1"/>
  <c r="X46" i="36"/>
  <c r="W46" i="36"/>
  <c r="V46" i="36"/>
  <c r="U46" i="36"/>
  <c r="T46" i="36"/>
  <c r="S46" i="36"/>
  <c r="R46" i="36"/>
  <c r="Q46" i="36"/>
  <c r="P46" i="36"/>
  <c r="O46" i="36"/>
  <c r="M46" i="36"/>
  <c r="L46" i="36"/>
  <c r="K46" i="36"/>
  <c r="J46" i="36"/>
  <c r="I46" i="36"/>
  <c r="H46" i="36"/>
  <c r="G46" i="36"/>
  <c r="F46" i="36"/>
  <c r="X45" i="36"/>
  <c r="X54" i="36" s="1"/>
  <c r="X58" i="36" s="1"/>
  <c r="W45" i="36"/>
  <c r="W54" i="36" s="1"/>
  <c r="W58" i="36" s="1"/>
  <c r="V45" i="36"/>
  <c r="V54" i="36" s="1"/>
  <c r="V58" i="36" s="1"/>
  <c r="U45" i="36"/>
  <c r="U54" i="36" s="1"/>
  <c r="U58" i="36" s="1"/>
  <c r="T45" i="36"/>
  <c r="T54" i="36" s="1"/>
  <c r="T58" i="36" s="1"/>
  <c r="S45" i="36"/>
  <c r="S54" i="36" s="1"/>
  <c r="S58" i="36" s="1"/>
  <c r="R45" i="36"/>
  <c r="R54" i="36" s="1"/>
  <c r="R58" i="36" s="1"/>
  <c r="Q45" i="36"/>
  <c r="Q54" i="36" s="1"/>
  <c r="Q58" i="36" s="1"/>
  <c r="P45" i="36"/>
  <c r="P54" i="36" s="1"/>
  <c r="P58" i="36" s="1"/>
  <c r="O45" i="36"/>
  <c r="O54" i="36" s="1"/>
  <c r="O58" i="36" s="1"/>
  <c r="L45" i="36"/>
  <c r="L54" i="36" s="1"/>
  <c r="L58" i="36" s="1"/>
  <c r="K45" i="36"/>
  <c r="K54" i="36" s="1"/>
  <c r="K58" i="36" s="1"/>
  <c r="J45" i="36"/>
  <c r="J54" i="36" s="1"/>
  <c r="J58" i="36" s="1"/>
  <c r="I45" i="36"/>
  <c r="I54" i="36" s="1"/>
  <c r="I58" i="36" s="1"/>
  <c r="H45" i="36"/>
  <c r="H54" i="36" s="1"/>
  <c r="H58" i="36" s="1"/>
  <c r="G45" i="36"/>
  <c r="G54" i="36" s="1"/>
  <c r="G58" i="36" s="1"/>
  <c r="F45" i="36"/>
  <c r="F54" i="36" s="1"/>
  <c r="F58" i="36" s="1"/>
  <c r="F76" i="36" s="1"/>
  <c r="L44" i="36"/>
  <c r="K44" i="36"/>
  <c r="J44" i="36"/>
  <c r="I44" i="36"/>
  <c r="H44" i="36"/>
  <c r="G44" i="36"/>
  <c r="F44" i="36"/>
  <c r="X43" i="36"/>
  <c r="W43" i="36"/>
  <c r="V43" i="36"/>
  <c r="U43" i="36"/>
  <c r="T43" i="36"/>
  <c r="X41" i="36"/>
  <c r="W41" i="36"/>
  <c r="V41" i="36"/>
  <c r="U41" i="36"/>
  <c r="T41" i="36"/>
  <c r="X40" i="36"/>
  <c r="W40" i="36"/>
  <c r="V40" i="36"/>
  <c r="U40" i="36"/>
  <c r="T40" i="36"/>
  <c r="S40" i="36"/>
  <c r="S44" i="36" s="1"/>
  <c r="R40" i="36"/>
  <c r="R44" i="36" s="1"/>
  <c r="Q40" i="36"/>
  <c r="Q44" i="36" s="1"/>
  <c r="P40" i="36"/>
  <c r="P44" i="36" s="1"/>
  <c r="O40" i="36"/>
  <c r="O44" i="36" s="1"/>
  <c r="M40" i="36"/>
  <c r="M44" i="36" s="1"/>
  <c r="X39" i="36"/>
  <c r="W39" i="36"/>
  <c r="V39" i="36"/>
  <c r="U39" i="36"/>
  <c r="T39" i="36"/>
  <c r="Q39" i="36"/>
  <c r="P39" i="36"/>
  <c r="O39" i="36"/>
  <c r="X38" i="36"/>
  <c r="W38" i="36"/>
  <c r="V38" i="36"/>
  <c r="U38" i="36"/>
  <c r="T38" i="36"/>
  <c r="X37" i="36"/>
  <c r="W37" i="36"/>
  <c r="V37" i="36"/>
  <c r="U37" i="36"/>
  <c r="T37" i="36"/>
  <c r="X36" i="36"/>
  <c r="W36" i="36"/>
  <c r="V36" i="36"/>
  <c r="U36" i="36"/>
  <c r="T36" i="36"/>
  <c r="X35" i="36"/>
  <c r="W35" i="36"/>
  <c r="V35" i="36"/>
  <c r="U35" i="36"/>
  <c r="T35" i="36"/>
  <c r="X34" i="36"/>
  <c r="X44" i="36" s="1"/>
  <c r="W34" i="36"/>
  <c r="W44" i="36" s="1"/>
  <c r="V34" i="36"/>
  <c r="V44" i="36" s="1"/>
  <c r="U34" i="36"/>
  <c r="U44" i="36" s="1"/>
  <c r="T34" i="36"/>
  <c r="T44" i="36" s="1"/>
  <c r="S34" i="36"/>
  <c r="R34" i="36"/>
  <c r="Q34" i="36"/>
  <c r="P34" i="36"/>
  <c r="G33" i="36"/>
  <c r="H33" i="36"/>
  <c r="I33" i="36"/>
  <c r="J33" i="36"/>
  <c r="K33" i="36"/>
  <c r="L33" i="36"/>
  <c r="M33" i="36"/>
  <c r="N33" i="36"/>
  <c r="O33" i="36"/>
  <c r="P33" i="36"/>
  <c r="Q33" i="36"/>
  <c r="R33" i="36"/>
  <c r="S33" i="36"/>
  <c r="T33" i="36"/>
  <c r="U33" i="36"/>
  <c r="V33" i="36"/>
  <c r="W33" i="36"/>
  <c r="X33" i="36"/>
  <c r="Y33" i="36"/>
  <c r="Z33" i="36"/>
  <c r="AA33" i="36"/>
  <c r="X22" i="36"/>
  <c r="W22" i="36"/>
  <c r="V22" i="36"/>
  <c r="U22" i="36"/>
  <c r="T22" i="36"/>
  <c r="X21" i="36"/>
  <c r="W21" i="36"/>
  <c r="V21" i="36"/>
  <c r="U21" i="36"/>
  <c r="T21" i="36"/>
  <c r="X19" i="36"/>
  <c r="W19" i="36"/>
  <c r="V19" i="36"/>
  <c r="U19" i="36"/>
  <c r="T19" i="36"/>
  <c r="X18" i="36"/>
  <c r="W18" i="36"/>
  <c r="V18" i="36"/>
  <c r="U18" i="36"/>
  <c r="T18" i="36"/>
  <c r="X17" i="36"/>
  <c r="W17" i="36"/>
  <c r="V17" i="36"/>
  <c r="U17" i="36"/>
  <c r="T17" i="36"/>
  <c r="X16" i="36"/>
  <c r="W16" i="36"/>
  <c r="V16" i="36"/>
  <c r="U16" i="36"/>
  <c r="T16" i="36"/>
  <c r="L15" i="36"/>
  <c r="I15" i="36"/>
  <c r="H15" i="36"/>
  <c r="F15" i="36"/>
  <c r="X14" i="36"/>
  <c r="W14" i="36"/>
  <c r="V14" i="36"/>
  <c r="U14" i="36"/>
  <c r="T14" i="36"/>
  <c r="X13" i="36"/>
  <c r="W13" i="36"/>
  <c r="V13" i="36"/>
  <c r="U13" i="36"/>
  <c r="T13" i="36"/>
  <c r="X12" i="36"/>
  <c r="W12" i="36"/>
  <c r="V12" i="36"/>
  <c r="U12" i="36"/>
  <c r="T12" i="36"/>
  <c r="S12" i="36"/>
  <c r="S15" i="36" s="1"/>
  <c r="R12" i="36"/>
  <c r="R15" i="36" s="1"/>
  <c r="Q12" i="36"/>
  <c r="Q15" i="36" s="1"/>
  <c r="P12" i="36"/>
  <c r="P15" i="36" s="1"/>
  <c r="O12" i="36"/>
  <c r="O15" i="36" s="1"/>
  <c r="M12" i="36"/>
  <c r="M15" i="36" s="1"/>
  <c r="X11" i="36"/>
  <c r="W11" i="36"/>
  <c r="V11" i="36"/>
  <c r="U11" i="36"/>
  <c r="T11" i="36"/>
  <c r="X10" i="36"/>
  <c r="W10" i="36"/>
  <c r="V10" i="36"/>
  <c r="U10" i="36"/>
  <c r="T10" i="36"/>
  <c r="M10" i="36"/>
  <c r="K10" i="36"/>
  <c r="K15" i="36"/>
  <c r="J10" i="36"/>
  <c r="J15" i="36"/>
  <c r="G10" i="36"/>
  <c r="G15" i="36"/>
  <c r="X9" i="36"/>
  <c r="W9" i="36"/>
  <c r="V9" i="36"/>
  <c r="U9" i="36"/>
  <c r="T9" i="36"/>
  <c r="X8" i="36"/>
  <c r="W8" i="36"/>
  <c r="V8" i="36"/>
  <c r="U8" i="36"/>
  <c r="T8" i="36"/>
  <c r="X7" i="36"/>
  <c r="W7" i="36"/>
  <c r="V7" i="36"/>
  <c r="U7" i="36"/>
  <c r="T7" i="36"/>
  <c r="X6" i="36"/>
  <c r="W6" i="36"/>
  <c r="V6" i="36"/>
  <c r="U6" i="36"/>
  <c r="T6" i="36"/>
  <c r="X5" i="36"/>
  <c r="W5" i="36"/>
  <c r="V5" i="36"/>
  <c r="U5" i="36"/>
  <c r="X4" i="36"/>
  <c r="X15" i="36" s="1"/>
  <c r="W4" i="36"/>
  <c r="W15" i="36" s="1"/>
  <c r="V4" i="36"/>
  <c r="V15" i="36" s="1"/>
  <c r="U4" i="36"/>
  <c r="U15" i="36" s="1"/>
  <c r="T4" i="36"/>
  <c r="T15" i="36" s="1"/>
  <c r="O94" i="36"/>
  <c r="O29" i="36"/>
  <c r="O68" i="36"/>
  <c r="F68" i="36"/>
  <c r="F69" i="36"/>
  <c r="F74" i="36"/>
  <c r="G101" i="36"/>
  <c r="G94" i="36"/>
  <c r="G29" i="36"/>
  <c r="G100" i="36"/>
  <c r="P101" i="36"/>
  <c r="Q101" i="36"/>
  <c r="G68" i="36"/>
  <c r="H101" i="36"/>
  <c r="P68" i="36"/>
  <c r="N158" i="8"/>
  <c r="M158" i="8"/>
  <c r="L158" i="8"/>
  <c r="K158" i="8"/>
  <c r="J158" i="8"/>
  <c r="I158" i="8"/>
  <c r="H158" i="8"/>
  <c r="G158" i="8"/>
  <c r="F158" i="8"/>
  <c r="O138" i="8"/>
  <c r="P138" i="8"/>
  <c r="Q138" i="8"/>
  <c r="R138" i="8"/>
  <c r="S138" i="8"/>
  <c r="T138" i="8"/>
  <c r="U138" i="8"/>
  <c r="V138" i="8"/>
  <c r="W138" i="8"/>
  <c r="X138" i="8"/>
  <c r="Y138" i="8"/>
  <c r="Z138" i="8"/>
  <c r="AA138" i="8"/>
  <c r="G126" i="8"/>
  <c r="H126" i="8" s="1"/>
  <c r="I126" i="8" s="1"/>
  <c r="J126" i="8" s="1"/>
  <c r="K126" i="8" s="1"/>
  <c r="L126" i="8" s="1"/>
  <c r="M126" i="8" s="1"/>
  <c r="N126" i="8" s="1"/>
  <c r="O126" i="8" s="1"/>
  <c r="P126" i="8" s="1"/>
  <c r="Q126" i="8" s="1"/>
  <c r="R126" i="8" s="1"/>
  <c r="S126" i="8" s="1"/>
  <c r="T126" i="8" s="1"/>
  <c r="U126" i="8" s="1"/>
  <c r="V126" i="8" s="1"/>
  <c r="W126" i="8" s="1"/>
  <c r="X126" i="8" s="1"/>
  <c r="Y126" i="8" s="1"/>
  <c r="Z126" i="8" s="1"/>
  <c r="AA126" i="8" s="1"/>
  <c r="AB126" i="8" s="1"/>
  <c r="P94" i="36"/>
  <c r="P29" i="36"/>
  <c r="Q68" i="36"/>
  <c r="R101" i="36"/>
  <c r="Q94" i="36"/>
  <c r="H68" i="36"/>
  <c r="I101" i="36"/>
  <c r="H94" i="36"/>
  <c r="F197" i="3"/>
  <c r="V182" i="3"/>
  <c r="V197" i="3" s="1"/>
  <c r="W182" i="3"/>
  <c r="W197" i="3" s="1"/>
  <c r="X182" i="3"/>
  <c r="X197" i="3" s="1"/>
  <c r="Y182" i="3"/>
  <c r="Y197" i="3" s="1"/>
  <c r="Z182" i="3"/>
  <c r="Z197" i="3" s="1"/>
  <c r="AA182" i="3"/>
  <c r="AA197" i="3" s="1"/>
  <c r="U182" i="3"/>
  <c r="U197" i="3" s="1"/>
  <c r="F154" i="8"/>
  <c r="G146" i="8"/>
  <c r="H146" i="8"/>
  <c r="I146" i="8"/>
  <c r="J146" i="8"/>
  <c r="K146" i="8"/>
  <c r="L146" i="8"/>
  <c r="M146" i="8"/>
  <c r="F146" i="8"/>
  <c r="G142" i="8"/>
  <c r="H142" i="8"/>
  <c r="I142" i="8"/>
  <c r="J142" i="8"/>
  <c r="K142" i="8"/>
  <c r="L142" i="8"/>
  <c r="M142" i="8"/>
  <c r="F142" i="8"/>
  <c r="J138" i="8"/>
  <c r="I138" i="8"/>
  <c r="H138" i="8"/>
  <c r="G138" i="8"/>
  <c r="F138" i="8"/>
  <c r="L138" i="8"/>
  <c r="M138" i="8"/>
  <c r="K138" i="8"/>
  <c r="G131" i="8"/>
  <c r="H131" i="8"/>
  <c r="I131" i="8"/>
  <c r="J131" i="8"/>
  <c r="K131" i="8"/>
  <c r="L131" i="8"/>
  <c r="F131" i="8"/>
  <c r="N131" i="8"/>
  <c r="N138" i="8"/>
  <c r="G83" i="36"/>
  <c r="G91" i="36" s="1"/>
  <c r="G26" i="36" s="1"/>
  <c r="J83" i="36"/>
  <c r="J91" i="36" s="1"/>
  <c r="J26" i="36" s="1"/>
  <c r="F83" i="36"/>
  <c r="F91" i="36" s="1"/>
  <c r="F26" i="36" s="1"/>
  <c r="M83" i="36"/>
  <c r="M91" i="36" s="1"/>
  <c r="M26" i="36" s="1"/>
  <c r="L83" i="36"/>
  <c r="L91" i="36" s="1"/>
  <c r="L26" i="36" s="1"/>
  <c r="K83" i="36"/>
  <c r="K91" i="36" s="1"/>
  <c r="K26" i="36" s="1"/>
  <c r="H83" i="36"/>
  <c r="H91" i="36" s="1"/>
  <c r="H26" i="36" s="1"/>
  <c r="I83" i="36"/>
  <c r="I91" i="36" s="1"/>
  <c r="I26" i="36" s="1"/>
  <c r="I68" i="36"/>
  <c r="J101" i="36"/>
  <c r="I94" i="36"/>
  <c r="Q29" i="36"/>
  <c r="H29" i="36"/>
  <c r="R68" i="36"/>
  <c r="S101" i="36"/>
  <c r="R94" i="36"/>
  <c r="F114" i="3"/>
  <c r="F37" i="3" s="1"/>
  <c r="G114" i="3"/>
  <c r="G37" i="3" s="1"/>
  <c r="U157" i="3"/>
  <c r="AA149" i="3"/>
  <c r="AA161" i="3" s="1"/>
  <c r="Y149" i="3"/>
  <c r="Y161" i="3" s="1"/>
  <c r="Y491" i="8" s="1"/>
  <c r="X149" i="3"/>
  <c r="X161" i="3" s="1"/>
  <c r="X491" i="8" s="1"/>
  <c r="W149" i="3"/>
  <c r="W161" i="3" s="1"/>
  <c r="W491" i="8" s="1"/>
  <c r="V149" i="3"/>
  <c r="V161" i="3" s="1"/>
  <c r="V491" i="8" s="1"/>
  <c r="U149" i="3"/>
  <c r="T149" i="3"/>
  <c r="S149" i="3"/>
  <c r="S161" i="3" s="1"/>
  <c r="S491" i="8" s="1"/>
  <c r="R149" i="3"/>
  <c r="R161" i="3" s="1"/>
  <c r="R491" i="8" s="1"/>
  <c r="Q149" i="3"/>
  <c r="Q161" i="3" s="1"/>
  <c r="Q491" i="8" s="1"/>
  <c r="P149" i="3"/>
  <c r="P161" i="3" s="1"/>
  <c r="P491" i="8" s="1"/>
  <c r="O149" i="3"/>
  <c r="O161" i="3" s="1"/>
  <c r="O491" i="8" s="1"/>
  <c r="N149" i="3"/>
  <c r="N161" i="3" s="1"/>
  <c r="N491" i="8" s="1"/>
  <c r="M149" i="3"/>
  <c r="M161" i="3" s="1"/>
  <c r="M491" i="8" s="1"/>
  <c r="L149" i="3"/>
  <c r="L161" i="3" s="1"/>
  <c r="L491" i="8" s="1"/>
  <c r="K149" i="3"/>
  <c r="K161" i="3" s="1"/>
  <c r="K491" i="8" s="1"/>
  <c r="J149" i="3"/>
  <c r="J161" i="3" s="1"/>
  <c r="J491" i="8" s="1"/>
  <c r="I149" i="3"/>
  <c r="I161" i="3" s="1"/>
  <c r="I491" i="8" s="1"/>
  <c r="H149" i="3"/>
  <c r="H161" i="3" s="1"/>
  <c r="H491" i="8" s="1"/>
  <c r="G149" i="3"/>
  <c r="G161" i="3" s="1"/>
  <c r="G491" i="8" s="1"/>
  <c r="Z149" i="3"/>
  <c r="Z161" i="3" s="1"/>
  <c r="R29" i="36"/>
  <c r="S68" i="36"/>
  <c r="T101" i="36"/>
  <c r="S94" i="36"/>
  <c r="I29" i="36"/>
  <c r="J68" i="36"/>
  <c r="K101" i="36"/>
  <c r="J94" i="36"/>
  <c r="S197" i="3"/>
  <c r="R197" i="3"/>
  <c r="Q197" i="3"/>
  <c r="T197" i="3"/>
  <c r="N197" i="3"/>
  <c r="P197" i="3"/>
  <c r="K68" i="36"/>
  <c r="L101" i="36"/>
  <c r="K94" i="36"/>
  <c r="S29" i="36"/>
  <c r="T68" i="36"/>
  <c r="U101" i="36"/>
  <c r="T94" i="36"/>
  <c r="J29" i="36"/>
  <c r="O197" i="3"/>
  <c r="M197" i="3"/>
  <c r="L197" i="3"/>
  <c r="K197" i="3"/>
  <c r="J197" i="3"/>
  <c r="I197" i="3"/>
  <c r="H197" i="3"/>
  <c r="G197" i="3"/>
  <c r="M79" i="36"/>
  <c r="M108" i="36"/>
  <c r="M112" i="36"/>
  <c r="M45" i="36"/>
  <c r="M54" i="36" s="1"/>
  <c r="M58" i="36" s="1"/>
  <c r="T29" i="36"/>
  <c r="K29" i="36"/>
  <c r="L68" i="36"/>
  <c r="M101" i="36"/>
  <c r="L94" i="36"/>
  <c r="U68" i="36"/>
  <c r="V101" i="36"/>
  <c r="U94" i="36"/>
  <c r="M388" i="8"/>
  <c r="W101" i="36"/>
  <c r="V94" i="36"/>
  <c r="V68" i="36"/>
  <c r="M94" i="36"/>
  <c r="M68" i="36"/>
  <c r="U29" i="36"/>
  <c r="L29" i="36"/>
  <c r="F41" i="3"/>
  <c r="F40" i="3"/>
  <c r="M29" i="36"/>
  <c r="V29" i="36"/>
  <c r="W68" i="36"/>
  <c r="X101" i="36"/>
  <c r="W94" i="36"/>
  <c r="F36" i="3"/>
  <c r="F34" i="3"/>
  <c r="O21" i="3"/>
  <c r="P21" i="3"/>
  <c r="Q21" i="3"/>
  <c r="R21" i="3"/>
  <c r="S21" i="3"/>
  <c r="T21" i="3"/>
  <c r="U21" i="3"/>
  <c r="V21" i="3"/>
  <c r="W21" i="3"/>
  <c r="X21" i="3"/>
  <c r="Y21" i="3"/>
  <c r="Z21" i="3"/>
  <c r="N21" i="3"/>
  <c r="F38" i="3"/>
  <c r="X68" i="36"/>
  <c r="X94" i="36"/>
  <c r="W29" i="36"/>
  <c r="H251" i="3"/>
  <c r="I251" i="3"/>
  <c r="J251" i="3"/>
  <c r="H252" i="3"/>
  <c r="I252" i="3"/>
  <c r="J252" i="3"/>
  <c r="H253" i="3"/>
  <c r="I253" i="3"/>
  <c r="J253" i="3"/>
  <c r="F255" i="3"/>
  <c r="G255" i="3"/>
  <c r="K255" i="3"/>
  <c r="L255" i="3"/>
  <c r="M255" i="3"/>
  <c r="L266" i="3"/>
  <c r="M266" i="3"/>
  <c r="N266" i="3"/>
  <c r="F270" i="3"/>
  <c r="G270" i="3"/>
  <c r="H270" i="3"/>
  <c r="I270" i="3"/>
  <c r="J270" i="3"/>
  <c r="K270" i="3"/>
  <c r="L95" i="3"/>
  <c r="L97" i="3" s="1"/>
  <c r="K95" i="3"/>
  <c r="K102" i="3" s="1"/>
  <c r="K80" i="3"/>
  <c r="K112" i="3" s="1"/>
  <c r="J95" i="3"/>
  <c r="J102" i="3" s="1"/>
  <c r="I95" i="3"/>
  <c r="I97" i="3" s="1"/>
  <c r="H95" i="3"/>
  <c r="H97" i="3" s="1"/>
  <c r="H98" i="3" s="1"/>
  <c r="H100" i="3" s="1"/>
  <c r="H20" i="3" s="1"/>
  <c r="H21" i="3" s="1"/>
  <c r="G95" i="3"/>
  <c r="G97" i="3" s="1"/>
  <c r="G98" i="3" s="1"/>
  <c r="G100" i="3" s="1"/>
  <c r="F244" i="3"/>
  <c r="F116" i="3" s="1"/>
  <c r="G244" i="3"/>
  <c r="G48" i="3" s="1"/>
  <c r="H244" i="3"/>
  <c r="H48" i="3" s="1"/>
  <c r="I244" i="3"/>
  <c r="J244" i="3"/>
  <c r="J116" i="3" s="1"/>
  <c r="K244" i="3"/>
  <c r="K48" i="3" s="1"/>
  <c r="L244" i="3"/>
  <c r="M244" i="3"/>
  <c r="M48" i="3" s="1"/>
  <c r="T157" i="3"/>
  <c r="M128" i="3"/>
  <c r="M114" i="3"/>
  <c r="M37" i="3" s="1"/>
  <c r="M112" i="3"/>
  <c r="M111" i="3"/>
  <c r="M107" i="3"/>
  <c r="M34" i="3" s="1"/>
  <c r="M106" i="3"/>
  <c r="M105" i="3"/>
  <c r="M102" i="3"/>
  <c r="M101" i="3"/>
  <c r="M11" i="3"/>
  <c r="X28" i="3"/>
  <c r="X43" i="3" s="1"/>
  <c r="O3" i="3"/>
  <c r="O481" i="8" s="1"/>
  <c r="X29" i="36"/>
  <c r="S79" i="36"/>
  <c r="T5" i="36"/>
  <c r="N449" i="8"/>
  <c r="M449" i="8"/>
  <c r="L449" i="8"/>
  <c r="K449" i="8"/>
  <c r="J449" i="8"/>
  <c r="I449" i="8"/>
  <c r="H449" i="8"/>
  <c r="G449" i="8"/>
  <c r="F449" i="8"/>
  <c r="R85" i="36"/>
  <c r="R93" i="36" s="1"/>
  <c r="Q85" i="36"/>
  <c r="Q93" i="36" s="1"/>
  <c r="P85" i="36"/>
  <c r="P93" i="36" s="1"/>
  <c r="O85" i="36"/>
  <c r="O93" i="36" s="1"/>
  <c r="O95" i="36" s="1"/>
  <c r="S131" i="8"/>
  <c r="R131" i="8"/>
  <c r="Q131" i="8"/>
  <c r="P131" i="8"/>
  <c r="O131" i="8"/>
  <c r="S158" i="8"/>
  <c r="R158" i="8"/>
  <c r="Q158" i="8"/>
  <c r="P158" i="8"/>
  <c r="O158" i="8"/>
  <c r="S146" i="8"/>
  <c r="R146" i="8"/>
  <c r="Q146" i="8"/>
  <c r="P146" i="8"/>
  <c r="O146" i="8"/>
  <c r="S85" i="36"/>
  <c r="S93" i="36" s="1"/>
  <c r="S95" i="36" s="1"/>
  <c r="S447" i="8"/>
  <c r="S449" i="8" s="1"/>
  <c r="T447" i="8"/>
  <c r="T449" i="8" s="1"/>
  <c r="T158" i="8"/>
  <c r="T146" i="8"/>
  <c r="T131" i="8"/>
  <c r="T85" i="36"/>
  <c r="T93" i="36" s="1"/>
  <c r="S83" i="36"/>
  <c r="S91" i="36" s="1"/>
  <c r="S26" i="36" s="1"/>
  <c r="O83" i="36"/>
  <c r="O91" i="36" s="1"/>
  <c r="O26" i="36" s="1"/>
  <c r="P83" i="36"/>
  <c r="P91" i="36" s="1"/>
  <c r="P26" i="36" s="1"/>
  <c r="R83" i="36"/>
  <c r="R91" i="36" s="1"/>
  <c r="R26" i="36" s="1"/>
  <c r="Q83" i="36"/>
  <c r="Q91" i="36" s="1"/>
  <c r="Q26" i="36" s="1"/>
  <c r="U131" i="8"/>
  <c r="V131" i="8"/>
  <c r="W131" i="8"/>
  <c r="X131" i="8"/>
  <c r="Y131" i="8"/>
  <c r="Z131" i="8"/>
  <c r="U146" i="8"/>
  <c r="V146" i="8"/>
  <c r="W146" i="8"/>
  <c r="X146" i="8"/>
  <c r="Y146" i="8"/>
  <c r="Z146" i="8"/>
  <c r="U158" i="8"/>
  <c r="V158" i="8"/>
  <c r="W158" i="8"/>
  <c r="X158" i="8"/>
  <c r="Y158" i="8"/>
  <c r="Z158" i="8"/>
  <c r="U85" i="36"/>
  <c r="U93" i="36" s="1"/>
  <c r="V85" i="36"/>
  <c r="V93" i="36" s="1"/>
  <c r="W85" i="36"/>
  <c r="W93" i="36" s="1"/>
  <c r="W28" i="36" s="1"/>
  <c r="W30" i="36" s="1"/>
  <c r="X85" i="36"/>
  <c r="X93" i="36" s="1"/>
  <c r="Z449" i="8"/>
  <c r="AN122" i="36"/>
  <c r="AM122" i="36"/>
  <c r="AL122" i="36"/>
  <c r="AK122" i="36"/>
  <c r="AJ122" i="36"/>
  <c r="AI122" i="36"/>
  <c r="AH122" i="36"/>
  <c r="AG122" i="36"/>
  <c r="AF122" i="36"/>
  <c r="AE122" i="36"/>
  <c r="AD122" i="36"/>
  <c r="AD118" i="36"/>
  <c r="AD114" i="36"/>
  <c r="AN110" i="36"/>
  <c r="AM110" i="36"/>
  <c r="AL110" i="36"/>
  <c r="AK110" i="36"/>
  <c r="AJ110" i="36"/>
  <c r="AI110" i="36"/>
  <c r="AH110" i="36"/>
  <c r="AG110" i="36"/>
  <c r="AF110" i="36"/>
  <c r="AE110" i="36"/>
  <c r="AD110" i="36"/>
  <c r="AN102" i="36"/>
  <c r="AM102" i="36"/>
  <c r="AL102" i="36"/>
  <c r="AK102" i="36"/>
  <c r="AJ102" i="36"/>
  <c r="AI102" i="36"/>
  <c r="AH102" i="36"/>
  <c r="AG102" i="36"/>
  <c r="AF102" i="36"/>
  <c r="AE102" i="36"/>
  <c r="AD102" i="36"/>
  <c r="AN93" i="36"/>
  <c r="AM93" i="36"/>
  <c r="AL93" i="36"/>
  <c r="AK93" i="36"/>
  <c r="AJ93" i="36"/>
  <c r="AI93" i="36"/>
  <c r="AH93" i="36"/>
  <c r="AG93" i="36"/>
  <c r="AG106" i="36"/>
  <c r="AF93" i="36"/>
  <c r="AE93" i="36"/>
  <c r="AD93" i="36"/>
  <c r="AL106" i="36"/>
  <c r="AE106" i="36"/>
  <c r="AM106" i="36"/>
  <c r="T83" i="36"/>
  <c r="T91" i="36" s="1"/>
  <c r="T26" i="36" s="1"/>
  <c r="AJ106" i="36"/>
  <c r="AI106" i="36"/>
  <c r="AH106" i="36"/>
  <c r="AF106" i="36"/>
  <c r="AN106" i="36"/>
  <c r="AK106" i="36"/>
  <c r="AD106" i="36"/>
  <c r="K11" i="3"/>
  <c r="I11" i="3"/>
  <c r="H11" i="3"/>
  <c r="G11" i="3"/>
  <c r="F11" i="3"/>
  <c r="Y57" i="3"/>
  <c r="X57" i="3"/>
  <c r="Z57" i="3"/>
  <c r="V57" i="3"/>
  <c r="U57" i="3"/>
  <c r="T57" i="3"/>
  <c r="S57" i="3"/>
  <c r="R57" i="3"/>
  <c r="Q57" i="3"/>
  <c r="P57" i="3"/>
  <c r="O57" i="3"/>
  <c r="N57" i="3"/>
  <c r="W57" i="3"/>
  <c r="AA11" i="3"/>
  <c r="I85" i="36"/>
  <c r="I93" i="36" s="1"/>
  <c r="I95" i="36" s="1"/>
  <c r="M85" i="36"/>
  <c r="M93" i="36" s="1"/>
  <c r="J85" i="36"/>
  <c r="J93" i="36" s="1"/>
  <c r="X83" i="36"/>
  <c r="X91" i="36" s="1"/>
  <c r="X26" i="36" s="1"/>
  <c r="U83" i="36"/>
  <c r="U91" i="36" s="1"/>
  <c r="U26" i="36" s="1"/>
  <c r="L85" i="36"/>
  <c r="L93" i="36" s="1"/>
  <c r="L95" i="36" s="1"/>
  <c r="V83" i="36"/>
  <c r="V91" i="36" s="1"/>
  <c r="V26" i="36" s="1"/>
  <c r="W83" i="36"/>
  <c r="W91" i="36" s="1"/>
  <c r="W26" i="36" s="1"/>
  <c r="K85" i="36"/>
  <c r="K93" i="36" s="1"/>
  <c r="W79" i="36"/>
  <c r="P79" i="36"/>
  <c r="U79" i="36"/>
  <c r="V79" i="36"/>
  <c r="X79" i="36"/>
  <c r="L107" i="3"/>
  <c r="L34" i="3" s="1"/>
  <c r="L106" i="3"/>
  <c r="L105" i="3"/>
  <c r="L101" i="3"/>
  <c r="L114" i="3"/>
  <c r="L37" i="3" s="1"/>
  <c r="L112" i="3"/>
  <c r="L113" i="3"/>
  <c r="L111" i="3"/>
  <c r="K114" i="3"/>
  <c r="K37" i="3" s="1"/>
  <c r="K111" i="3"/>
  <c r="K113" i="3"/>
  <c r="K106" i="3"/>
  <c r="K105" i="3"/>
  <c r="K101" i="3"/>
  <c r="J114" i="3"/>
  <c r="J37" i="3" s="1"/>
  <c r="J113" i="3"/>
  <c r="J111" i="3"/>
  <c r="J101" i="3"/>
  <c r="J105" i="3"/>
  <c r="J106" i="3"/>
  <c r="I114" i="3"/>
  <c r="I37" i="3" s="1"/>
  <c r="I110" i="3"/>
  <c r="I27" i="3" s="1"/>
  <c r="I105" i="3"/>
  <c r="I106" i="3"/>
  <c r="I101" i="3"/>
  <c r="H114" i="3"/>
  <c r="H37" i="3" s="1"/>
  <c r="H110" i="3"/>
  <c r="H27" i="3" s="1"/>
  <c r="H106" i="3"/>
  <c r="H105" i="3"/>
  <c r="H101" i="3"/>
  <c r="G105" i="3"/>
  <c r="G110" i="3"/>
  <c r="G27" i="3" s="1"/>
  <c r="G106" i="3"/>
  <c r="G101" i="3"/>
  <c r="F106" i="3"/>
  <c r="F105" i="3"/>
  <c r="F101" i="3"/>
  <c r="F110" i="3"/>
  <c r="F27" i="3" s="1"/>
  <c r="L11" i="57"/>
  <c r="M11" i="57"/>
  <c r="N11" i="57"/>
  <c r="O11" i="57"/>
  <c r="P11" i="57"/>
  <c r="Q11" i="57"/>
  <c r="R11" i="57"/>
  <c r="S11" i="57"/>
  <c r="T11" i="57"/>
  <c r="U11" i="57"/>
  <c r="V11" i="57"/>
  <c r="G11" i="57"/>
  <c r="H11" i="57"/>
  <c r="I11" i="57"/>
  <c r="J11" i="57"/>
  <c r="K11" i="57"/>
  <c r="F11" i="57"/>
  <c r="I128" i="3"/>
  <c r="O1" i="41"/>
  <c r="Z1" i="43"/>
  <c r="T1" i="31"/>
  <c r="AA1" i="33"/>
  <c r="V2" i="26"/>
  <c r="AA1" i="20"/>
  <c r="AA1" i="34"/>
  <c r="AA1" i="36"/>
  <c r="F4" i="24"/>
  <c r="G4" i="24"/>
  <c r="H4" i="24"/>
  <c r="I4" i="24"/>
  <c r="J4" i="24"/>
  <c r="K4" i="24"/>
  <c r="L4" i="24"/>
  <c r="M4" i="24"/>
  <c r="N4" i="24"/>
  <c r="O4" i="24"/>
  <c r="P4" i="24"/>
  <c r="Q4" i="24"/>
  <c r="R4" i="24"/>
  <c r="S4" i="24"/>
  <c r="T4" i="24"/>
  <c r="U4" i="24"/>
  <c r="V4" i="24"/>
  <c r="W4" i="24"/>
  <c r="X4" i="24"/>
  <c r="Y4" i="24"/>
  <c r="Z4" i="24"/>
  <c r="F3" i="24"/>
  <c r="G3" i="24"/>
  <c r="H3" i="24"/>
  <c r="I3" i="24"/>
  <c r="J3" i="24"/>
  <c r="K3" i="24"/>
  <c r="L3" i="24"/>
  <c r="M3" i="24"/>
  <c r="N3" i="24"/>
  <c r="O3" i="24"/>
  <c r="P3" i="24"/>
  <c r="Q3" i="24"/>
  <c r="R3" i="24"/>
  <c r="S3" i="24"/>
  <c r="T3" i="24"/>
  <c r="U3" i="24"/>
  <c r="V3" i="24"/>
  <c r="W3" i="24"/>
  <c r="X3" i="24"/>
  <c r="Y3" i="24"/>
  <c r="Z3" i="24"/>
  <c r="Z2" i="24"/>
  <c r="A1" i="24"/>
  <c r="F3" i="43"/>
  <c r="G3" i="43"/>
  <c r="H3" i="43"/>
  <c r="I3" i="43"/>
  <c r="J3" i="43"/>
  <c r="K3" i="43"/>
  <c r="L3" i="43"/>
  <c r="M3" i="43"/>
  <c r="N3" i="43"/>
  <c r="O3" i="43"/>
  <c r="P3" i="43"/>
  <c r="Q3" i="43"/>
  <c r="R3" i="43"/>
  <c r="S3" i="43"/>
  <c r="T3" i="43"/>
  <c r="U3" i="43"/>
  <c r="V3" i="43"/>
  <c r="W3" i="43"/>
  <c r="X3" i="43"/>
  <c r="Y3" i="43"/>
  <c r="Z3" i="43"/>
  <c r="F2" i="43"/>
  <c r="G2" i="43"/>
  <c r="H2" i="43"/>
  <c r="I2" i="43"/>
  <c r="J2" i="43"/>
  <c r="K2" i="43"/>
  <c r="L2" i="43"/>
  <c r="M2" i="43"/>
  <c r="N2" i="43"/>
  <c r="O2" i="43"/>
  <c r="P2" i="43"/>
  <c r="Q2" i="43"/>
  <c r="R2" i="43"/>
  <c r="S2" i="43"/>
  <c r="T2" i="43"/>
  <c r="U2" i="43"/>
  <c r="V2" i="43"/>
  <c r="W2" i="43"/>
  <c r="X2" i="43"/>
  <c r="Y2" i="43"/>
  <c r="Z2" i="43"/>
  <c r="G2" i="33"/>
  <c r="H2" i="33"/>
  <c r="I2" i="33"/>
  <c r="J2" i="33"/>
  <c r="K2" i="33"/>
  <c r="L2" i="33"/>
  <c r="M2" i="33"/>
  <c r="N2" i="33"/>
  <c r="O2" i="33"/>
  <c r="P2" i="33"/>
  <c r="Q2" i="33"/>
  <c r="R2" i="33"/>
  <c r="S2" i="33"/>
  <c r="T2" i="33"/>
  <c r="U2" i="33"/>
  <c r="V2" i="33"/>
  <c r="W2" i="33"/>
  <c r="X2" i="33"/>
  <c r="Y2" i="33"/>
  <c r="Z2" i="33"/>
  <c r="AA2" i="33"/>
  <c r="G2" i="20"/>
  <c r="H2" i="20"/>
  <c r="I2" i="20"/>
  <c r="J2" i="20"/>
  <c r="K2" i="20"/>
  <c r="L2" i="20"/>
  <c r="M2" i="20"/>
  <c r="N2" i="20"/>
  <c r="O2" i="20"/>
  <c r="P2" i="20"/>
  <c r="Q2" i="20"/>
  <c r="R2" i="20"/>
  <c r="S2" i="20"/>
  <c r="T2" i="20"/>
  <c r="U2" i="20"/>
  <c r="V2" i="20"/>
  <c r="W2" i="20"/>
  <c r="X2" i="20"/>
  <c r="Y2" i="20"/>
  <c r="Z2" i="20"/>
  <c r="AA2" i="20"/>
  <c r="G2" i="34"/>
  <c r="H2" i="34"/>
  <c r="I2" i="34"/>
  <c r="J2" i="34"/>
  <c r="K2" i="34"/>
  <c r="L2" i="34"/>
  <c r="M2" i="34"/>
  <c r="N2" i="34"/>
  <c r="O2" i="34"/>
  <c r="P2" i="34"/>
  <c r="Q2" i="34"/>
  <c r="R2" i="34"/>
  <c r="S2" i="34"/>
  <c r="T2" i="34"/>
  <c r="U2" i="34"/>
  <c r="V2" i="34"/>
  <c r="W2" i="34"/>
  <c r="X2" i="34"/>
  <c r="Y2" i="34"/>
  <c r="Z2" i="34"/>
  <c r="AA2" i="34"/>
  <c r="G3" i="3"/>
  <c r="G481" i="8" s="1"/>
  <c r="G2" i="3"/>
  <c r="H2" i="3" s="1"/>
  <c r="I2" i="3" s="1"/>
  <c r="J2" i="3" s="1"/>
  <c r="K2" i="3" s="1"/>
  <c r="L2" i="3" s="1"/>
  <c r="M2" i="3" s="1"/>
  <c r="N2" i="3" s="1"/>
  <c r="O2" i="3" s="1"/>
  <c r="P2" i="3" s="1"/>
  <c r="Q2" i="3" s="1"/>
  <c r="R2" i="3" s="1"/>
  <c r="S2" i="3" s="1"/>
  <c r="T2" i="3" s="1"/>
  <c r="U2" i="3" s="1"/>
  <c r="V2" i="3" s="1"/>
  <c r="W2" i="3" s="1"/>
  <c r="X2" i="3" s="1"/>
  <c r="Y2" i="3" s="1"/>
  <c r="Z2" i="3" s="1"/>
  <c r="AA2" i="3" s="1"/>
  <c r="AB2" i="3" s="1"/>
  <c r="G2" i="36"/>
  <c r="H2" i="36"/>
  <c r="I2" i="36"/>
  <c r="J2" i="36"/>
  <c r="K2" i="36"/>
  <c r="L2" i="36"/>
  <c r="M2" i="36"/>
  <c r="N2" i="36"/>
  <c r="O2" i="36"/>
  <c r="P2" i="36"/>
  <c r="Q2" i="36"/>
  <c r="R2" i="36"/>
  <c r="S2" i="36"/>
  <c r="T2" i="36"/>
  <c r="U2" i="36"/>
  <c r="V2" i="36"/>
  <c r="W2" i="36"/>
  <c r="X2" i="36"/>
  <c r="Y2" i="36"/>
  <c r="Z2" i="36"/>
  <c r="AA2" i="36"/>
  <c r="H85" i="36"/>
  <c r="H93" i="36" s="1"/>
  <c r="H28" i="36" s="1"/>
  <c r="H30" i="36" s="1"/>
  <c r="G85" i="36"/>
  <c r="G93" i="36" s="1"/>
  <c r="G28" i="36" s="1"/>
  <c r="G30" i="36" s="1"/>
  <c r="F85" i="36"/>
  <c r="F93" i="36" s="1"/>
  <c r="L128" i="3"/>
  <c r="K128" i="3"/>
  <c r="J128" i="3"/>
  <c r="H128" i="3"/>
  <c r="G128" i="3"/>
  <c r="F128" i="3"/>
  <c r="U5" i="20"/>
  <c r="V5" i="20"/>
  <c r="W5" i="20"/>
  <c r="X5" i="20"/>
  <c r="Y5" i="20"/>
  <c r="U6" i="20"/>
  <c r="U11" i="20" s="1"/>
  <c r="V6" i="20"/>
  <c r="V11" i="20" s="1"/>
  <c r="W6" i="20"/>
  <c r="X6" i="20"/>
  <c r="X11" i="20" s="1"/>
  <c r="Y6" i="20"/>
  <c r="Y11" i="20" s="1"/>
  <c r="U10" i="20"/>
  <c r="V10" i="20"/>
  <c r="V18" i="20" s="1"/>
  <c r="W10" i="20"/>
  <c r="W18" i="20" s="1"/>
  <c r="X10" i="20"/>
  <c r="Y10" i="20"/>
  <c r="Y18" i="20" s="1"/>
  <c r="U13" i="20"/>
  <c r="U19" i="20" s="1"/>
  <c r="V13" i="20"/>
  <c r="V19" i="20" s="1"/>
  <c r="W13" i="20"/>
  <c r="W19" i="20" s="1"/>
  <c r="X13" i="20"/>
  <c r="X19" i="20" s="1"/>
  <c r="Y13" i="20"/>
  <c r="Y19" i="20" s="1"/>
  <c r="U14" i="20"/>
  <c r="U20" i="20" s="1"/>
  <c r="V14" i="20"/>
  <c r="V20" i="20" s="1"/>
  <c r="W14" i="20"/>
  <c r="W20" i="20" s="1"/>
  <c r="X14" i="20"/>
  <c r="X20" i="20" s="1"/>
  <c r="Y14" i="20"/>
  <c r="Y20" i="20" s="1"/>
  <c r="Q79" i="36"/>
  <c r="R79" i="36"/>
  <c r="T79" i="36"/>
  <c r="Y23" i="20"/>
  <c r="P14" i="20"/>
  <c r="P20" i="20" s="1"/>
  <c r="Q14" i="20"/>
  <c r="Q20" i="20" s="1"/>
  <c r="R14" i="20"/>
  <c r="R20" i="20" s="1"/>
  <c r="S14" i="20"/>
  <c r="S20" i="20" s="1"/>
  <c r="T14" i="20"/>
  <c r="T20" i="20" s="1"/>
  <c r="O14" i="20"/>
  <c r="O20" i="20" s="1"/>
  <c r="P13" i="20"/>
  <c r="P19" i="20" s="1"/>
  <c r="Q13" i="20"/>
  <c r="Q19" i="20" s="1"/>
  <c r="R13" i="20"/>
  <c r="R19" i="20" s="1"/>
  <c r="S13" i="20"/>
  <c r="S19" i="20" s="1"/>
  <c r="T13" i="20"/>
  <c r="T19" i="20" s="1"/>
  <c r="O13" i="20"/>
  <c r="O19" i="20" s="1"/>
  <c r="P6" i="20"/>
  <c r="Q6" i="20"/>
  <c r="Q11" i="20" s="1"/>
  <c r="R6" i="20"/>
  <c r="R11" i="20" s="1"/>
  <c r="S6" i="20"/>
  <c r="S11" i="20" s="1"/>
  <c r="T6" i="20"/>
  <c r="O6" i="20"/>
  <c r="O11" i="20" s="1"/>
  <c r="E153" i="31"/>
  <c r="F153" i="31"/>
  <c r="G153" i="31"/>
  <c r="H153" i="31"/>
  <c r="I153" i="31"/>
  <c r="D153" i="31"/>
  <c r="T5" i="20"/>
  <c r="T40" i="20" s="1"/>
  <c r="T52" i="20" s="1"/>
  <c r="S5" i="20"/>
  <c r="S40" i="20" s="1"/>
  <c r="S52" i="20" s="1"/>
  <c r="M35" i="26" s="1"/>
  <c r="T35" i="26" s="1"/>
  <c r="R5" i="20"/>
  <c r="Q5" i="20"/>
  <c r="Q40" i="20" s="1"/>
  <c r="P5" i="20"/>
  <c r="P40" i="20" s="1"/>
  <c r="P62" i="20"/>
  <c r="Q62" i="20"/>
  <c r="R62" i="20"/>
  <c r="S62" i="20"/>
  <c r="T62" i="20"/>
  <c r="P76" i="23"/>
  <c r="Q76" i="23"/>
  <c r="R76" i="23"/>
  <c r="S76" i="23"/>
  <c r="T76" i="23"/>
  <c r="O76" i="23"/>
  <c r="D94" i="31"/>
  <c r="E94" i="31"/>
  <c r="F94" i="31"/>
  <c r="G94" i="31"/>
  <c r="H94" i="31"/>
  <c r="I94" i="31"/>
  <c r="D97" i="31"/>
  <c r="E97" i="31"/>
  <c r="F97" i="31"/>
  <c r="G97" i="31"/>
  <c r="H97" i="31"/>
  <c r="I97" i="31"/>
  <c r="I98" i="31"/>
  <c r="D99" i="31"/>
  <c r="E99" i="31"/>
  <c r="F99" i="31"/>
  <c r="G99" i="31"/>
  <c r="H99" i="31"/>
  <c r="I99" i="31"/>
  <c r="D102" i="31"/>
  <c r="E102" i="31"/>
  <c r="F102" i="31"/>
  <c r="G102" i="31"/>
  <c r="H102" i="31"/>
  <c r="I102" i="31"/>
  <c r="D108" i="31"/>
  <c r="E108" i="31"/>
  <c r="F108" i="31"/>
  <c r="G108" i="31"/>
  <c r="H108" i="31"/>
  <c r="I108" i="31"/>
  <c r="D109" i="31"/>
  <c r="D110" i="31"/>
  <c r="E110" i="31"/>
  <c r="F110" i="31"/>
  <c r="G110" i="31"/>
  <c r="H110" i="31"/>
  <c r="I110" i="31"/>
  <c r="D111" i="31"/>
  <c r="E111" i="31"/>
  <c r="F111" i="31"/>
  <c r="G111" i="31"/>
  <c r="H111" i="31"/>
  <c r="I111" i="31"/>
  <c r="D115" i="31"/>
  <c r="E115" i="31"/>
  <c r="F115" i="31"/>
  <c r="G115" i="31"/>
  <c r="H115" i="31"/>
  <c r="I115" i="31"/>
  <c r="D120" i="31"/>
  <c r="E120" i="31"/>
  <c r="F120" i="31"/>
  <c r="G120" i="31"/>
  <c r="H120" i="31"/>
  <c r="I120" i="31"/>
  <c r="D124" i="31"/>
  <c r="E124" i="31"/>
  <c r="F124" i="31"/>
  <c r="G124" i="31"/>
  <c r="H124" i="31"/>
  <c r="I124" i="31"/>
  <c r="O90" i="31"/>
  <c r="P90" i="31"/>
  <c r="Q90" i="31"/>
  <c r="R90" i="31"/>
  <c r="S90" i="31"/>
  <c r="P87" i="42"/>
  <c r="E614" i="31" s="1"/>
  <c r="Q87" i="42"/>
  <c r="F614" i="31" s="1"/>
  <c r="R87" i="42"/>
  <c r="G614" i="31" s="1"/>
  <c r="S87" i="42"/>
  <c r="H614" i="31" s="1"/>
  <c r="T87" i="42"/>
  <c r="I614" i="31" s="1"/>
  <c r="O87" i="42"/>
  <c r="D614" i="31" s="1"/>
  <c r="P88" i="42"/>
  <c r="E615" i="31" s="1"/>
  <c r="Q88" i="42"/>
  <c r="F615" i="31" s="1"/>
  <c r="R88" i="42"/>
  <c r="G615" i="31" s="1"/>
  <c r="S88" i="42"/>
  <c r="H615" i="31" s="1"/>
  <c r="T88" i="42"/>
  <c r="I615" i="31" s="1"/>
  <c r="O88" i="42"/>
  <c r="D615" i="31" s="1"/>
  <c r="P81" i="42"/>
  <c r="Q81" i="42"/>
  <c r="R81" i="42"/>
  <c r="S81" i="42"/>
  <c r="T81" i="42"/>
  <c r="O81" i="42"/>
  <c r="P80" i="42"/>
  <c r="P83" i="42" s="1"/>
  <c r="Q80" i="42"/>
  <c r="Q83" i="42" s="1"/>
  <c r="R80" i="42"/>
  <c r="R83" i="42" s="1"/>
  <c r="S80" i="42"/>
  <c r="S83" i="42" s="1"/>
  <c r="S84" i="42" s="1"/>
  <c r="T80" i="42"/>
  <c r="T83" i="42" s="1"/>
  <c r="T84" i="42" s="1"/>
  <c r="O80" i="42"/>
  <c r="O83" i="42" s="1"/>
  <c r="P69" i="42"/>
  <c r="P86" i="42" s="1"/>
  <c r="Q69" i="42"/>
  <c r="Q86" i="42" s="1"/>
  <c r="R69" i="42"/>
  <c r="R86" i="42" s="1"/>
  <c r="S69" i="42"/>
  <c r="S86" i="42" s="1"/>
  <c r="T69" i="42"/>
  <c r="T71" i="42" s="1"/>
  <c r="O69" i="42"/>
  <c r="O86" i="42" s="1"/>
  <c r="P66" i="42"/>
  <c r="Q66" i="42"/>
  <c r="R66" i="42"/>
  <c r="S66" i="42"/>
  <c r="T66" i="42"/>
  <c r="O66" i="42"/>
  <c r="P60" i="42"/>
  <c r="Q60" i="42"/>
  <c r="R60" i="42"/>
  <c r="S60" i="42"/>
  <c r="T60" i="42"/>
  <c r="O60" i="42"/>
  <c r="N48" i="42"/>
  <c r="P23" i="42"/>
  <c r="Q23" i="42"/>
  <c r="F106" i="31" s="1"/>
  <c r="R23" i="42"/>
  <c r="G106" i="31" s="1"/>
  <c r="S23" i="42"/>
  <c r="T23" i="42"/>
  <c r="T76" i="42" s="1"/>
  <c r="O23" i="42"/>
  <c r="D106" i="31" s="1"/>
  <c r="P6" i="42"/>
  <c r="P52" i="42" s="1"/>
  <c r="P79" i="42" s="1"/>
  <c r="Q6" i="42"/>
  <c r="Q52" i="42" s="1"/>
  <c r="Q79" i="42" s="1"/>
  <c r="R6" i="42"/>
  <c r="R52" i="42" s="1"/>
  <c r="R79" i="42" s="1"/>
  <c r="S6" i="42"/>
  <c r="S52" i="42" s="1"/>
  <c r="T6" i="42"/>
  <c r="T52" i="42" s="1"/>
  <c r="O6" i="42"/>
  <c r="O52" i="42" s="1"/>
  <c r="P5" i="42"/>
  <c r="E291" i="31" s="1"/>
  <c r="Q5" i="42"/>
  <c r="F32" i="31" s="1"/>
  <c r="R5" i="42"/>
  <c r="G291" i="31" s="1"/>
  <c r="S5" i="42"/>
  <c r="H32" i="31" s="1"/>
  <c r="T5" i="42"/>
  <c r="I32" i="31" s="1"/>
  <c r="O5" i="42"/>
  <c r="D32" i="31" s="1"/>
  <c r="S45" i="42"/>
  <c r="R45" i="42"/>
  <c r="Q45" i="42"/>
  <c r="P45" i="42"/>
  <c r="O45" i="42"/>
  <c r="N45" i="42"/>
  <c r="U8" i="42"/>
  <c r="U10" i="42"/>
  <c r="U12" i="42"/>
  <c r="U14" i="42"/>
  <c r="U16" i="42"/>
  <c r="U18" i="42"/>
  <c r="U20" i="42"/>
  <c r="U22" i="42"/>
  <c r="U24" i="42"/>
  <c r="U26" i="42"/>
  <c r="U29" i="42"/>
  <c r="U31" i="42"/>
  <c r="U33" i="42"/>
  <c r="U35" i="42"/>
  <c r="U37" i="42"/>
  <c r="U39" i="42"/>
  <c r="U41" i="42"/>
  <c r="U43" i="42"/>
  <c r="U45" i="42"/>
  <c r="U47" i="42"/>
  <c r="U49" i="42"/>
  <c r="U51" i="42"/>
  <c r="U53" i="42"/>
  <c r="U55" i="42"/>
  <c r="U57" i="42"/>
  <c r="U59" i="42"/>
  <c r="U61" i="42"/>
  <c r="U63" i="42"/>
  <c r="U65" i="42"/>
  <c r="U67" i="42"/>
  <c r="U69" i="42"/>
  <c r="U71" i="42"/>
  <c r="U73" i="42"/>
  <c r="U75" i="42"/>
  <c r="U77" i="42"/>
  <c r="U79" i="42"/>
  <c r="U81" i="42"/>
  <c r="U83" i="42"/>
  <c r="U85" i="42"/>
  <c r="U87" i="42"/>
  <c r="U89" i="42"/>
  <c r="U91" i="42"/>
  <c r="U93" i="42"/>
  <c r="U95" i="42"/>
  <c r="U97" i="42"/>
  <c r="U6" i="42"/>
  <c r="S71" i="42"/>
  <c r="O48" i="42"/>
  <c r="O62" i="20"/>
  <c r="P35" i="20"/>
  <c r="Q35" i="20"/>
  <c r="R35" i="20"/>
  <c r="S35" i="20"/>
  <c r="T35" i="20"/>
  <c r="O35" i="20"/>
  <c r="P29" i="20"/>
  <c r="Q29" i="20"/>
  <c r="R29" i="20"/>
  <c r="S29" i="20"/>
  <c r="T29" i="20"/>
  <c r="O29" i="20"/>
  <c r="S26" i="20"/>
  <c r="S28" i="20" s="1"/>
  <c r="S48" i="42"/>
  <c r="R26" i="20"/>
  <c r="R28" i="20" s="1"/>
  <c r="R48" i="42"/>
  <c r="Q26" i="20"/>
  <c r="Q28" i="20" s="1"/>
  <c r="Q48" i="42"/>
  <c r="T26" i="20"/>
  <c r="T28" i="20" s="1"/>
  <c r="T30" i="20" s="1"/>
  <c r="T59" i="20" s="1"/>
  <c r="M544" i="31" s="1"/>
  <c r="P26" i="20"/>
  <c r="P28" i="20" s="1"/>
  <c r="P48" i="42"/>
  <c r="O26" i="20"/>
  <c r="O28" i="20" s="1"/>
  <c r="P105" i="23"/>
  <c r="Q105" i="23"/>
  <c r="R105" i="23"/>
  <c r="S105" i="23"/>
  <c r="T105" i="23"/>
  <c r="O105" i="23"/>
  <c r="P104" i="23"/>
  <c r="Q104" i="23"/>
  <c r="R104" i="23"/>
  <c r="S104" i="23"/>
  <c r="T104" i="23"/>
  <c r="O104" i="23"/>
  <c r="P101" i="23"/>
  <c r="Q101" i="23"/>
  <c r="G640" i="31" s="1"/>
  <c r="R101" i="23"/>
  <c r="H640" i="31" s="1"/>
  <c r="S101" i="23"/>
  <c r="I640" i="31" s="1"/>
  <c r="T101" i="23"/>
  <c r="J640" i="31" s="1"/>
  <c r="P102" i="23"/>
  <c r="F641" i="31" s="1"/>
  <c r="Q102" i="23"/>
  <c r="G641" i="31" s="1"/>
  <c r="R102" i="23"/>
  <c r="H641" i="31" s="1"/>
  <c r="S102" i="23"/>
  <c r="I641" i="31" s="1"/>
  <c r="T102" i="23"/>
  <c r="J641" i="31" s="1"/>
  <c r="O102" i="23"/>
  <c r="O101" i="23"/>
  <c r="E640" i="31" s="1"/>
  <c r="P100" i="23"/>
  <c r="F639" i="31" s="1"/>
  <c r="Q100" i="23"/>
  <c r="R100" i="23"/>
  <c r="H639" i="31" s="1"/>
  <c r="S100" i="23"/>
  <c r="I639" i="31" s="1"/>
  <c r="T100" i="23"/>
  <c r="J639" i="31" s="1"/>
  <c r="O100" i="23"/>
  <c r="E639" i="31" s="1"/>
  <c r="P94" i="23"/>
  <c r="Q94" i="23"/>
  <c r="R94" i="23"/>
  <c r="S94" i="23"/>
  <c r="T94" i="23"/>
  <c r="O94" i="23"/>
  <c r="P72" i="23"/>
  <c r="Q72" i="23"/>
  <c r="R72" i="23"/>
  <c r="S72" i="23"/>
  <c r="T72" i="23"/>
  <c r="O72" i="23"/>
  <c r="P46" i="23"/>
  <c r="Q46" i="23"/>
  <c r="R46" i="23"/>
  <c r="S46" i="23"/>
  <c r="S53" i="23" s="1"/>
  <c r="T46" i="23"/>
  <c r="T53" i="23" s="1"/>
  <c r="O46" i="23"/>
  <c r="P36" i="23"/>
  <c r="Q36" i="23"/>
  <c r="R36" i="23"/>
  <c r="S36" i="23"/>
  <c r="T36" i="23"/>
  <c r="O36" i="23"/>
  <c r="P37" i="23"/>
  <c r="Q37" i="23"/>
  <c r="R37" i="23"/>
  <c r="S37" i="23"/>
  <c r="T37" i="23"/>
  <c r="O37" i="23"/>
  <c r="P6" i="34"/>
  <c r="Q6" i="34"/>
  <c r="R6" i="34"/>
  <c r="S6" i="34"/>
  <c r="T6" i="34"/>
  <c r="O6" i="34"/>
  <c r="P16" i="34"/>
  <c r="Q16" i="34"/>
  <c r="R16" i="34"/>
  <c r="S16" i="34"/>
  <c r="T16" i="34"/>
  <c r="O16" i="34"/>
  <c r="P8" i="34"/>
  <c r="P17" i="42" s="1"/>
  <c r="Q8" i="34"/>
  <c r="Q17" i="42" s="1"/>
  <c r="R8" i="34"/>
  <c r="R17" i="42" s="1"/>
  <c r="S8" i="34"/>
  <c r="S17" i="42" s="1"/>
  <c r="S62" i="42" s="1"/>
  <c r="T8" i="34"/>
  <c r="T12" i="34" s="1"/>
  <c r="P58" i="23"/>
  <c r="Q58" i="23"/>
  <c r="R58" i="23"/>
  <c r="S58" i="23"/>
  <c r="T58" i="23"/>
  <c r="T98" i="23" s="1"/>
  <c r="O58" i="23"/>
  <c r="O59" i="23" s="1"/>
  <c r="O19" i="23"/>
  <c r="O26" i="23" s="1"/>
  <c r="P19" i="23"/>
  <c r="Q19" i="23"/>
  <c r="Q26" i="23" s="1"/>
  <c r="R19" i="23"/>
  <c r="R26" i="23" s="1"/>
  <c r="S19" i="23"/>
  <c r="S22" i="23" s="1"/>
  <c r="T19" i="23"/>
  <c r="T22" i="23" s="1"/>
  <c r="O10" i="23"/>
  <c r="P10" i="23"/>
  <c r="P25" i="23" s="1"/>
  <c r="Q10" i="23"/>
  <c r="R10" i="23"/>
  <c r="R25" i="23" s="1"/>
  <c r="S10" i="23"/>
  <c r="S13" i="23" s="1"/>
  <c r="T10" i="23"/>
  <c r="T13" i="23" s="1"/>
  <c r="P39" i="34"/>
  <c r="J594" i="31" s="1"/>
  <c r="Q39" i="34"/>
  <c r="K594" i="31" s="1"/>
  <c r="R39" i="34"/>
  <c r="S39" i="34"/>
  <c r="T39" i="34"/>
  <c r="P40" i="34"/>
  <c r="J604" i="31" s="1"/>
  <c r="Q40" i="34"/>
  <c r="K604" i="31" s="1"/>
  <c r="R40" i="34"/>
  <c r="M17" i="26" s="1"/>
  <c r="S40" i="34"/>
  <c r="T40" i="34"/>
  <c r="O40" i="34"/>
  <c r="O39" i="34"/>
  <c r="I594" i="31" s="1"/>
  <c r="P34" i="34"/>
  <c r="Q34" i="34"/>
  <c r="R34" i="34"/>
  <c r="S34" i="34"/>
  <c r="S35" i="34" s="1"/>
  <c r="T34" i="34"/>
  <c r="T35" i="34" s="1"/>
  <c r="O34" i="34"/>
  <c r="O8" i="34"/>
  <c r="O17" i="42" s="1"/>
  <c r="O5" i="20"/>
  <c r="S12" i="42"/>
  <c r="H95" i="31" s="1"/>
  <c r="S32" i="34"/>
  <c r="S31" i="34" s="1"/>
  <c r="S35" i="23"/>
  <c r="S47" i="23" s="1"/>
  <c r="R12" i="42"/>
  <c r="R29" i="42" s="1"/>
  <c r="R35" i="23"/>
  <c r="R32" i="34"/>
  <c r="T21" i="42"/>
  <c r="I104" i="31" s="1"/>
  <c r="S21" i="42"/>
  <c r="H104" i="31" s="1"/>
  <c r="T12" i="42"/>
  <c r="I95" i="31" s="1"/>
  <c r="T35" i="23"/>
  <c r="T47" i="23" s="1"/>
  <c r="T32" i="34"/>
  <c r="T31" i="34" s="1"/>
  <c r="R21" i="42"/>
  <c r="G104" i="31" s="1"/>
  <c r="R10" i="20"/>
  <c r="R18" i="20" s="1"/>
  <c r="T10" i="20"/>
  <c r="T18" i="20" s="1"/>
  <c r="S10" i="20"/>
  <c r="S18" i="20" s="1"/>
  <c r="T61" i="23"/>
  <c r="T22" i="34"/>
  <c r="S61" i="23"/>
  <c r="S22" i="34"/>
  <c r="N21" i="42"/>
  <c r="O10" i="20"/>
  <c r="O18" i="20" s="1"/>
  <c r="N5" i="20"/>
  <c r="P12" i="42"/>
  <c r="P20" i="42" s="1"/>
  <c r="P35" i="23"/>
  <c r="P47" i="23" s="1"/>
  <c r="P32" i="34"/>
  <c r="P21" i="42"/>
  <c r="E104" i="31" s="1"/>
  <c r="O12" i="42"/>
  <c r="D95" i="31" s="1"/>
  <c r="O35" i="23"/>
  <c r="O32" i="34"/>
  <c r="O21" i="42"/>
  <c r="D104" i="31" s="1"/>
  <c r="Q12" i="42"/>
  <c r="Q29" i="42" s="1"/>
  <c r="Q35" i="23"/>
  <c r="Q32" i="34"/>
  <c r="Q21" i="42"/>
  <c r="F104" i="31" s="1"/>
  <c r="Q10" i="20"/>
  <c r="Q18" i="20" s="1"/>
  <c r="N12" i="42"/>
  <c r="N20" i="42" s="1"/>
  <c r="R61" i="23"/>
  <c r="R22" i="34"/>
  <c r="P61" i="23"/>
  <c r="P22" i="34"/>
  <c r="Q61" i="23"/>
  <c r="Q22" i="34"/>
  <c r="P10" i="20"/>
  <c r="P18" i="20" s="1"/>
  <c r="O22" i="34"/>
  <c r="O61" i="23"/>
  <c r="M252" i="31"/>
  <c r="M220" i="31"/>
  <c r="I63" i="31"/>
  <c r="M32" i="31"/>
  <c r="M33" i="31"/>
  <c r="B6" i="43"/>
  <c r="A1" i="26"/>
  <c r="M122" i="31"/>
  <c r="M8" i="44"/>
  <c r="M9" i="44"/>
  <c r="M11" i="44"/>
  <c r="M12" i="44"/>
  <c r="M13" i="44"/>
  <c r="M14" i="44"/>
  <c r="M15" i="44"/>
  <c r="M16" i="44"/>
  <c r="M17" i="44"/>
  <c r="M18" i="44"/>
  <c r="M19" i="44"/>
  <c r="M20" i="44"/>
  <c r="M21" i="44"/>
  <c r="Q51" i="26"/>
  <c r="O51" i="26"/>
  <c r="T48" i="20"/>
  <c r="O592" i="31"/>
  <c r="O593" i="31"/>
  <c r="M665" i="31"/>
  <c r="E664" i="31"/>
  <c r="F664" i="31"/>
  <c r="G664" i="31"/>
  <c r="H664" i="31"/>
  <c r="I664" i="31"/>
  <c r="J664" i="31"/>
  <c r="K664" i="31"/>
  <c r="L664" i="31"/>
  <c r="D664" i="31"/>
  <c r="E663" i="31"/>
  <c r="F663" i="31"/>
  <c r="G663" i="31"/>
  <c r="H663" i="31"/>
  <c r="I663" i="31"/>
  <c r="J663" i="31"/>
  <c r="K663" i="31"/>
  <c r="L663" i="31"/>
  <c r="M662" i="31"/>
  <c r="O664" i="31"/>
  <c r="J507" i="31"/>
  <c r="K507" i="31"/>
  <c r="L507" i="31"/>
  <c r="J508" i="31"/>
  <c r="K508" i="31"/>
  <c r="L508" i="31"/>
  <c r="M505" i="31"/>
  <c r="E506" i="31"/>
  <c r="F506" i="31"/>
  <c r="G506" i="31"/>
  <c r="H506" i="31"/>
  <c r="I506" i="31"/>
  <c r="J506" i="31"/>
  <c r="K506" i="31"/>
  <c r="L506" i="31"/>
  <c r="M533" i="31"/>
  <c r="M649" i="31"/>
  <c r="M637" i="31"/>
  <c r="M624" i="31"/>
  <c r="M611" i="31"/>
  <c r="M652" i="31"/>
  <c r="M653" i="31"/>
  <c r="M651" i="31"/>
  <c r="M654" i="31"/>
  <c r="E650" i="31"/>
  <c r="F650" i="31"/>
  <c r="G650" i="31"/>
  <c r="H650" i="31"/>
  <c r="I650" i="31"/>
  <c r="J650" i="31"/>
  <c r="K650" i="31"/>
  <c r="L650" i="31"/>
  <c r="E625" i="31"/>
  <c r="F625" i="31"/>
  <c r="G625" i="31"/>
  <c r="H625" i="31"/>
  <c r="I625" i="31"/>
  <c r="J625" i="31"/>
  <c r="K625" i="31"/>
  <c r="L625" i="31"/>
  <c r="K639" i="31"/>
  <c r="L639" i="31"/>
  <c r="K640" i="31"/>
  <c r="L640" i="31"/>
  <c r="K641" i="31"/>
  <c r="L641" i="31"/>
  <c r="K642" i="31"/>
  <c r="L642" i="31"/>
  <c r="D640" i="31"/>
  <c r="D641" i="31"/>
  <c r="D639" i="31"/>
  <c r="J613" i="31"/>
  <c r="K613" i="31"/>
  <c r="L613" i="31"/>
  <c r="J614" i="31"/>
  <c r="K614" i="31"/>
  <c r="L614" i="31"/>
  <c r="J615" i="31"/>
  <c r="K615" i="31"/>
  <c r="L615" i="31"/>
  <c r="J616" i="31"/>
  <c r="K616" i="31"/>
  <c r="L616" i="31"/>
  <c r="E638" i="31"/>
  <c r="F638" i="31"/>
  <c r="G638" i="31"/>
  <c r="H638" i="31"/>
  <c r="I638" i="31"/>
  <c r="J638" i="31"/>
  <c r="K638" i="31"/>
  <c r="L638" i="31"/>
  <c r="L628" i="31"/>
  <c r="K626" i="31"/>
  <c r="K652" i="31"/>
  <c r="J628" i="31"/>
  <c r="L627" i="31"/>
  <c r="L626" i="31"/>
  <c r="L653" i="31"/>
  <c r="L652" i="31"/>
  <c r="L651" i="31"/>
  <c r="J627" i="31"/>
  <c r="K628" i="31"/>
  <c r="K627" i="31"/>
  <c r="K653" i="31"/>
  <c r="K651" i="31"/>
  <c r="J626" i="31"/>
  <c r="E534" i="31"/>
  <c r="F534" i="31"/>
  <c r="G534" i="31"/>
  <c r="H534" i="31"/>
  <c r="I534" i="31"/>
  <c r="J534" i="31"/>
  <c r="K534" i="31"/>
  <c r="L534" i="31"/>
  <c r="M145" i="43"/>
  <c r="L145" i="43"/>
  <c r="K145" i="43"/>
  <c r="J145" i="43"/>
  <c r="M142" i="43"/>
  <c r="L142" i="43"/>
  <c r="K142" i="43"/>
  <c r="J142" i="43"/>
  <c r="I142" i="43"/>
  <c r="Q77" i="43"/>
  <c r="P77" i="43"/>
  <c r="O77" i="43"/>
  <c r="N77" i="43"/>
  <c r="M77" i="43"/>
  <c r="L77" i="43"/>
  <c r="K77" i="43"/>
  <c r="J77" i="43"/>
  <c r="I77" i="43"/>
  <c r="Q76" i="43"/>
  <c r="P76" i="43"/>
  <c r="O76" i="43"/>
  <c r="N76" i="43"/>
  <c r="M76" i="43"/>
  <c r="L76" i="43"/>
  <c r="K76" i="43"/>
  <c r="J76" i="43"/>
  <c r="I76" i="43"/>
  <c r="J75" i="43"/>
  <c r="K75" i="43"/>
  <c r="L75" i="43"/>
  <c r="M75" i="43"/>
  <c r="N75" i="43"/>
  <c r="O75" i="43"/>
  <c r="P75" i="43"/>
  <c r="Q75" i="43"/>
  <c r="R74" i="43"/>
  <c r="Q70" i="43"/>
  <c r="P70" i="43"/>
  <c r="O70" i="43"/>
  <c r="N70" i="43"/>
  <c r="M70" i="43"/>
  <c r="L70" i="43"/>
  <c r="K70" i="43"/>
  <c r="J70" i="43"/>
  <c r="I70" i="43"/>
  <c r="Q69" i="43"/>
  <c r="P69" i="43"/>
  <c r="O69" i="43"/>
  <c r="N69" i="43"/>
  <c r="M69" i="43"/>
  <c r="L69" i="43"/>
  <c r="K69" i="43"/>
  <c r="J69" i="43"/>
  <c r="I69" i="43"/>
  <c r="J68" i="43"/>
  <c r="K68" i="43"/>
  <c r="L68" i="43"/>
  <c r="M68" i="43"/>
  <c r="N68" i="43"/>
  <c r="O68" i="43"/>
  <c r="P68" i="43"/>
  <c r="Q68" i="43"/>
  <c r="R67" i="43"/>
  <c r="Q63" i="43"/>
  <c r="P63" i="43"/>
  <c r="O63" i="43"/>
  <c r="N63" i="43"/>
  <c r="M63" i="43"/>
  <c r="L63" i="43"/>
  <c r="K63" i="43"/>
  <c r="J63" i="43"/>
  <c r="I63" i="43"/>
  <c r="Q62" i="43"/>
  <c r="P62" i="43"/>
  <c r="O62" i="43"/>
  <c r="N62" i="43"/>
  <c r="M62" i="43"/>
  <c r="L62" i="43"/>
  <c r="K62" i="43"/>
  <c r="J62" i="43"/>
  <c r="I62" i="43"/>
  <c r="J61" i="43"/>
  <c r="K61" i="43"/>
  <c r="L61" i="43"/>
  <c r="M61" i="43"/>
  <c r="N61" i="43"/>
  <c r="O61" i="43"/>
  <c r="P61" i="43"/>
  <c r="Q61" i="43"/>
  <c r="R60" i="43"/>
  <c r="Q56" i="43"/>
  <c r="P56" i="43"/>
  <c r="O56" i="43"/>
  <c r="N56" i="43"/>
  <c r="M56" i="43"/>
  <c r="L56" i="43"/>
  <c r="K56" i="43"/>
  <c r="J56" i="43"/>
  <c r="I56" i="43"/>
  <c r="Q55" i="43"/>
  <c r="P55" i="43"/>
  <c r="O55" i="43"/>
  <c r="N55" i="43"/>
  <c r="M55" i="43"/>
  <c r="L55" i="43"/>
  <c r="K55" i="43"/>
  <c r="J55" i="43"/>
  <c r="I55" i="43"/>
  <c r="J54" i="43"/>
  <c r="K54" i="43"/>
  <c r="L54" i="43"/>
  <c r="M54" i="43"/>
  <c r="N54" i="43"/>
  <c r="O54" i="43"/>
  <c r="P54" i="43"/>
  <c r="Q54" i="43"/>
  <c r="R53" i="43"/>
  <c r="Q49" i="43"/>
  <c r="P49" i="43"/>
  <c r="O49" i="43"/>
  <c r="N49" i="43"/>
  <c r="M49" i="43"/>
  <c r="L49" i="43"/>
  <c r="K49" i="43"/>
  <c r="J49" i="43"/>
  <c r="I49" i="43"/>
  <c r="Q48" i="43"/>
  <c r="P48" i="43"/>
  <c r="O48" i="43"/>
  <c r="N48" i="43"/>
  <c r="M48" i="43"/>
  <c r="L48" i="43"/>
  <c r="K48" i="43"/>
  <c r="J48" i="43"/>
  <c r="I48" i="43"/>
  <c r="J47" i="43"/>
  <c r="K47" i="43"/>
  <c r="L47" i="43"/>
  <c r="M47" i="43"/>
  <c r="N47" i="43"/>
  <c r="O47" i="43"/>
  <c r="P47" i="43"/>
  <c r="Q47" i="43"/>
  <c r="R46" i="43"/>
  <c r="R69" i="43"/>
  <c r="Q42" i="43"/>
  <c r="P42" i="43"/>
  <c r="O42" i="43"/>
  <c r="N42" i="43"/>
  <c r="M42" i="43"/>
  <c r="L42" i="43"/>
  <c r="K42" i="43"/>
  <c r="J42" i="43"/>
  <c r="I42" i="43"/>
  <c r="Q41" i="43"/>
  <c r="P41" i="43"/>
  <c r="O41" i="43"/>
  <c r="N41" i="43"/>
  <c r="M41" i="43"/>
  <c r="L41" i="43"/>
  <c r="K41" i="43"/>
  <c r="J41" i="43"/>
  <c r="I41" i="43"/>
  <c r="J40" i="43"/>
  <c r="K40" i="43"/>
  <c r="L40" i="43"/>
  <c r="M40" i="43"/>
  <c r="N40" i="43"/>
  <c r="O40" i="43"/>
  <c r="P40" i="43"/>
  <c r="Q40" i="43"/>
  <c r="R39" i="43"/>
  <c r="Q35" i="43"/>
  <c r="P35" i="43"/>
  <c r="O35" i="43"/>
  <c r="N35" i="43"/>
  <c r="M35" i="43"/>
  <c r="L35" i="43"/>
  <c r="K35" i="43"/>
  <c r="J35" i="43"/>
  <c r="I35" i="43"/>
  <c r="Q34" i="43"/>
  <c r="P34" i="43"/>
  <c r="O34" i="43"/>
  <c r="N34" i="43"/>
  <c r="M34" i="43"/>
  <c r="L34" i="43"/>
  <c r="K34" i="43"/>
  <c r="J34" i="43"/>
  <c r="I34" i="43"/>
  <c r="J33" i="43"/>
  <c r="K33" i="43"/>
  <c r="L33" i="43"/>
  <c r="M33" i="43"/>
  <c r="N33" i="43"/>
  <c r="O33" i="43"/>
  <c r="P33" i="43"/>
  <c r="Q33" i="43"/>
  <c r="R32" i="43"/>
  <c r="Q28" i="43"/>
  <c r="P28" i="43"/>
  <c r="O28" i="43"/>
  <c r="N28" i="43"/>
  <c r="M28" i="43"/>
  <c r="L28" i="43"/>
  <c r="K28" i="43"/>
  <c r="J28" i="43"/>
  <c r="I28" i="43"/>
  <c r="Q27" i="43"/>
  <c r="P27" i="43"/>
  <c r="O27" i="43"/>
  <c r="N27" i="43"/>
  <c r="M27" i="43"/>
  <c r="L27" i="43"/>
  <c r="K27" i="43"/>
  <c r="J27" i="43"/>
  <c r="I27" i="43"/>
  <c r="J26" i="43"/>
  <c r="K26" i="43"/>
  <c r="L26" i="43"/>
  <c r="M26" i="43"/>
  <c r="N26" i="43"/>
  <c r="O26" i="43"/>
  <c r="P26" i="43"/>
  <c r="Q26" i="43"/>
  <c r="R25" i="43"/>
  <c r="N21" i="43"/>
  <c r="M21" i="43"/>
  <c r="L21" i="43"/>
  <c r="K21" i="43"/>
  <c r="J21" i="43"/>
  <c r="I21" i="43"/>
  <c r="N20" i="43"/>
  <c r="M20" i="43"/>
  <c r="L20" i="43"/>
  <c r="K20" i="43"/>
  <c r="J20" i="43"/>
  <c r="I20" i="43"/>
  <c r="J19" i="43"/>
  <c r="K19" i="43"/>
  <c r="L19" i="43"/>
  <c r="M19" i="43"/>
  <c r="N19" i="43"/>
  <c r="R18" i="43"/>
  <c r="J603" i="31"/>
  <c r="K603" i="31"/>
  <c r="L603" i="31"/>
  <c r="E593" i="31"/>
  <c r="F593" i="31"/>
  <c r="G593" i="31"/>
  <c r="H593" i="31"/>
  <c r="I593" i="31"/>
  <c r="J593" i="31"/>
  <c r="K593" i="31"/>
  <c r="L593" i="31"/>
  <c r="D593" i="31"/>
  <c r="M573" i="31"/>
  <c r="J583" i="31"/>
  <c r="K583" i="31"/>
  <c r="L583" i="31"/>
  <c r="J573" i="31"/>
  <c r="K573" i="31"/>
  <c r="L573" i="31"/>
  <c r="J563" i="31"/>
  <c r="K563" i="31"/>
  <c r="L563" i="31"/>
  <c r="E553" i="31"/>
  <c r="F553" i="31"/>
  <c r="G553" i="31"/>
  <c r="J553" i="31"/>
  <c r="K553" i="31"/>
  <c r="L553" i="31"/>
  <c r="D553" i="31"/>
  <c r="R718" i="31"/>
  <c r="M601" i="31"/>
  <c r="M591" i="31"/>
  <c r="M581" i="31"/>
  <c r="M571" i="31"/>
  <c r="M561" i="31"/>
  <c r="M551" i="31"/>
  <c r="M541" i="31"/>
  <c r="O543" i="31"/>
  <c r="J543" i="31"/>
  <c r="K543" i="31"/>
  <c r="L543" i="31"/>
  <c r="L629" i="31"/>
  <c r="K654" i="31"/>
  <c r="J629" i="31"/>
  <c r="K629" i="31"/>
  <c r="L654" i="31"/>
  <c r="Q721" i="31"/>
  <c r="P721" i="31"/>
  <c r="O721" i="31"/>
  <c r="N721" i="31"/>
  <c r="M721" i="31"/>
  <c r="L721" i="31"/>
  <c r="K721" i="31"/>
  <c r="J721" i="31"/>
  <c r="I721" i="31"/>
  <c r="Q720" i="31"/>
  <c r="P720" i="31"/>
  <c r="O720" i="31"/>
  <c r="N720" i="31"/>
  <c r="M720" i="31"/>
  <c r="L720" i="31"/>
  <c r="K720" i="31"/>
  <c r="J720" i="31"/>
  <c r="I720" i="31"/>
  <c r="J719" i="31"/>
  <c r="K719" i="31"/>
  <c r="L719" i="31"/>
  <c r="M719" i="31"/>
  <c r="N719" i="31"/>
  <c r="O719" i="31"/>
  <c r="P719" i="31"/>
  <c r="Q719" i="31"/>
  <c r="M616" i="31"/>
  <c r="E612" i="31"/>
  <c r="F612" i="31"/>
  <c r="G612" i="31"/>
  <c r="H612" i="31"/>
  <c r="I612" i="31"/>
  <c r="J612" i="31"/>
  <c r="K612" i="31"/>
  <c r="L612" i="31"/>
  <c r="R34" i="43"/>
  <c r="E602" i="31"/>
  <c r="F602" i="31"/>
  <c r="G602" i="31"/>
  <c r="H602" i="31"/>
  <c r="I602" i="31"/>
  <c r="J602" i="31"/>
  <c r="K602" i="31"/>
  <c r="L602" i="31"/>
  <c r="M626" i="31"/>
  <c r="M629" i="31"/>
  <c r="M664" i="31"/>
  <c r="M627" i="31"/>
  <c r="M628" i="31"/>
  <c r="E592" i="31"/>
  <c r="F592" i="31"/>
  <c r="G592" i="31"/>
  <c r="H592" i="31"/>
  <c r="I592" i="31"/>
  <c r="J592" i="31"/>
  <c r="K592" i="31"/>
  <c r="L592" i="31"/>
  <c r="E582" i="31"/>
  <c r="F582" i="31"/>
  <c r="G582" i="31"/>
  <c r="H582" i="31"/>
  <c r="I582" i="31"/>
  <c r="J582" i="31"/>
  <c r="K582" i="31"/>
  <c r="L582" i="31"/>
  <c r="E572" i="31"/>
  <c r="F572" i="31"/>
  <c r="G572" i="31"/>
  <c r="H572" i="31"/>
  <c r="I572" i="31"/>
  <c r="J572" i="31"/>
  <c r="K572" i="31"/>
  <c r="L572" i="31"/>
  <c r="M563" i="31"/>
  <c r="M603" i="31"/>
  <c r="E562" i="31"/>
  <c r="F562" i="31"/>
  <c r="G562" i="31"/>
  <c r="H562" i="31"/>
  <c r="I562" i="31"/>
  <c r="J562" i="31"/>
  <c r="K562" i="31"/>
  <c r="L562" i="31"/>
  <c r="M553" i="31"/>
  <c r="E552" i="31"/>
  <c r="F552" i="31"/>
  <c r="G552" i="31"/>
  <c r="H552" i="31"/>
  <c r="I552" i="31"/>
  <c r="J552" i="31"/>
  <c r="K552" i="31"/>
  <c r="L552" i="31"/>
  <c r="M543" i="31"/>
  <c r="E542" i="31"/>
  <c r="F542" i="31"/>
  <c r="G542" i="31"/>
  <c r="H542" i="31"/>
  <c r="I542" i="31"/>
  <c r="J542" i="31"/>
  <c r="K542" i="31"/>
  <c r="L542" i="31"/>
  <c r="J432" i="31"/>
  <c r="K432" i="31"/>
  <c r="L432" i="31"/>
  <c r="J433" i="31"/>
  <c r="K433" i="31"/>
  <c r="L433" i="31"/>
  <c r="J434" i="31"/>
  <c r="K434" i="31"/>
  <c r="L434" i="31"/>
  <c r="N471" i="31"/>
  <c r="G471" i="31"/>
  <c r="G312" i="31"/>
  <c r="M288" i="31"/>
  <c r="M179" i="31"/>
  <c r="G473" i="31"/>
  <c r="L564" i="31"/>
  <c r="D642" i="31"/>
  <c r="D653" i="31"/>
  <c r="M258" i="31"/>
  <c r="D652" i="31"/>
  <c r="D651" i="31"/>
  <c r="N474" i="31"/>
  <c r="M536" i="31"/>
  <c r="D256" i="31"/>
  <c r="F479" i="31"/>
  <c r="E479" i="31"/>
  <c r="K403" i="31"/>
  <c r="D654" i="31"/>
  <c r="E317" i="31"/>
  <c r="F317" i="31"/>
  <c r="G317" i="31"/>
  <c r="H317" i="31"/>
  <c r="I317" i="31"/>
  <c r="J317" i="31"/>
  <c r="K317" i="31"/>
  <c r="L317" i="31"/>
  <c r="D317" i="31"/>
  <c r="E316" i="31"/>
  <c r="F316" i="31"/>
  <c r="G316" i="31"/>
  <c r="H316" i="31"/>
  <c r="I316" i="31"/>
  <c r="J316" i="31"/>
  <c r="K316" i="31"/>
  <c r="L316" i="31"/>
  <c r="D316" i="31"/>
  <c r="L291" i="31"/>
  <c r="J291" i="31"/>
  <c r="K291" i="31"/>
  <c r="D291" i="31"/>
  <c r="J290" i="31"/>
  <c r="K290" i="31"/>
  <c r="L290" i="31"/>
  <c r="J253" i="31"/>
  <c r="K253" i="31"/>
  <c r="L253" i="31"/>
  <c r="J252" i="31"/>
  <c r="K252" i="31"/>
  <c r="L252" i="31"/>
  <c r="J220" i="31"/>
  <c r="K220" i="31"/>
  <c r="L220" i="31"/>
  <c r="H179" i="31"/>
  <c r="H178" i="31"/>
  <c r="F63" i="31"/>
  <c r="G63" i="31"/>
  <c r="H63" i="31"/>
  <c r="E33" i="31"/>
  <c r="F33" i="31"/>
  <c r="G33" i="31"/>
  <c r="H33" i="31"/>
  <c r="I33" i="31"/>
  <c r="J33" i="31"/>
  <c r="K33" i="31"/>
  <c r="L33" i="31"/>
  <c r="D33" i="31"/>
  <c r="J32" i="31"/>
  <c r="K32" i="31"/>
  <c r="L32" i="31"/>
  <c r="M349" i="31"/>
  <c r="U6" i="33"/>
  <c r="C352" i="31"/>
  <c r="C343" i="31"/>
  <c r="N479" i="31"/>
  <c r="M259" i="31"/>
  <c r="M263" i="31"/>
  <c r="N475" i="31"/>
  <c r="M316" i="31"/>
  <c r="E388" i="31"/>
  <c r="F388" i="31"/>
  <c r="G388" i="31"/>
  <c r="H388" i="31"/>
  <c r="I388" i="31"/>
  <c r="J388" i="31"/>
  <c r="K388" i="31"/>
  <c r="L388" i="31"/>
  <c r="D388" i="31"/>
  <c r="D383" i="31"/>
  <c r="D387" i="31"/>
  <c r="D343" i="31"/>
  <c r="E343" i="31"/>
  <c r="F343" i="31"/>
  <c r="G343" i="31"/>
  <c r="H343" i="31"/>
  <c r="I343" i="31"/>
  <c r="J343" i="31"/>
  <c r="K343" i="31"/>
  <c r="L343" i="31"/>
  <c r="B312" i="31"/>
  <c r="B311" i="31"/>
  <c r="B295" i="31"/>
  <c r="B285" i="31"/>
  <c r="B284" i="31"/>
  <c r="B268" i="31"/>
  <c r="H158" i="31"/>
  <c r="B158" i="31"/>
  <c r="B37" i="31"/>
  <c r="B7" i="31"/>
  <c r="B6" i="31"/>
  <c r="B25" i="31"/>
  <c r="B297" i="31"/>
  <c r="B296" i="31"/>
  <c r="B247" i="31"/>
  <c r="B246" i="31"/>
  <c r="B229" i="31"/>
  <c r="B228" i="31"/>
  <c r="H159" i="31"/>
  <c r="B17" i="27"/>
  <c r="B18" i="27"/>
  <c r="B19" i="27"/>
  <c r="B20" i="27"/>
  <c r="B21" i="27"/>
  <c r="B22" i="27"/>
  <c r="B23" i="27"/>
  <c r="B24" i="27"/>
  <c r="B25" i="27"/>
  <c r="B26" i="27"/>
  <c r="B27" i="27"/>
  <c r="B28" i="27"/>
  <c r="B29" i="27"/>
  <c r="B30" i="27"/>
  <c r="B31" i="27"/>
  <c r="B32" i="27"/>
  <c r="B33" i="27"/>
  <c r="B34" i="27"/>
  <c r="H17" i="28"/>
  <c r="F17" i="28"/>
  <c r="H15" i="28"/>
  <c r="D15" i="28"/>
  <c r="D8" i="28"/>
  <c r="O40" i="25"/>
  <c r="N40" i="25"/>
  <c r="M40" i="25"/>
  <c r="L40" i="25"/>
  <c r="K40" i="25"/>
  <c r="J40" i="25"/>
  <c r="I40" i="25"/>
  <c r="H40" i="25"/>
  <c r="G40" i="25"/>
  <c r="F40" i="25"/>
  <c r="O39" i="25"/>
  <c r="N39" i="25"/>
  <c r="M39" i="25"/>
  <c r="L39" i="25"/>
  <c r="K39" i="25"/>
  <c r="J39" i="25"/>
  <c r="I39" i="25"/>
  <c r="H39" i="25"/>
  <c r="G39" i="25"/>
  <c r="F39" i="25"/>
  <c r="O38" i="25"/>
  <c r="N38" i="25"/>
  <c r="M38" i="25"/>
  <c r="L38" i="25"/>
  <c r="K38" i="25"/>
  <c r="K44" i="25"/>
  <c r="J38" i="25"/>
  <c r="J44" i="25"/>
  <c r="I38" i="25"/>
  <c r="I44" i="25"/>
  <c r="H38" i="25"/>
  <c r="H44" i="25"/>
  <c r="G38" i="25"/>
  <c r="G44" i="25"/>
  <c r="F38" i="25"/>
  <c r="F44" i="25"/>
  <c r="O37" i="25"/>
  <c r="O43" i="25"/>
  <c r="N37" i="25"/>
  <c r="N43" i="25"/>
  <c r="M37" i="25"/>
  <c r="M43" i="25"/>
  <c r="L37" i="25"/>
  <c r="L43" i="25"/>
  <c r="K37" i="25"/>
  <c r="K43" i="25"/>
  <c r="J37" i="25"/>
  <c r="J43" i="25"/>
  <c r="I37" i="25"/>
  <c r="I43" i="25"/>
  <c r="H37" i="25"/>
  <c r="H43" i="25"/>
  <c r="G37" i="25"/>
  <c r="G43" i="25"/>
  <c r="F37" i="25"/>
  <c r="F43" i="25"/>
  <c r="O36" i="25"/>
  <c r="O42" i="25"/>
  <c r="N36" i="25"/>
  <c r="N42" i="25"/>
  <c r="M36" i="25"/>
  <c r="M42" i="25"/>
  <c r="L36" i="25"/>
  <c r="L42" i="25"/>
  <c r="K36" i="25"/>
  <c r="K42" i="25"/>
  <c r="J36" i="25"/>
  <c r="J42" i="25"/>
  <c r="I36" i="25"/>
  <c r="I42" i="25"/>
  <c r="H36" i="25"/>
  <c r="H42" i="25"/>
  <c r="G36" i="25"/>
  <c r="G42" i="25"/>
  <c r="F36" i="25"/>
  <c r="F42" i="25"/>
  <c r="K31" i="25"/>
  <c r="K32" i="25"/>
  <c r="J31" i="25"/>
  <c r="J32" i="25"/>
  <c r="I31" i="25"/>
  <c r="I32" i="25"/>
  <c r="H31" i="25"/>
  <c r="H32" i="25"/>
  <c r="G31" i="25"/>
  <c r="G32" i="25"/>
  <c r="F31" i="25"/>
  <c r="F32" i="25"/>
  <c r="O30" i="25"/>
  <c r="O31" i="25"/>
  <c r="O32" i="25"/>
  <c r="N30" i="25"/>
  <c r="N31" i="25"/>
  <c r="N32" i="25"/>
  <c r="M30" i="25"/>
  <c r="M31" i="25"/>
  <c r="M32" i="25"/>
  <c r="M46" i="25"/>
  <c r="L30" i="25"/>
  <c r="L31" i="25"/>
  <c r="L32" i="25"/>
  <c r="G26" i="25"/>
  <c r="H26" i="25"/>
  <c r="I26" i="25"/>
  <c r="J26" i="25"/>
  <c r="K26" i="25"/>
  <c r="L26" i="25"/>
  <c r="M26" i="25"/>
  <c r="N26" i="25"/>
  <c r="O26" i="25"/>
  <c r="P17" i="25"/>
  <c r="O17" i="25"/>
  <c r="N17" i="25"/>
  <c r="M17" i="25"/>
  <c r="L17" i="25"/>
  <c r="K17" i="25"/>
  <c r="J17" i="25"/>
  <c r="I17" i="25"/>
  <c r="H17" i="25"/>
  <c r="G17" i="25"/>
  <c r="F17" i="25"/>
  <c r="P16" i="25"/>
  <c r="O16" i="25"/>
  <c r="N16" i="25"/>
  <c r="M16" i="25"/>
  <c r="L16" i="25"/>
  <c r="K16" i="25"/>
  <c r="J16" i="25"/>
  <c r="I16" i="25"/>
  <c r="H16" i="25"/>
  <c r="G16" i="25"/>
  <c r="F16" i="25"/>
  <c r="P15" i="25"/>
  <c r="O15" i="25"/>
  <c r="N15" i="25"/>
  <c r="N21" i="25"/>
  <c r="M15" i="25"/>
  <c r="M21" i="25"/>
  <c r="L15" i="25"/>
  <c r="K15" i="25"/>
  <c r="J15" i="25"/>
  <c r="I15" i="25"/>
  <c r="H15" i="25"/>
  <c r="G15" i="25"/>
  <c r="G21" i="25"/>
  <c r="F15" i="25"/>
  <c r="P14" i="25"/>
  <c r="P20" i="25"/>
  <c r="O14" i="25"/>
  <c r="O20" i="25"/>
  <c r="N14" i="25"/>
  <c r="N20" i="25"/>
  <c r="M14" i="25"/>
  <c r="M20" i="25"/>
  <c r="L14" i="25"/>
  <c r="L20" i="25"/>
  <c r="K14" i="25"/>
  <c r="K20" i="25"/>
  <c r="J14" i="25"/>
  <c r="J20" i="25"/>
  <c r="I14" i="25"/>
  <c r="I20" i="25"/>
  <c r="H14" i="25"/>
  <c r="H20" i="25"/>
  <c r="G14" i="25"/>
  <c r="G20" i="25"/>
  <c r="F14" i="25"/>
  <c r="F20" i="25"/>
  <c r="P13" i="25"/>
  <c r="P19" i="25"/>
  <c r="O13" i="25"/>
  <c r="O19" i="25"/>
  <c r="N13" i="25"/>
  <c r="N19" i="25"/>
  <c r="M13" i="25"/>
  <c r="M19" i="25"/>
  <c r="L13" i="25"/>
  <c r="L19" i="25"/>
  <c r="K13" i="25"/>
  <c r="K19" i="25"/>
  <c r="J13" i="25"/>
  <c r="J19" i="25"/>
  <c r="I13" i="25"/>
  <c r="I19" i="25"/>
  <c r="H13" i="25"/>
  <c r="H19" i="25"/>
  <c r="G13" i="25"/>
  <c r="G19" i="25"/>
  <c r="F13" i="25"/>
  <c r="F19" i="25"/>
  <c r="N8" i="25"/>
  <c r="N9" i="25"/>
  <c r="M8" i="25"/>
  <c r="M9" i="25"/>
  <c r="G8" i="25"/>
  <c r="G9" i="25"/>
  <c r="P7" i="25"/>
  <c r="P8" i="25"/>
  <c r="P9" i="25"/>
  <c r="O7" i="25"/>
  <c r="O8" i="25"/>
  <c r="O9" i="25"/>
  <c r="L7" i="25"/>
  <c r="L8" i="25"/>
  <c r="L9" i="25"/>
  <c r="K7" i="25"/>
  <c r="K8" i="25"/>
  <c r="K9" i="25"/>
  <c r="J7" i="25"/>
  <c r="J8" i="25"/>
  <c r="J9" i="25"/>
  <c r="J23" i="25"/>
  <c r="I7" i="25"/>
  <c r="I8" i="25"/>
  <c r="H7" i="25"/>
  <c r="H8" i="25"/>
  <c r="H9" i="25"/>
  <c r="F7" i="25"/>
  <c r="F8" i="25"/>
  <c r="F9" i="25"/>
  <c r="R5" i="25"/>
  <c r="H4" i="25"/>
  <c r="I4" i="25"/>
  <c r="J4" i="25"/>
  <c r="K4" i="25"/>
  <c r="L4" i="25"/>
  <c r="M4" i="25"/>
  <c r="N4" i="25"/>
  <c r="O4" i="25"/>
  <c r="P4" i="25"/>
  <c r="Q4" i="25"/>
  <c r="H3" i="25"/>
  <c r="I3" i="25"/>
  <c r="J3" i="25"/>
  <c r="K3" i="25"/>
  <c r="L3" i="25"/>
  <c r="M3" i="25"/>
  <c r="N3" i="25"/>
  <c r="O3" i="25"/>
  <c r="P3" i="25"/>
  <c r="Q3" i="25"/>
  <c r="P2" i="25"/>
  <c r="A2" i="25"/>
  <c r="O54" i="24"/>
  <c r="O56" i="24"/>
  <c r="N54" i="24"/>
  <c r="N56" i="24"/>
  <c r="M54" i="24"/>
  <c r="M56" i="24"/>
  <c r="L54" i="24"/>
  <c r="L56" i="24"/>
  <c r="K54" i="24"/>
  <c r="K56" i="24"/>
  <c r="J54" i="24"/>
  <c r="J56" i="24"/>
  <c r="H54" i="24"/>
  <c r="H56" i="24"/>
  <c r="G54" i="24"/>
  <c r="G56" i="24"/>
  <c r="F54" i="24"/>
  <c r="F56" i="24"/>
  <c r="E54" i="24"/>
  <c r="O51" i="24"/>
  <c r="O52" i="24"/>
  <c r="N51" i="24"/>
  <c r="N52" i="24"/>
  <c r="M51" i="24"/>
  <c r="M52" i="24"/>
  <c r="L51" i="24"/>
  <c r="L52" i="24"/>
  <c r="K51" i="24"/>
  <c r="K52" i="24"/>
  <c r="J51" i="24"/>
  <c r="J52" i="24"/>
  <c r="I51" i="24"/>
  <c r="I52" i="24"/>
  <c r="H51" i="24"/>
  <c r="H52" i="24"/>
  <c r="G51" i="24"/>
  <c r="G52" i="24"/>
  <c r="O48" i="24"/>
  <c r="N48" i="24"/>
  <c r="M48" i="24"/>
  <c r="L48" i="24"/>
  <c r="K48" i="24"/>
  <c r="J48" i="24"/>
  <c r="I48" i="24"/>
  <c r="H48" i="24"/>
  <c r="G48" i="24"/>
  <c r="F48" i="24"/>
  <c r="T46" i="24"/>
  <c r="S46" i="24"/>
  <c r="R46" i="24"/>
  <c r="Q46" i="24"/>
  <c r="P46" i="24"/>
  <c r="O46" i="24"/>
  <c r="N46" i="24"/>
  <c r="M46" i="24"/>
  <c r="L46" i="24"/>
  <c r="K46" i="24"/>
  <c r="J46" i="24"/>
  <c r="T38" i="24"/>
  <c r="S38" i="24"/>
  <c r="R38" i="24"/>
  <c r="Q38" i="24"/>
  <c r="P38" i="24"/>
  <c r="O38" i="24"/>
  <c r="N38" i="24"/>
  <c r="M38" i="24"/>
  <c r="L38" i="24"/>
  <c r="K38" i="24"/>
  <c r="J38" i="24"/>
  <c r="T37" i="24"/>
  <c r="S37" i="24"/>
  <c r="R37" i="24"/>
  <c r="Q37" i="24"/>
  <c r="P37" i="24"/>
  <c r="O37" i="24"/>
  <c r="N37" i="24"/>
  <c r="M37" i="24"/>
  <c r="L37" i="24"/>
  <c r="K37" i="24"/>
  <c r="J37" i="24"/>
  <c r="T36" i="24"/>
  <c r="S36" i="24"/>
  <c r="R36" i="24"/>
  <c r="Q36" i="24"/>
  <c r="P36" i="24"/>
  <c r="O36" i="24"/>
  <c r="O41" i="24"/>
  <c r="N36" i="24"/>
  <c r="M36" i="24"/>
  <c r="L36" i="24"/>
  <c r="K36" i="24"/>
  <c r="J36" i="24"/>
  <c r="T28" i="24"/>
  <c r="S28" i="24"/>
  <c r="R28" i="24"/>
  <c r="Q28" i="24"/>
  <c r="P28" i="24"/>
  <c r="O28" i="24"/>
  <c r="N28" i="24"/>
  <c r="M28" i="24"/>
  <c r="L28" i="24"/>
  <c r="K28" i="24"/>
  <c r="J28" i="24"/>
  <c r="T26" i="24"/>
  <c r="S26" i="24"/>
  <c r="R26" i="24"/>
  <c r="Q26" i="24"/>
  <c r="P26" i="24"/>
  <c r="O26" i="24"/>
  <c r="N26" i="24"/>
  <c r="M26" i="24"/>
  <c r="L26" i="24"/>
  <c r="K26" i="24"/>
  <c r="J26" i="24"/>
  <c r="U21" i="24"/>
  <c r="T17" i="24"/>
  <c r="T25" i="24"/>
  <c r="T27" i="24"/>
  <c r="S17" i="24"/>
  <c r="S25" i="24"/>
  <c r="R17" i="24"/>
  <c r="R25" i="24"/>
  <c r="Q17" i="24"/>
  <c r="Q18" i="24"/>
  <c r="P17" i="24"/>
  <c r="P25" i="24"/>
  <c r="P27" i="24"/>
  <c r="O17" i="24"/>
  <c r="O25" i="24"/>
  <c r="N17" i="24"/>
  <c r="N25" i="24"/>
  <c r="M17" i="24"/>
  <c r="M18" i="24"/>
  <c r="L17" i="24"/>
  <c r="L25" i="24"/>
  <c r="L27" i="24"/>
  <c r="K17" i="24"/>
  <c r="K25" i="24"/>
  <c r="K27" i="24"/>
  <c r="J17" i="24"/>
  <c r="J25" i="24"/>
  <c r="U16" i="24"/>
  <c r="T14" i="24"/>
  <c r="S14" i="24"/>
  <c r="R14" i="24"/>
  <c r="Q14" i="24"/>
  <c r="P14" i="24"/>
  <c r="O14" i="24"/>
  <c r="N14" i="24"/>
  <c r="M14" i="24"/>
  <c r="L14" i="24"/>
  <c r="K14" i="24"/>
  <c r="J14" i="24"/>
  <c r="I14" i="24"/>
  <c r="T10" i="24"/>
  <c r="T13" i="24"/>
  <c r="S10" i="24"/>
  <c r="R10" i="24"/>
  <c r="R13" i="24"/>
  <c r="Q10" i="24"/>
  <c r="Q13" i="24"/>
  <c r="P10" i="24"/>
  <c r="P13" i="24"/>
  <c r="O10" i="24"/>
  <c r="O13" i="24"/>
  <c r="N10" i="24"/>
  <c r="N13" i="24"/>
  <c r="M10" i="24"/>
  <c r="M13" i="24"/>
  <c r="L10" i="24"/>
  <c r="L13" i="24"/>
  <c r="K10" i="24"/>
  <c r="K13" i="24"/>
  <c r="J10" i="24"/>
  <c r="J13" i="24"/>
  <c r="I10" i="24"/>
  <c r="I13" i="24"/>
  <c r="H37" i="23"/>
  <c r="V49" i="33"/>
  <c r="U49" i="33"/>
  <c r="J43" i="33"/>
  <c r="D352" i="31"/>
  <c r="H41" i="33"/>
  <c r="R40" i="33"/>
  <c r="I38" i="33"/>
  <c r="R37" i="33"/>
  <c r="J35" i="33"/>
  <c r="R34" i="33"/>
  <c r="K32" i="33"/>
  <c r="R31" i="33"/>
  <c r="L29" i="33"/>
  <c r="R28" i="33"/>
  <c r="M26" i="33"/>
  <c r="R25" i="33"/>
  <c r="N23" i="33"/>
  <c r="R22" i="33"/>
  <c r="O20" i="33"/>
  <c r="R19" i="33"/>
  <c r="P17" i="33"/>
  <c r="R16" i="33"/>
  <c r="Q14" i="33"/>
  <c r="R13" i="33"/>
  <c r="R8" i="33"/>
  <c r="R12" i="33"/>
  <c r="Q8" i="33"/>
  <c r="P8" i="33"/>
  <c r="O8" i="33"/>
  <c r="N8" i="33"/>
  <c r="M8" i="33"/>
  <c r="L8" i="33"/>
  <c r="K8" i="33"/>
  <c r="J8" i="33"/>
  <c r="I8" i="33"/>
  <c r="H8" i="33"/>
  <c r="R6" i="33"/>
  <c r="L349" i="31"/>
  <c r="Q6" i="33"/>
  <c r="K349" i="31"/>
  <c r="P6" i="33"/>
  <c r="J349" i="31"/>
  <c r="O6" i="33"/>
  <c r="I349" i="31"/>
  <c r="N6" i="33"/>
  <c r="H349" i="31"/>
  <c r="M6" i="33"/>
  <c r="G349" i="31"/>
  <c r="L6" i="33"/>
  <c r="F349" i="31"/>
  <c r="K6" i="33"/>
  <c r="E349" i="31"/>
  <c r="J6" i="33"/>
  <c r="D349" i="31"/>
  <c r="I6" i="33"/>
  <c r="C349" i="31"/>
  <c r="H6" i="33"/>
  <c r="G6" i="33"/>
  <c r="AF62" i="26"/>
  <c r="AD62" i="26"/>
  <c r="AF60" i="26"/>
  <c r="AD60" i="26"/>
  <c r="AF56" i="26"/>
  <c r="AD56" i="26"/>
  <c r="Q47" i="26"/>
  <c r="J47" i="26"/>
  <c r="F474" i="31"/>
  <c r="E474" i="31"/>
  <c r="F473" i="31"/>
  <c r="E473" i="31"/>
  <c r="M470" i="31"/>
  <c r="N470" i="31"/>
  <c r="F470" i="31"/>
  <c r="G470" i="31"/>
  <c r="E458" i="31"/>
  <c r="F458" i="31"/>
  <c r="G458" i="31"/>
  <c r="H458" i="31"/>
  <c r="I458" i="31"/>
  <c r="J458" i="31"/>
  <c r="K458" i="31"/>
  <c r="L458" i="31"/>
  <c r="E431" i="31"/>
  <c r="F431" i="31"/>
  <c r="G431" i="31"/>
  <c r="H431" i="31"/>
  <c r="I431" i="31"/>
  <c r="J431" i="31"/>
  <c r="K431" i="31"/>
  <c r="L431" i="31"/>
  <c r="M370" i="31"/>
  <c r="L370" i="31"/>
  <c r="K370" i="31"/>
  <c r="J370" i="31"/>
  <c r="I370" i="31"/>
  <c r="H370" i="31"/>
  <c r="G370" i="31"/>
  <c r="F370" i="31"/>
  <c r="E370" i="31"/>
  <c r="D370" i="31"/>
  <c r="E369" i="31"/>
  <c r="E315" i="31"/>
  <c r="F315" i="31"/>
  <c r="G315" i="31"/>
  <c r="H315" i="31"/>
  <c r="I315" i="31"/>
  <c r="J315" i="31"/>
  <c r="K315" i="31"/>
  <c r="L315" i="31"/>
  <c r="E289" i="31"/>
  <c r="F289" i="31"/>
  <c r="G289" i="31"/>
  <c r="H289" i="31"/>
  <c r="I289" i="31"/>
  <c r="J289" i="31"/>
  <c r="K289" i="31"/>
  <c r="L289" i="31"/>
  <c r="E261" i="31"/>
  <c r="F261" i="31"/>
  <c r="G261" i="31"/>
  <c r="H261" i="31"/>
  <c r="I261" i="31"/>
  <c r="J261" i="31"/>
  <c r="K261" i="31"/>
  <c r="L261" i="31"/>
  <c r="L254" i="31"/>
  <c r="L262" i="31"/>
  <c r="K254" i="31"/>
  <c r="K262" i="31"/>
  <c r="J254" i="31"/>
  <c r="J262" i="31"/>
  <c r="M253" i="31"/>
  <c r="E251" i="31"/>
  <c r="E222" i="31"/>
  <c r="F222" i="31"/>
  <c r="G222" i="31"/>
  <c r="H222" i="31"/>
  <c r="I222" i="31"/>
  <c r="J222" i="31"/>
  <c r="K222" i="31"/>
  <c r="L222" i="31"/>
  <c r="M222" i="31"/>
  <c r="E219" i="31"/>
  <c r="F219" i="31"/>
  <c r="G219" i="31"/>
  <c r="H219" i="31"/>
  <c r="I219" i="31"/>
  <c r="J219" i="31"/>
  <c r="K219" i="31"/>
  <c r="L219" i="31"/>
  <c r="M219" i="31"/>
  <c r="B179" i="31"/>
  <c r="B178" i="31"/>
  <c r="B177" i="31"/>
  <c r="E152" i="31"/>
  <c r="F152" i="31"/>
  <c r="G152" i="31"/>
  <c r="H152" i="31"/>
  <c r="I152" i="31"/>
  <c r="C149" i="31"/>
  <c r="E90" i="31"/>
  <c r="F90" i="31"/>
  <c r="G90" i="31"/>
  <c r="H90" i="31"/>
  <c r="I90" i="31"/>
  <c r="C87" i="31"/>
  <c r="M87" i="31"/>
  <c r="E62" i="31"/>
  <c r="F62" i="31"/>
  <c r="G62" i="31"/>
  <c r="H62" i="31"/>
  <c r="I62" i="31"/>
  <c r="B59" i="31"/>
  <c r="B58" i="31"/>
  <c r="B56" i="31"/>
  <c r="B55" i="31"/>
  <c r="B39" i="31"/>
  <c r="E31" i="31"/>
  <c r="F31" i="31"/>
  <c r="G31" i="31"/>
  <c r="H31" i="31"/>
  <c r="I31" i="31"/>
  <c r="J31" i="31"/>
  <c r="K31" i="31"/>
  <c r="L31" i="31"/>
  <c r="M31" i="31"/>
  <c r="B28" i="31"/>
  <c r="B27" i="31"/>
  <c r="B9" i="31"/>
  <c r="Q47" i="23"/>
  <c r="S26" i="23"/>
  <c r="P26" i="23"/>
  <c r="H6" i="23"/>
  <c r="B51" i="34"/>
  <c r="H43" i="34"/>
  <c r="G43" i="34"/>
  <c r="F43" i="34"/>
  <c r="E43" i="34"/>
  <c r="B43" i="34"/>
  <c r="I604" i="31"/>
  <c r="H604" i="31"/>
  <c r="G604" i="31"/>
  <c r="F604" i="31"/>
  <c r="E604" i="31"/>
  <c r="D604" i="31"/>
  <c r="L594" i="31"/>
  <c r="H594" i="31"/>
  <c r="G594" i="31"/>
  <c r="F594" i="31"/>
  <c r="E594" i="31"/>
  <c r="D594" i="31"/>
  <c r="L665" i="31"/>
  <c r="L667" i="31" s="1"/>
  <c r="H8" i="34"/>
  <c r="H10" i="23" s="1"/>
  <c r="S27" i="24"/>
  <c r="O42" i="24"/>
  <c r="N41" i="24"/>
  <c r="Q35" i="24"/>
  <c r="Q40" i="24"/>
  <c r="F23" i="25"/>
  <c r="K11" i="24"/>
  <c r="N22" i="25"/>
  <c r="O27" i="24"/>
  <c r="O29" i="24"/>
  <c r="K42" i="24"/>
  <c r="J41" i="24"/>
  <c r="R41" i="24"/>
  <c r="N23" i="25"/>
  <c r="I46" i="25"/>
  <c r="K41" i="24"/>
  <c r="S41" i="24"/>
  <c r="M35" i="24"/>
  <c r="M40" i="24"/>
  <c r="H21" i="25"/>
  <c r="O44" i="25"/>
  <c r="I45" i="25"/>
  <c r="I47" i="25"/>
  <c r="O11" i="24"/>
  <c r="S11" i="24"/>
  <c r="S13" i="24"/>
  <c r="U13" i="24"/>
  <c r="H16" i="28"/>
  <c r="N18" i="24"/>
  <c r="J42" i="24"/>
  <c r="N42" i="24"/>
  <c r="R42" i="24"/>
  <c r="L21" i="25"/>
  <c r="P21" i="25"/>
  <c r="M22" i="25"/>
  <c r="O45" i="25"/>
  <c r="D10" i="28"/>
  <c r="G9" i="28"/>
  <c r="D23" i="28"/>
  <c r="P18" i="24"/>
  <c r="J35" i="24"/>
  <c r="J32" i="24"/>
  <c r="F21" i="25"/>
  <c r="J21" i="25"/>
  <c r="G22" i="25"/>
  <c r="L44" i="25"/>
  <c r="F45" i="25"/>
  <c r="J45" i="25"/>
  <c r="J18" i="24"/>
  <c r="R18" i="24"/>
  <c r="R19" i="24"/>
  <c r="M25" i="24"/>
  <c r="M27" i="24"/>
  <c r="N35" i="24"/>
  <c r="N40" i="24"/>
  <c r="N43" i="24"/>
  <c r="L41" i="24"/>
  <c r="P41" i="24"/>
  <c r="T41" i="24"/>
  <c r="R9" i="25"/>
  <c r="M24" i="25"/>
  <c r="K21" i="25"/>
  <c r="O21" i="25"/>
  <c r="H22" i="25"/>
  <c r="L22" i="25"/>
  <c r="P22" i="25"/>
  <c r="M23" i="25"/>
  <c r="J22" i="25"/>
  <c r="G23" i="25"/>
  <c r="G24" i="25"/>
  <c r="J27" i="24"/>
  <c r="J29" i="24"/>
  <c r="J30" i="24"/>
  <c r="N27" i="24"/>
  <c r="N29" i="24"/>
  <c r="N24" i="24"/>
  <c r="R27" i="24"/>
  <c r="R29" i="24"/>
  <c r="R24" i="24"/>
  <c r="L18" i="24"/>
  <c r="T18" i="24"/>
  <c r="T19" i="24"/>
  <c r="Q25" i="24"/>
  <c r="Q27" i="24"/>
  <c r="Q20" i="24"/>
  <c r="Q22" i="24"/>
  <c r="U26" i="24"/>
  <c r="U28" i="24"/>
  <c r="R35" i="24"/>
  <c r="R40" i="24"/>
  <c r="R43" i="24"/>
  <c r="K35" i="24"/>
  <c r="K32" i="24"/>
  <c r="O35" i="24"/>
  <c r="O32" i="24"/>
  <c r="S42" i="24"/>
  <c r="N44" i="25"/>
  <c r="H45" i="25"/>
  <c r="H47" i="25"/>
  <c r="J13" i="26"/>
  <c r="F5" i="26"/>
  <c r="O24" i="26"/>
  <c r="M20" i="24"/>
  <c r="M22" i="24"/>
  <c r="M29" i="24"/>
  <c r="S48" i="20"/>
  <c r="J24" i="24"/>
  <c r="N30" i="24"/>
  <c r="G16" i="28"/>
  <c r="G17" i="28"/>
  <c r="J13" i="28"/>
  <c r="D16" i="28"/>
  <c r="M5" i="26"/>
  <c r="C347" i="31"/>
  <c r="C339" i="31"/>
  <c r="D339" i="31"/>
  <c r="E339" i="31"/>
  <c r="F339" i="31"/>
  <c r="G339" i="31"/>
  <c r="H339" i="31"/>
  <c r="I339" i="31"/>
  <c r="J339" i="31"/>
  <c r="K339" i="31"/>
  <c r="L339" i="31"/>
  <c r="K29" i="24"/>
  <c r="K20" i="24"/>
  <c r="K22" i="24"/>
  <c r="S29" i="24"/>
  <c r="S20" i="24"/>
  <c r="S22" i="24"/>
  <c r="L29" i="24"/>
  <c r="L20" i="24"/>
  <c r="L22" i="24"/>
  <c r="P29" i="24"/>
  <c r="P20" i="24"/>
  <c r="P22" i="24"/>
  <c r="T29" i="24"/>
  <c r="T20" i="24"/>
  <c r="T22" i="24"/>
  <c r="L42" i="24"/>
  <c r="L35" i="24"/>
  <c r="P42" i="24"/>
  <c r="P35" i="24"/>
  <c r="T42" i="24"/>
  <c r="T35" i="24"/>
  <c r="I9" i="25"/>
  <c r="I23" i="25"/>
  <c r="I22" i="25"/>
  <c r="K43" i="33"/>
  <c r="U14" i="24"/>
  <c r="N32" i="24"/>
  <c r="L11" i="24"/>
  <c r="P11" i="24"/>
  <c r="T11" i="24"/>
  <c r="K18" i="24"/>
  <c r="O18" i="24"/>
  <c r="S18" i="24"/>
  <c r="S19" i="24"/>
  <c r="S35" i="24"/>
  <c r="M42" i="24"/>
  <c r="Q42" i="24"/>
  <c r="J24" i="25"/>
  <c r="L45" i="25"/>
  <c r="F46" i="25"/>
  <c r="J46" i="25"/>
  <c r="N46" i="25"/>
  <c r="M44" i="25"/>
  <c r="D17" i="28"/>
  <c r="I11" i="24"/>
  <c r="M11" i="24"/>
  <c r="Q11" i="24"/>
  <c r="M41" i="24"/>
  <c r="M43" i="24"/>
  <c r="Q41" i="24"/>
  <c r="Q43" i="24"/>
  <c r="I21" i="25"/>
  <c r="F22" i="25"/>
  <c r="K23" i="25"/>
  <c r="O23" i="25"/>
  <c r="N24" i="25"/>
  <c r="M45" i="25"/>
  <c r="G46" i="25"/>
  <c r="G47" i="25"/>
  <c r="K46" i="25"/>
  <c r="O46" i="25"/>
  <c r="G45" i="25"/>
  <c r="J11" i="24"/>
  <c r="N11" i="24"/>
  <c r="R11" i="24"/>
  <c r="K22" i="25"/>
  <c r="O22" i="25"/>
  <c r="H23" i="25"/>
  <c r="H24" i="25"/>
  <c r="L23" i="25"/>
  <c r="P23" i="25"/>
  <c r="N45" i="25"/>
  <c r="H46" i="25"/>
  <c r="L46" i="25"/>
  <c r="K45" i="25"/>
  <c r="D22" i="28"/>
  <c r="R18" i="33"/>
  <c r="R20" i="33"/>
  <c r="V20" i="33"/>
  <c r="E340" i="31"/>
  <c r="K122" i="31"/>
  <c r="L122" i="31"/>
  <c r="H28" i="26"/>
  <c r="H26" i="26"/>
  <c r="R14" i="33"/>
  <c r="V14" i="33"/>
  <c r="C340" i="31"/>
  <c r="G584" i="31"/>
  <c r="D584" i="31"/>
  <c r="H584" i="31"/>
  <c r="M15" i="26"/>
  <c r="E584" i="31"/>
  <c r="F584" i="31"/>
  <c r="K564" i="31"/>
  <c r="K554" i="31"/>
  <c r="D564" i="31"/>
  <c r="F554" i="31"/>
  <c r="R30" i="33"/>
  <c r="R32" i="33"/>
  <c r="V32" i="33"/>
  <c r="I340" i="31"/>
  <c r="T47" i="26"/>
  <c r="H10" i="33"/>
  <c r="R39" i="33"/>
  <c r="R41" i="33"/>
  <c r="V41" i="33"/>
  <c r="L340" i="31"/>
  <c r="R27" i="33"/>
  <c r="R29" i="33"/>
  <c r="V29" i="33"/>
  <c r="H340" i="31"/>
  <c r="R15" i="33"/>
  <c r="R17" i="33"/>
  <c r="V17" i="33"/>
  <c r="D340" i="31"/>
  <c r="R36" i="33"/>
  <c r="R38" i="33"/>
  <c r="V38" i="33"/>
  <c r="K340" i="31"/>
  <c r="R24" i="33"/>
  <c r="R26" i="33"/>
  <c r="V26" i="33"/>
  <c r="G340" i="31"/>
  <c r="R33" i="33"/>
  <c r="R35" i="33"/>
  <c r="V35" i="33"/>
  <c r="J340" i="31"/>
  <c r="R21" i="33"/>
  <c r="R23" i="33"/>
  <c r="V23" i="33"/>
  <c r="F340" i="31"/>
  <c r="J10" i="33"/>
  <c r="N10" i="33"/>
  <c r="R10" i="33"/>
  <c r="K10" i="33"/>
  <c r="O10" i="33"/>
  <c r="L10" i="33"/>
  <c r="P10" i="33"/>
  <c r="I10" i="33"/>
  <c r="M10" i="33"/>
  <c r="Q10" i="33"/>
  <c r="M57" i="24"/>
  <c r="M58" i="24"/>
  <c r="N57" i="24"/>
  <c r="N58" i="24"/>
  <c r="G57" i="24"/>
  <c r="G58" i="24"/>
  <c r="K57" i="24"/>
  <c r="K58" i="24"/>
  <c r="O57" i="24"/>
  <c r="O58" i="24"/>
  <c r="H57" i="24"/>
  <c r="H58" i="24"/>
  <c r="L57" i="24"/>
  <c r="L58" i="24"/>
  <c r="M254" i="31"/>
  <c r="M262" i="31"/>
  <c r="M264" i="31"/>
  <c r="G474" i="31"/>
  <c r="H8" i="23"/>
  <c r="H20" i="26"/>
  <c r="Q13" i="26"/>
  <c r="K258" i="31"/>
  <c r="L554" i="31"/>
  <c r="H24" i="26"/>
  <c r="F251" i="31"/>
  <c r="E256" i="31"/>
  <c r="H544" i="31"/>
  <c r="H48" i="23"/>
  <c r="F369" i="31"/>
  <c r="E383" i="31"/>
  <c r="E387" i="31"/>
  <c r="L221" i="31"/>
  <c r="K399" i="31"/>
  <c r="E475" i="31"/>
  <c r="E477" i="31"/>
  <c r="K221" i="31"/>
  <c r="F475" i="31"/>
  <c r="O20" i="24"/>
  <c r="O22" i="24"/>
  <c r="R32" i="24"/>
  <c r="N20" i="24"/>
  <c r="N22" i="24"/>
  <c r="R30" i="24"/>
  <c r="Q32" i="24"/>
  <c r="U25" i="24"/>
  <c r="O47" i="25"/>
  <c r="Q29" i="24"/>
  <c r="O24" i="25"/>
  <c r="J47" i="25"/>
  <c r="T13" i="26"/>
  <c r="M32" i="24"/>
  <c r="P24" i="25"/>
  <c r="K24" i="25"/>
  <c r="M47" i="25"/>
  <c r="F24" i="25"/>
  <c r="F47" i="25"/>
  <c r="J20" i="24"/>
  <c r="J22" i="24"/>
  <c r="L24" i="25"/>
  <c r="L47" i="25"/>
  <c r="U27" i="24"/>
  <c r="N47" i="25"/>
  <c r="U19" i="24"/>
  <c r="J40" i="24"/>
  <c r="J43" i="24"/>
  <c r="K47" i="25"/>
  <c r="U18" i="24"/>
  <c r="U29" i="24"/>
  <c r="U24" i="24"/>
  <c r="K40" i="24"/>
  <c r="K43" i="24"/>
  <c r="R20" i="24"/>
  <c r="R22" i="24"/>
  <c r="I24" i="25"/>
  <c r="O40" i="24"/>
  <c r="O43" i="24"/>
  <c r="D13" i="28"/>
  <c r="M14" i="28"/>
  <c r="J12" i="28"/>
  <c r="J14" i="28"/>
  <c r="J554" i="31"/>
  <c r="T65" i="42"/>
  <c r="I553" i="31"/>
  <c r="K257" i="31"/>
  <c r="K535" i="31"/>
  <c r="M27" i="26"/>
  <c r="M19" i="26"/>
  <c r="M29" i="26"/>
  <c r="O7" i="26"/>
  <c r="AE55" i="26"/>
  <c r="AE56" i="26"/>
  <c r="O12" i="26"/>
  <c r="O28" i="26"/>
  <c r="T28" i="26"/>
  <c r="O20" i="26"/>
  <c r="F19" i="26"/>
  <c r="M11" i="26"/>
  <c r="AE58" i="26"/>
  <c r="F23" i="26"/>
  <c r="M23" i="26"/>
  <c r="T5" i="26"/>
  <c r="H7" i="26"/>
  <c r="AC55" i="26"/>
  <c r="AC56" i="26"/>
  <c r="F29" i="26"/>
  <c r="F27" i="26"/>
  <c r="F25" i="26"/>
  <c r="T30" i="24"/>
  <c r="T24" i="24"/>
  <c r="Q30" i="24"/>
  <c r="Q24" i="24"/>
  <c r="E352" i="31"/>
  <c r="L43" i="33"/>
  <c r="L32" i="24"/>
  <c r="L40" i="24"/>
  <c r="L43" i="24"/>
  <c r="L30" i="24"/>
  <c r="L24" i="24"/>
  <c r="K30" i="24"/>
  <c r="K24" i="24"/>
  <c r="S40" i="24"/>
  <c r="S43" i="24"/>
  <c r="S32" i="24"/>
  <c r="P32" i="24"/>
  <c r="P40" i="24"/>
  <c r="P43" i="24"/>
  <c r="P30" i="24"/>
  <c r="P24" i="24"/>
  <c r="O30" i="24"/>
  <c r="O24" i="24"/>
  <c r="T40" i="24"/>
  <c r="T43" i="24"/>
  <c r="T32" i="24"/>
  <c r="D347" i="31"/>
  <c r="S30" i="24"/>
  <c r="S24" i="24"/>
  <c r="M30" i="24"/>
  <c r="M24" i="24"/>
  <c r="D24" i="28"/>
  <c r="D25" i="28"/>
  <c r="H554" i="31"/>
  <c r="G475" i="31"/>
  <c r="G477" i="31"/>
  <c r="Q21" i="26"/>
  <c r="H12" i="26"/>
  <c r="J21" i="26"/>
  <c r="E554" i="31"/>
  <c r="F11" i="26"/>
  <c r="AC58" i="26"/>
  <c r="D64" i="31"/>
  <c r="H574" i="31"/>
  <c r="H223" i="31"/>
  <c r="G665" i="31"/>
  <c r="G667" i="31" s="1"/>
  <c r="K665" i="31"/>
  <c r="K667" i="31" s="1"/>
  <c r="D554" i="31"/>
  <c r="G554" i="31"/>
  <c r="I665" i="31"/>
  <c r="I667" i="31" s="1"/>
  <c r="E574" i="31"/>
  <c r="E223" i="31"/>
  <c r="H665" i="31"/>
  <c r="H667" i="31" s="1"/>
  <c r="F665" i="31"/>
  <c r="F667" i="31" s="1"/>
  <c r="D574" i="31"/>
  <c r="D223" i="31"/>
  <c r="J665" i="31"/>
  <c r="J667" i="31" s="1"/>
  <c r="F574" i="31"/>
  <c r="F223" i="31"/>
  <c r="E665" i="31"/>
  <c r="E667" i="31" s="1"/>
  <c r="D665" i="31"/>
  <c r="O665" i="31" s="1"/>
  <c r="O667" i="31" s="1"/>
  <c r="G574" i="31"/>
  <c r="G223" i="31"/>
  <c r="K344" i="31"/>
  <c r="Q46" i="33"/>
  <c r="L344" i="31"/>
  <c r="R46" i="33"/>
  <c r="G344" i="31"/>
  <c r="M46" i="33"/>
  <c r="J344" i="31"/>
  <c r="P46" i="33"/>
  <c r="I344" i="31"/>
  <c r="O46" i="33"/>
  <c r="H344" i="31"/>
  <c r="N46" i="33"/>
  <c r="C344" i="31"/>
  <c r="I46" i="33"/>
  <c r="F344" i="31"/>
  <c r="L46" i="33"/>
  <c r="E344" i="31"/>
  <c r="K46" i="33"/>
  <c r="D344" i="31"/>
  <c r="J46" i="33"/>
  <c r="L474" i="31"/>
  <c r="K536" i="31"/>
  <c r="M479" i="31"/>
  <c r="J39" i="26"/>
  <c r="Q39" i="26"/>
  <c r="D257" i="31"/>
  <c r="D535" i="31"/>
  <c r="L258" i="31"/>
  <c r="D258" i="31"/>
  <c r="D536" i="31"/>
  <c r="T24" i="26"/>
  <c r="G251" i="31"/>
  <c r="F256" i="31"/>
  <c r="F544" i="31"/>
  <c r="H36" i="23"/>
  <c r="F35" i="26"/>
  <c r="E544" i="31"/>
  <c r="H50" i="23"/>
  <c r="H51" i="23"/>
  <c r="D544" i="31"/>
  <c r="G544" i="31"/>
  <c r="G369" i="31"/>
  <c r="F383" i="31"/>
  <c r="F387" i="31"/>
  <c r="K400" i="31"/>
  <c r="F477" i="31"/>
  <c r="M290" i="31"/>
  <c r="T27" i="26"/>
  <c r="U30" i="24"/>
  <c r="U20" i="24"/>
  <c r="U22" i="24"/>
  <c r="I554" i="31"/>
  <c r="S65" i="42"/>
  <c r="H553" i="31"/>
  <c r="L473" i="31"/>
  <c r="K259" i="31"/>
  <c r="K263" i="31"/>
  <c r="K264" i="31"/>
  <c r="T7" i="26"/>
  <c r="T19" i="26"/>
  <c r="T23" i="26"/>
  <c r="AE60" i="26"/>
  <c r="T12" i="26"/>
  <c r="AE62" i="26"/>
  <c r="AC60" i="26"/>
  <c r="T20" i="26"/>
  <c r="D26" i="28"/>
  <c r="F352" i="31"/>
  <c r="M43" i="33"/>
  <c r="E347" i="31"/>
  <c r="M25" i="26"/>
  <c r="T25" i="26"/>
  <c r="G224" i="31"/>
  <c r="AC62" i="26"/>
  <c r="T21" i="26"/>
  <c r="O26" i="26"/>
  <c r="T26" i="26"/>
  <c r="L257" i="31"/>
  <c r="L535" i="31"/>
  <c r="T11" i="26"/>
  <c r="L479" i="31"/>
  <c r="F224" i="31"/>
  <c r="E224" i="31"/>
  <c r="H224" i="31"/>
  <c r="O223" i="31"/>
  <c r="K396" i="31" s="1"/>
  <c r="E353" i="31"/>
  <c r="F379" i="31"/>
  <c r="F385" i="31"/>
  <c r="C353" i="31"/>
  <c r="V46" i="33"/>
  <c r="U46" i="33"/>
  <c r="D379" i="31"/>
  <c r="D385" i="31"/>
  <c r="H353" i="31"/>
  <c r="I379" i="31"/>
  <c r="I385" i="31"/>
  <c r="J353" i="31"/>
  <c r="K379" i="31"/>
  <c r="K385" i="31"/>
  <c r="K353" i="31"/>
  <c r="L379" i="31"/>
  <c r="L385" i="31"/>
  <c r="D353" i="31"/>
  <c r="E379" i="31"/>
  <c r="E385" i="31"/>
  <c r="F353" i="31"/>
  <c r="G379" i="31"/>
  <c r="G385" i="31"/>
  <c r="I353" i="31"/>
  <c r="J379" i="31"/>
  <c r="J385" i="31"/>
  <c r="G353" i="31"/>
  <c r="H379" i="31"/>
  <c r="H385" i="31"/>
  <c r="L353" i="31"/>
  <c r="M379" i="31"/>
  <c r="M385" i="31"/>
  <c r="M474" i="31"/>
  <c r="L536" i="31"/>
  <c r="T39" i="26"/>
  <c r="D259" i="31"/>
  <c r="D263" i="31"/>
  <c r="H251" i="31"/>
  <c r="G256" i="31"/>
  <c r="H369" i="31"/>
  <c r="G383" i="31"/>
  <c r="G387" i="31"/>
  <c r="L475" i="31"/>
  <c r="L477" i="31"/>
  <c r="P11" i="20"/>
  <c r="I22" i="28"/>
  <c r="I24" i="28"/>
  <c r="G352" i="31"/>
  <c r="N43" i="33"/>
  <c r="F347" i="31"/>
  <c r="M473" i="31"/>
  <c r="L259" i="31"/>
  <c r="L263" i="31"/>
  <c r="L264" i="31"/>
  <c r="K404" i="31"/>
  <c r="F4" i="33"/>
  <c r="I251" i="31"/>
  <c r="H256" i="31"/>
  <c r="I369" i="31"/>
  <c r="H383" i="31"/>
  <c r="H387" i="31"/>
  <c r="G347" i="31"/>
  <c r="H352" i="31"/>
  <c r="O43" i="33"/>
  <c r="M124" i="31"/>
  <c r="M123" i="31"/>
  <c r="M475" i="31"/>
  <c r="M477" i="31"/>
  <c r="M257" i="31"/>
  <c r="J251" i="31"/>
  <c r="I256" i="31"/>
  <c r="N477" i="31"/>
  <c r="J369" i="31"/>
  <c r="I383" i="31"/>
  <c r="I387" i="31"/>
  <c r="I352" i="31"/>
  <c r="P43" i="33"/>
  <c r="H347" i="31"/>
  <c r="M461" i="31"/>
  <c r="M460" i="31"/>
  <c r="J4" i="33"/>
  <c r="K47" i="33"/>
  <c r="H4" i="33"/>
  <c r="I47" i="33"/>
  <c r="M4" i="33"/>
  <c r="N47" i="33"/>
  <c r="I4" i="33"/>
  <c r="J47" i="33"/>
  <c r="K4" i="33"/>
  <c r="L47" i="33"/>
  <c r="M459" i="31"/>
  <c r="L4" i="33"/>
  <c r="M47" i="33"/>
  <c r="Q4" i="33"/>
  <c r="R47" i="33"/>
  <c r="O4" i="33"/>
  <c r="P47" i="33"/>
  <c r="R4" i="33"/>
  <c r="P4" i="33"/>
  <c r="Q47" i="33"/>
  <c r="M535" i="31"/>
  <c r="N473" i="31"/>
  <c r="K251" i="31"/>
  <c r="J256" i="31"/>
  <c r="K369" i="31"/>
  <c r="J383" i="31"/>
  <c r="J387" i="31"/>
  <c r="J352" i="31"/>
  <c r="Q43" i="33"/>
  <c r="I347" i="31"/>
  <c r="M462" i="31"/>
  <c r="I145" i="43"/>
  <c r="M48" i="33"/>
  <c r="H380" i="31"/>
  <c r="K48" i="33"/>
  <c r="F380" i="31"/>
  <c r="Q48" i="33"/>
  <c r="L380" i="31"/>
  <c r="P48" i="33"/>
  <c r="K380" i="31"/>
  <c r="J48" i="33"/>
  <c r="E380" i="31"/>
  <c r="I48" i="33"/>
  <c r="D380" i="31"/>
  <c r="V47" i="33"/>
  <c r="U47" i="33"/>
  <c r="C354" i="31"/>
  <c r="R48" i="33"/>
  <c r="M380" i="31"/>
  <c r="L48" i="33"/>
  <c r="G380" i="31"/>
  <c r="N48" i="33"/>
  <c r="I380" i="31"/>
  <c r="L251" i="31"/>
  <c r="K256" i="31"/>
  <c r="L369" i="31"/>
  <c r="K383" i="31"/>
  <c r="K387" i="31"/>
  <c r="J347" i="31"/>
  <c r="K352" i="31"/>
  <c r="R43" i="33"/>
  <c r="L352" i="31"/>
  <c r="M381" i="31"/>
  <c r="M371" i="31"/>
  <c r="R51" i="33"/>
  <c r="F33" i="26"/>
  <c r="D354" i="31"/>
  <c r="C355" i="31"/>
  <c r="L381" i="31"/>
  <c r="L371" i="31"/>
  <c r="Q51" i="33"/>
  <c r="G460" i="31"/>
  <c r="E381" i="31"/>
  <c r="E371" i="31"/>
  <c r="J51" i="33"/>
  <c r="L51" i="33"/>
  <c r="G381" i="31"/>
  <c r="G371" i="31"/>
  <c r="F460" i="31"/>
  <c r="P51" i="33"/>
  <c r="K381" i="31"/>
  <c r="K371" i="31"/>
  <c r="F381" i="31"/>
  <c r="F371" i="31"/>
  <c r="K51" i="33"/>
  <c r="M51" i="33"/>
  <c r="H381" i="31"/>
  <c r="H371" i="31"/>
  <c r="J40" i="26"/>
  <c r="J41" i="26"/>
  <c r="K124" i="31"/>
  <c r="K123" i="31"/>
  <c r="L123" i="31"/>
  <c r="Q40" i="26"/>
  <c r="L124" i="31"/>
  <c r="V48" i="33"/>
  <c r="U48" i="33"/>
  <c r="U50" i="33"/>
  <c r="D381" i="31"/>
  <c r="D371" i="31"/>
  <c r="I51" i="33"/>
  <c r="N51" i="33"/>
  <c r="I381" i="31"/>
  <c r="I371" i="31"/>
  <c r="M251" i="31"/>
  <c r="M256" i="31"/>
  <c r="L256" i="31"/>
  <c r="M369" i="31"/>
  <c r="L383" i="31"/>
  <c r="L387" i="31"/>
  <c r="K347" i="31"/>
  <c r="D461" i="31"/>
  <c r="D460" i="31"/>
  <c r="T40" i="26"/>
  <c r="Q41" i="26"/>
  <c r="T41" i="26"/>
  <c r="G461" i="31"/>
  <c r="U51" i="33"/>
  <c r="V51" i="33"/>
  <c r="F461" i="31"/>
  <c r="E354" i="31"/>
  <c r="D355" i="31"/>
  <c r="L347" i="31"/>
  <c r="F459" i="31"/>
  <c r="F462" i="31"/>
  <c r="D459" i="31"/>
  <c r="D462" i="31"/>
  <c r="F31" i="26"/>
  <c r="F43" i="26"/>
  <c r="G459" i="31"/>
  <c r="G462" i="31"/>
  <c r="F354" i="31"/>
  <c r="E355" i="31"/>
  <c r="E461" i="31"/>
  <c r="E460" i="31"/>
  <c r="G354" i="31"/>
  <c r="F355" i="31"/>
  <c r="J32" i="26"/>
  <c r="J36" i="26"/>
  <c r="F45" i="26"/>
  <c r="J34" i="26"/>
  <c r="E459" i="31"/>
  <c r="E462" i="31"/>
  <c r="J37" i="26"/>
  <c r="H354" i="31"/>
  <c r="G355" i="31"/>
  <c r="H355" i="31"/>
  <c r="I354" i="31"/>
  <c r="I355" i="31"/>
  <c r="J354" i="31"/>
  <c r="J355" i="31"/>
  <c r="K354" i="31"/>
  <c r="K355" i="31"/>
  <c r="L354" i="31"/>
  <c r="L355" i="31"/>
  <c r="I54" i="24"/>
  <c r="I56" i="24"/>
  <c r="I57" i="24"/>
  <c r="I58" i="24"/>
  <c r="J57" i="24"/>
  <c r="J58" i="24"/>
  <c r="N4" i="33"/>
  <c r="O47" i="33"/>
  <c r="O48" i="33"/>
  <c r="J380" i="31"/>
  <c r="J381" i="31"/>
  <c r="J371" i="31"/>
  <c r="O51" i="33"/>
  <c r="O32" i="42"/>
  <c r="D116" i="31"/>
  <c r="D432" i="31"/>
  <c r="H460" i="31"/>
  <c r="O33" i="42"/>
  <c r="H461" i="31"/>
  <c r="O34" i="42"/>
  <c r="H459" i="31"/>
  <c r="O46" i="20"/>
  <c r="D433" i="31"/>
  <c r="D117" i="31"/>
  <c r="D434" i="31"/>
  <c r="D118" i="31"/>
  <c r="H462" i="31"/>
  <c r="O35" i="42"/>
  <c r="D119" i="31"/>
  <c r="H35" i="23"/>
  <c r="H41" i="23"/>
  <c r="H39" i="23"/>
  <c r="H47" i="23"/>
  <c r="H42" i="23"/>
  <c r="H46" i="23"/>
  <c r="H56" i="23"/>
  <c r="H53" i="23"/>
  <c r="H54" i="23"/>
  <c r="F15" i="26" l="1"/>
  <c r="W7" i="20"/>
  <c r="X451" i="8"/>
  <c r="S20" i="23"/>
  <c r="S31" i="23" s="1"/>
  <c r="S41" i="23"/>
  <c r="T7" i="20"/>
  <c r="T63" i="20" s="1"/>
  <c r="T65" i="20" s="1"/>
  <c r="F17" i="26"/>
  <c r="T17" i="26" s="1"/>
  <c r="Q7" i="20"/>
  <c r="Q63" i="20" s="1"/>
  <c r="Q67" i="20" s="1"/>
  <c r="T11" i="20"/>
  <c r="T12" i="20" s="1"/>
  <c r="T15" i="20" s="1"/>
  <c r="X7" i="20"/>
  <c r="P12" i="20"/>
  <c r="P15" i="20" s="1"/>
  <c r="R63" i="23"/>
  <c r="R8" i="42" s="1"/>
  <c r="S93" i="42"/>
  <c r="H291" i="31"/>
  <c r="R39" i="23"/>
  <c r="AA234" i="8"/>
  <c r="AA241" i="8" s="1"/>
  <c r="AA309" i="8"/>
  <c r="AA320" i="8" s="1"/>
  <c r="AA291" i="8"/>
  <c r="O265" i="8"/>
  <c r="O273" i="8" s="1"/>
  <c r="U36" i="8"/>
  <c r="U30" i="67" s="1"/>
  <c r="M36" i="8"/>
  <c r="M30" i="67" s="1"/>
  <c r="O29" i="42"/>
  <c r="D113" i="31" s="1"/>
  <c r="O20" i="42"/>
  <c r="D103" i="31" s="1"/>
  <c r="S20" i="42"/>
  <c r="H103" i="31" s="1"/>
  <c r="X23" i="20"/>
  <c r="S12" i="20"/>
  <c r="S15" i="20" s="1"/>
  <c r="S21" i="34"/>
  <c r="I64" i="31" s="1"/>
  <c r="V7" i="20"/>
  <c r="S48" i="23"/>
  <c r="S50" i="23" s="1"/>
  <c r="O39" i="23"/>
  <c r="S7" i="20"/>
  <c r="S63" i="20" s="1"/>
  <c r="S65" i="20" s="1"/>
  <c r="O63" i="23"/>
  <c r="O8" i="42" s="1"/>
  <c r="D93" i="31" s="1"/>
  <c r="N93" i="31" s="1"/>
  <c r="V23" i="20"/>
  <c r="I106" i="31"/>
  <c r="X12" i="20"/>
  <c r="X15" i="20" s="1"/>
  <c r="Q63" i="23"/>
  <c r="Q8" i="42" s="1"/>
  <c r="R59" i="23"/>
  <c r="E103" i="31"/>
  <c r="P22" i="42"/>
  <c r="E105" i="31" s="1"/>
  <c r="L604" i="31"/>
  <c r="O13" i="42"/>
  <c r="D96" i="31" s="1"/>
  <c r="S29" i="42"/>
  <c r="H508" i="31" s="1"/>
  <c r="S63" i="23"/>
  <c r="S8" i="42" s="1"/>
  <c r="Q89" i="42"/>
  <c r="Q97" i="42" s="1"/>
  <c r="F583" i="31" s="1"/>
  <c r="T26" i="23"/>
  <c r="E95" i="31"/>
  <c r="P13" i="42"/>
  <c r="E96" i="31" s="1"/>
  <c r="G32" i="31"/>
  <c r="P29" i="42"/>
  <c r="E32" i="31"/>
  <c r="U7" i="20"/>
  <c r="Q39" i="23"/>
  <c r="P103" i="23"/>
  <c r="F642" i="31" s="1"/>
  <c r="Q18" i="42"/>
  <c r="F101" i="31" s="1"/>
  <c r="Q103" i="23"/>
  <c r="G642" i="31" s="1"/>
  <c r="F291" i="31"/>
  <c r="R47" i="23"/>
  <c r="R69" i="23" s="1"/>
  <c r="P21" i="34"/>
  <c r="F64" i="31" s="1"/>
  <c r="Q12" i="20"/>
  <c r="Q15" i="20" s="1"/>
  <c r="F113" i="31"/>
  <c r="F508" i="31"/>
  <c r="F253" i="31"/>
  <c r="P48" i="23"/>
  <c r="P90" i="23" s="1"/>
  <c r="P92" i="23" s="1"/>
  <c r="F258" i="31"/>
  <c r="F536" i="31" s="1"/>
  <c r="Q20" i="42"/>
  <c r="Q39" i="42" s="1"/>
  <c r="F123" i="31" s="1"/>
  <c r="O21" i="34"/>
  <c r="E64" i="31" s="1"/>
  <c r="Q96" i="23"/>
  <c r="Q67" i="42" s="1"/>
  <c r="F563" i="31" s="1"/>
  <c r="O103" i="23"/>
  <c r="O106" i="23" s="1"/>
  <c r="P39" i="23"/>
  <c r="R53" i="42"/>
  <c r="Q13" i="42"/>
  <c r="F96" i="31" s="1"/>
  <c r="S55" i="34"/>
  <c r="S39" i="23"/>
  <c r="Q48" i="23"/>
  <c r="Q56" i="23" s="1"/>
  <c r="R103" i="23"/>
  <c r="R106" i="23" s="1"/>
  <c r="T23" i="20"/>
  <c r="U23" i="20"/>
  <c r="F95" i="31"/>
  <c r="S59" i="23"/>
  <c r="S76" i="42"/>
  <c r="Y12" i="20"/>
  <c r="Y15" i="20" s="1"/>
  <c r="Q55" i="34"/>
  <c r="K584" i="31" s="1"/>
  <c r="H106" i="31"/>
  <c r="Q69" i="23"/>
  <c r="T86" i="42"/>
  <c r="S79" i="42"/>
  <c r="S55" i="42"/>
  <c r="W23" i="20"/>
  <c r="R12" i="20"/>
  <c r="R15" i="20" s="1"/>
  <c r="G258" i="31"/>
  <c r="G536" i="31" s="1"/>
  <c r="E641" i="31"/>
  <c r="T21" i="34"/>
  <c r="P89" i="42"/>
  <c r="E616" i="31" s="1"/>
  <c r="E627" i="31" s="1"/>
  <c r="X18" i="20"/>
  <c r="X21" i="20" s="1"/>
  <c r="Y7" i="20"/>
  <c r="I258" i="31"/>
  <c r="I536" i="31" s="1"/>
  <c r="O47" i="23"/>
  <c r="O20" i="23"/>
  <c r="O31" i="23" s="1"/>
  <c r="S98" i="23"/>
  <c r="Q21" i="20"/>
  <c r="O23" i="20"/>
  <c r="S21" i="20"/>
  <c r="T29" i="26"/>
  <c r="P20" i="23"/>
  <c r="P31" i="23" s="1"/>
  <c r="Q21" i="34"/>
  <c r="G64" i="31" s="1"/>
  <c r="T55" i="34"/>
  <c r="W11" i="20"/>
  <c r="W12" i="20" s="1"/>
  <c r="W15" i="20" s="1"/>
  <c r="O96" i="23"/>
  <c r="O67" i="42" s="1"/>
  <c r="D563" i="31" s="1"/>
  <c r="S89" i="42"/>
  <c r="H616" i="31" s="1"/>
  <c r="H628" i="31" s="1"/>
  <c r="T39" i="23"/>
  <c r="Q53" i="42"/>
  <c r="R89" i="42"/>
  <c r="G616" i="31" s="1"/>
  <c r="G628" i="31" s="1"/>
  <c r="G613" i="31"/>
  <c r="T21" i="20"/>
  <c r="R21" i="20"/>
  <c r="W21" i="20"/>
  <c r="V21" i="20"/>
  <c r="O55" i="34"/>
  <c r="I584" i="31" s="1"/>
  <c r="R21" i="34"/>
  <c r="H64" i="31" s="1"/>
  <c r="P21" i="20"/>
  <c r="R55" i="34"/>
  <c r="L584" i="31" s="1"/>
  <c r="Y21" i="20"/>
  <c r="T48" i="23"/>
  <c r="T90" i="23" s="1"/>
  <c r="T92" i="23" s="1"/>
  <c r="T69" i="23"/>
  <c r="T70" i="23" s="1"/>
  <c r="J258" i="31"/>
  <c r="J536" i="31" s="1"/>
  <c r="T41" i="23"/>
  <c r="F613" i="31"/>
  <c r="U12" i="20"/>
  <c r="U15" i="20" s="1"/>
  <c r="S53" i="42"/>
  <c r="T67" i="20"/>
  <c r="R23" i="20"/>
  <c r="O12" i="20"/>
  <c r="O15" i="20" s="1"/>
  <c r="P56" i="23"/>
  <c r="T15" i="26"/>
  <c r="T63" i="23"/>
  <c r="D508" i="31"/>
  <c r="T103" i="23"/>
  <c r="P39" i="42"/>
  <c r="E123" i="31" s="1"/>
  <c r="F257" i="31"/>
  <c r="S103" i="23"/>
  <c r="O21" i="20"/>
  <c r="P23" i="20"/>
  <c r="R88" i="23"/>
  <c r="R37" i="42" s="1"/>
  <c r="G121" i="31" s="1"/>
  <c r="P59" i="23"/>
  <c r="F640" i="31"/>
  <c r="T20" i="23"/>
  <c r="T31" i="23" s="1"/>
  <c r="D253" i="31"/>
  <c r="N22" i="42"/>
  <c r="P55" i="34"/>
  <c r="J584" i="31" s="1"/>
  <c r="E106" i="31"/>
  <c r="P7" i="20"/>
  <c r="P63" i="20" s="1"/>
  <c r="P65" i="20" s="1"/>
  <c r="T59" i="23"/>
  <c r="V12" i="20"/>
  <c r="V15" i="20" s="1"/>
  <c r="H613" i="31"/>
  <c r="Q23" i="20"/>
  <c r="R30" i="20"/>
  <c r="R59" i="20" s="1"/>
  <c r="K544" i="31" s="1"/>
  <c r="K403" i="8"/>
  <c r="L403" i="8"/>
  <c r="L413" i="8" s="1"/>
  <c r="F403" i="8"/>
  <c r="F413" i="8" s="1"/>
  <c r="G403" i="8"/>
  <c r="G413" i="8" s="1"/>
  <c r="H403" i="8"/>
  <c r="H413" i="8" s="1"/>
  <c r="J403" i="8"/>
  <c r="F384" i="8"/>
  <c r="F386" i="8" s="1"/>
  <c r="Y451" i="8"/>
  <c r="Y452" i="8" s="1"/>
  <c r="Q49" i="26"/>
  <c r="T49" i="26" s="1"/>
  <c r="X3" i="73"/>
  <c r="X10" i="73" s="1"/>
  <c r="X12" i="73" s="1"/>
  <c r="X13" i="73" s="1"/>
  <c r="O299" i="8"/>
  <c r="P303" i="8"/>
  <c r="P315" i="8" s="1"/>
  <c r="P29" i="8" s="1"/>
  <c r="P25" i="67" s="1"/>
  <c r="P273" i="8"/>
  <c r="S273" i="8"/>
  <c r="T273" i="8"/>
  <c r="N303" i="8"/>
  <c r="N315" i="8" s="1"/>
  <c r="N29" i="8" s="1"/>
  <c r="N25" i="67" s="1"/>
  <c r="N273" i="8"/>
  <c r="U273" i="8"/>
  <c r="R303" i="8"/>
  <c r="R315" i="8" s="1"/>
  <c r="R273" i="8"/>
  <c r="V298" i="8"/>
  <c r="V300" i="8" s="1"/>
  <c r="V273" i="8"/>
  <c r="Y273" i="8"/>
  <c r="Y298" i="8"/>
  <c r="Y300" i="8" s="1"/>
  <c r="Z273" i="8"/>
  <c r="Z298" i="8"/>
  <c r="Z309" i="8"/>
  <c r="Z320" i="8" s="1"/>
  <c r="Z299" i="8"/>
  <c r="AA299" i="8"/>
  <c r="AA300" i="8" s="1"/>
  <c r="AA308" i="8"/>
  <c r="AA304" i="8"/>
  <c r="AA316" i="8" s="1"/>
  <c r="V303" i="8"/>
  <c r="V315" i="8" s="1"/>
  <c r="V29" i="8" s="1"/>
  <c r="V25" i="67" s="1"/>
  <c r="W308" i="8"/>
  <c r="X308" i="8"/>
  <c r="V451" i="8"/>
  <c r="V452" i="8" s="1"/>
  <c r="X234" i="8"/>
  <c r="X241" i="8" s="1"/>
  <c r="J234" i="8"/>
  <c r="J241" i="8" s="1"/>
  <c r="W451" i="8"/>
  <c r="W452" i="8" s="1"/>
  <c r="O45" i="67"/>
  <c r="F10" i="73"/>
  <c r="F12" i="73" s="1"/>
  <c r="F13" i="73" s="1"/>
  <c r="G12" i="73"/>
  <c r="G13" i="73" s="1"/>
  <c r="G14" i="73" s="1"/>
  <c r="J10" i="73"/>
  <c r="J12" i="73" s="1"/>
  <c r="J13" i="73" s="1"/>
  <c r="U451" i="8"/>
  <c r="U452" i="8" s="1"/>
  <c r="O231" i="3"/>
  <c r="G231" i="3"/>
  <c r="X23" i="3"/>
  <c r="X45" i="3" s="1"/>
  <c r="X53" i="3" s="1"/>
  <c r="X59" i="3" s="1"/>
  <c r="P23" i="3"/>
  <c r="P45" i="3" s="1"/>
  <c r="P53" i="3" s="1"/>
  <c r="P59" i="3" s="1"/>
  <c r="G57" i="3"/>
  <c r="M57" i="3"/>
  <c r="H3" i="3"/>
  <c r="H481" i="8" s="1"/>
  <c r="G201" i="3"/>
  <c r="G166" i="3"/>
  <c r="G140" i="3"/>
  <c r="G71" i="3"/>
  <c r="P3" i="3"/>
  <c r="P481" i="8" s="1"/>
  <c r="O201" i="3"/>
  <c r="O71" i="3"/>
  <c r="O166" i="3"/>
  <c r="O140" i="3"/>
  <c r="S403" i="8"/>
  <c r="R403" i="8"/>
  <c r="T403" i="8"/>
  <c r="O403" i="8"/>
  <c r="Z403" i="8"/>
  <c r="P403" i="8"/>
  <c r="X403" i="8"/>
  <c r="Q403" i="8"/>
  <c r="Y403" i="8"/>
  <c r="M465" i="8"/>
  <c r="P30" i="20"/>
  <c r="P59" i="20" s="1"/>
  <c r="I544" i="31" s="1"/>
  <c r="Q30" i="20"/>
  <c r="Q59" i="20" s="1"/>
  <c r="J544" i="31" s="1"/>
  <c r="M131" i="8"/>
  <c r="O222" i="3"/>
  <c r="U161" i="3"/>
  <c r="U491" i="8" s="1"/>
  <c r="H116" i="3"/>
  <c r="T222" i="3"/>
  <c r="R222" i="3"/>
  <c r="Z23" i="3"/>
  <c r="Z45" i="3" s="1"/>
  <c r="Z53" i="3" s="1"/>
  <c r="Z59" i="3" s="1"/>
  <c r="R23" i="3"/>
  <c r="R45" i="3" s="1"/>
  <c r="R53" i="3" s="1"/>
  <c r="R59" i="3" s="1"/>
  <c r="H57" i="3"/>
  <c r="Z222" i="3"/>
  <c r="Q222" i="3"/>
  <c r="Q226" i="3"/>
  <c r="Q227" i="3" s="1"/>
  <c r="Y222" i="3"/>
  <c r="Y226" i="3"/>
  <c r="Y227" i="3" s="1"/>
  <c r="S222" i="3"/>
  <c r="S226" i="3"/>
  <c r="S227" i="3" s="1"/>
  <c r="AA226" i="3"/>
  <c r="AA227" i="3" s="1"/>
  <c r="I102" i="3"/>
  <c r="I42" i="3" s="1"/>
  <c r="I43" i="3" s="1"/>
  <c r="N222" i="3"/>
  <c r="N226" i="3"/>
  <c r="N227" i="3" s="1"/>
  <c r="L102" i="3"/>
  <c r="L42" i="3" s="1"/>
  <c r="I168" i="8"/>
  <c r="K453" i="8"/>
  <c r="J451" i="8"/>
  <c r="J452" i="8" s="1"/>
  <c r="I453" i="8"/>
  <c r="H451" i="8"/>
  <c r="H452" i="8" s="1"/>
  <c r="X452" i="8"/>
  <c r="S30" i="20"/>
  <c r="S59" i="20" s="1"/>
  <c r="L544" i="31" s="1"/>
  <c r="O30" i="20"/>
  <c r="N451" i="8"/>
  <c r="N452" i="8" s="1"/>
  <c r="S291" i="8"/>
  <c r="AA403" i="8"/>
  <c r="Q54" i="67"/>
  <c r="U291" i="8"/>
  <c r="J57" i="3"/>
  <c r="M27" i="3"/>
  <c r="M261" i="3" s="1"/>
  <c r="O53" i="42"/>
  <c r="O79" i="42"/>
  <c r="O89" i="42"/>
  <c r="O97" i="42" s="1"/>
  <c r="D583" i="31" s="1"/>
  <c r="D613" i="31"/>
  <c r="G113" i="31"/>
  <c r="G253" i="31"/>
  <c r="G508" i="31"/>
  <c r="T55" i="42"/>
  <c r="T79" i="42"/>
  <c r="T53" i="42"/>
  <c r="Q59" i="23"/>
  <c r="T56" i="23"/>
  <c r="P63" i="23"/>
  <c r="P8" i="42" s="1"/>
  <c r="T20" i="42"/>
  <c r="R40" i="20"/>
  <c r="I291" i="31"/>
  <c r="O7" i="20"/>
  <c r="O63" i="20" s="1"/>
  <c r="O65" i="20" s="1"/>
  <c r="Q20" i="23"/>
  <c r="Q31" i="23" s="1"/>
  <c r="E613" i="31"/>
  <c r="T29" i="42"/>
  <c r="P53" i="42"/>
  <c r="P106" i="23"/>
  <c r="R7" i="20"/>
  <c r="R63" i="20" s="1"/>
  <c r="G639" i="31"/>
  <c r="G95" i="31"/>
  <c r="O40" i="20"/>
  <c r="U18" i="20"/>
  <c r="U21" i="20" s="1"/>
  <c r="R20" i="23"/>
  <c r="R31" i="23" s="1"/>
  <c r="S13" i="42"/>
  <c r="H96" i="31" s="1"/>
  <c r="T13" i="42"/>
  <c r="I96" i="31" s="1"/>
  <c r="T93" i="42"/>
  <c r="S23" i="20"/>
  <c r="R13" i="42"/>
  <c r="G96" i="31" s="1"/>
  <c r="R20" i="42"/>
  <c r="R50" i="42" s="1"/>
  <c r="F13" i="57"/>
  <c r="P453" i="8"/>
  <c r="U168" i="8"/>
  <c r="Q257" i="8"/>
  <c r="Y257" i="8"/>
  <c r="N308" i="8"/>
  <c r="G453" i="8"/>
  <c r="Y245" i="8"/>
  <c r="Q245" i="8"/>
  <c r="I245" i="8"/>
  <c r="G451" i="8"/>
  <c r="G452" i="8" s="1"/>
  <c r="F172" i="8"/>
  <c r="V15" i="67"/>
  <c r="S23" i="3"/>
  <c r="S45" i="3" s="1"/>
  <c r="S53" i="3" s="1"/>
  <c r="S59" i="3" s="1"/>
  <c r="S485" i="8" s="1"/>
  <c r="S492" i="8" s="1"/>
  <c r="S501" i="8" s="1"/>
  <c r="S503" i="8" s="1"/>
  <c r="L57" i="3"/>
  <c r="J246" i="3"/>
  <c r="I98" i="3"/>
  <c r="I100" i="3" s="1"/>
  <c r="I20" i="3" s="1"/>
  <c r="I21" i="3" s="1"/>
  <c r="I23" i="3" s="1"/>
  <c r="H23" i="3"/>
  <c r="J48" i="3"/>
  <c r="J51" i="3" s="1"/>
  <c r="J248" i="3" s="1"/>
  <c r="I255" i="3"/>
  <c r="V222" i="3"/>
  <c r="M270" i="3"/>
  <c r="W23" i="3"/>
  <c r="W45" i="3" s="1"/>
  <c r="W53" i="3" s="1"/>
  <c r="W59" i="3" s="1"/>
  <c r="O23" i="3"/>
  <c r="O45" i="3" s="1"/>
  <c r="O53" i="3" s="1"/>
  <c r="O59" i="3" s="1"/>
  <c r="O485" i="8" s="1"/>
  <c r="O492" i="8" s="1"/>
  <c r="O501" i="8" s="1"/>
  <c r="O503" i="8" s="1"/>
  <c r="M51" i="3"/>
  <c r="M248" i="3" s="1"/>
  <c r="I246" i="3"/>
  <c r="J255" i="3"/>
  <c r="X222" i="3"/>
  <c r="M246" i="3"/>
  <c r="H99" i="3"/>
  <c r="H102" i="3"/>
  <c r="H42" i="3" s="1"/>
  <c r="H43" i="3" s="1"/>
  <c r="T161" i="3"/>
  <c r="T491" i="8" s="1"/>
  <c r="N270" i="3"/>
  <c r="G261" i="3"/>
  <c r="P222" i="3"/>
  <c r="S53" i="34"/>
  <c r="T25" i="34"/>
  <c r="M223" i="31"/>
  <c r="S18" i="34"/>
  <c r="S43" i="34" s="1"/>
  <c r="S12" i="34"/>
  <c r="G102" i="3"/>
  <c r="G42" i="3" s="1"/>
  <c r="G43" i="3" s="1"/>
  <c r="J42" i="3"/>
  <c r="G116" i="3"/>
  <c r="Y23" i="3"/>
  <c r="Y45" i="3" s="1"/>
  <c r="Y53" i="3" s="1"/>
  <c r="Y59" i="3" s="1"/>
  <c r="G99" i="3"/>
  <c r="K116" i="3"/>
  <c r="I116" i="3"/>
  <c r="I48" i="3"/>
  <c r="I51" i="3" s="1"/>
  <c r="I248" i="3" s="1"/>
  <c r="U222" i="3"/>
  <c r="J97" i="3"/>
  <c r="K27" i="3"/>
  <c r="AA23" i="3"/>
  <c r="AA45" i="3" s="1"/>
  <c r="AA53" i="3" s="1"/>
  <c r="AA59" i="3" s="1"/>
  <c r="AA485" i="8" s="1"/>
  <c r="M116" i="3"/>
  <c r="F57" i="3"/>
  <c r="Q23" i="3"/>
  <c r="Q45" i="3" s="1"/>
  <c r="Q53" i="3" s="1"/>
  <c r="Q59" i="3" s="1"/>
  <c r="U23" i="3"/>
  <c r="U45" i="3" s="1"/>
  <c r="U53" i="3" s="1"/>
  <c r="U59" i="3" s="1"/>
  <c r="U485" i="8" s="1"/>
  <c r="M42" i="3"/>
  <c r="J27" i="3"/>
  <c r="J261" i="3" s="1"/>
  <c r="T23" i="3"/>
  <c r="T45" i="3" s="1"/>
  <c r="T53" i="3" s="1"/>
  <c r="T59" i="3" s="1"/>
  <c r="T485" i="8" s="1"/>
  <c r="W222" i="3"/>
  <c r="L270" i="3"/>
  <c r="K57" i="3"/>
  <c r="Q53" i="34"/>
  <c r="K574" i="31" s="1"/>
  <c r="K42" i="3"/>
  <c r="L27" i="3"/>
  <c r="L261" i="3" s="1"/>
  <c r="F102" i="3"/>
  <c r="F42" i="3" s="1"/>
  <c r="F43" i="3" s="1"/>
  <c r="K97" i="3"/>
  <c r="V23" i="3"/>
  <c r="V45" i="3" s="1"/>
  <c r="V53" i="3" s="1"/>
  <c r="V59" i="3" s="1"/>
  <c r="N23" i="3"/>
  <c r="N45" i="3" s="1"/>
  <c r="N53" i="3" s="1"/>
  <c r="N59" i="3" s="1"/>
  <c r="N485" i="8" s="1"/>
  <c r="N492" i="8" s="1"/>
  <c r="N501" i="8" s="1"/>
  <c r="N503" i="8" s="1"/>
  <c r="T25" i="23"/>
  <c r="T88" i="23" s="1"/>
  <c r="T37" i="42" s="1"/>
  <c r="I121" i="31" s="1"/>
  <c r="J121" i="31" s="1"/>
  <c r="K121" i="31" s="1"/>
  <c r="L121" i="31" s="1"/>
  <c r="M121" i="31" s="1"/>
  <c r="R30" i="23"/>
  <c r="S18" i="42"/>
  <c r="H101" i="31" s="1"/>
  <c r="F20" i="3"/>
  <c r="F21" i="3" s="1"/>
  <c r="F23" i="3" s="1"/>
  <c r="Q44" i="23"/>
  <c r="S70" i="42"/>
  <c r="H543" i="31" s="1"/>
  <c r="G20" i="3"/>
  <c r="G21" i="3" s="1"/>
  <c r="G23" i="3" s="1"/>
  <c r="L98" i="3"/>
  <c r="L100" i="3" s="1"/>
  <c r="F246" i="3"/>
  <c r="F48" i="3"/>
  <c r="F51" i="3" s="1"/>
  <c r="F248" i="3" s="1"/>
  <c r="K246" i="3"/>
  <c r="K49" i="3"/>
  <c r="K51" i="3" s="1"/>
  <c r="K248" i="3" s="1"/>
  <c r="H261" i="3"/>
  <c r="H220" i="31"/>
  <c r="S26" i="42"/>
  <c r="H109" i="31" s="1"/>
  <c r="Q18" i="34"/>
  <c r="Q43" i="34" s="1"/>
  <c r="I261" i="3"/>
  <c r="M99" i="3"/>
  <c r="M100" i="3"/>
  <c r="K223" i="31"/>
  <c r="Q25" i="23"/>
  <c r="S25" i="23"/>
  <c r="S88" i="23" s="1"/>
  <c r="S37" i="42" s="1"/>
  <c r="H121" i="31" s="1"/>
  <c r="S15" i="42"/>
  <c r="H98" i="31" s="1"/>
  <c r="S94" i="42"/>
  <c r="R25" i="34"/>
  <c r="L246" i="3"/>
  <c r="H100" i="31"/>
  <c r="F99" i="3"/>
  <c r="H49" i="3"/>
  <c r="H51" i="3" s="1"/>
  <c r="H248" i="3" s="1"/>
  <c r="H246" i="3"/>
  <c r="I223" i="31"/>
  <c r="I224" i="31" s="1"/>
  <c r="P25" i="34"/>
  <c r="L48" i="3"/>
  <c r="L51" i="3" s="1"/>
  <c r="L248" i="3" s="1"/>
  <c r="L116" i="3"/>
  <c r="G246" i="3"/>
  <c r="G49" i="3"/>
  <c r="G51" i="3" s="1"/>
  <c r="G248" i="3" s="1"/>
  <c r="I57" i="3"/>
  <c r="F261" i="3"/>
  <c r="H255" i="3"/>
  <c r="D667" i="31"/>
  <c r="S30" i="23"/>
  <c r="S33" i="23" s="1"/>
  <c r="R44" i="23"/>
  <c r="R96" i="23"/>
  <c r="J223" i="31"/>
  <c r="R11" i="23"/>
  <c r="T96" i="23"/>
  <c r="T18" i="34"/>
  <c r="T17" i="42"/>
  <c r="T62" i="42" s="1"/>
  <c r="T9" i="34"/>
  <c r="T10" i="34" s="1"/>
  <c r="T47" i="34" s="1"/>
  <c r="T44" i="23"/>
  <c r="T53" i="34"/>
  <c r="Q26" i="42"/>
  <c r="F109" i="31" s="1"/>
  <c r="F100" i="31"/>
  <c r="T11" i="23"/>
  <c r="O18" i="34"/>
  <c r="O43" i="34" s="1"/>
  <c r="Q70" i="42"/>
  <c r="F573" i="31" s="1"/>
  <c r="R28" i="23"/>
  <c r="S44" i="23"/>
  <c r="F220" i="31"/>
  <c r="T30" i="23"/>
  <c r="Q94" i="42"/>
  <c r="S11" i="23"/>
  <c r="S96" i="23"/>
  <c r="S67" i="42" s="1"/>
  <c r="H563" i="31" s="1"/>
  <c r="O53" i="34"/>
  <c r="I574" i="31" s="1"/>
  <c r="D100" i="31"/>
  <c r="O70" i="42"/>
  <c r="D543" i="31" s="1"/>
  <c r="D220" i="31"/>
  <c r="O18" i="42"/>
  <c r="D101" i="31" s="1"/>
  <c r="O15" i="42"/>
  <c r="D98" i="31" s="1"/>
  <c r="E100" i="31"/>
  <c r="P70" i="42"/>
  <c r="E573" i="31" s="1"/>
  <c r="E220" i="31"/>
  <c r="P94" i="42"/>
  <c r="P26" i="42"/>
  <c r="E109" i="31" s="1"/>
  <c r="P50" i="42"/>
  <c r="P18" i="42"/>
  <c r="E101" i="31" s="1"/>
  <c r="O44" i="23"/>
  <c r="P18" i="34"/>
  <c r="Q9" i="34"/>
  <c r="Q10" i="34" s="1"/>
  <c r="Q47" i="34" s="1"/>
  <c r="P30" i="23"/>
  <c r="O25" i="23"/>
  <c r="O88" i="23" s="1"/>
  <c r="O37" i="42" s="1"/>
  <c r="D121" i="31" s="1"/>
  <c r="P9" i="34"/>
  <c r="P10" i="34" s="1"/>
  <c r="P47" i="34" s="1"/>
  <c r="Q25" i="34"/>
  <c r="P53" i="34"/>
  <c r="J574" i="31" s="1"/>
  <c r="H44" i="23"/>
  <c r="H14" i="23"/>
  <c r="H13" i="23"/>
  <c r="H25" i="23"/>
  <c r="R70" i="42"/>
  <c r="R94" i="42"/>
  <c r="R26" i="42"/>
  <c r="G109" i="31" s="1"/>
  <c r="R18" i="42"/>
  <c r="G101" i="31" s="1"/>
  <c r="G220" i="31"/>
  <c r="G100" i="31"/>
  <c r="P88" i="23"/>
  <c r="P37" i="42" s="1"/>
  <c r="E121" i="31" s="1"/>
  <c r="P28" i="23"/>
  <c r="P96" i="23"/>
  <c r="S25" i="34"/>
  <c r="P44" i="23"/>
  <c r="S9" i="34"/>
  <c r="S10" i="34" s="1"/>
  <c r="S47" i="34" s="1"/>
  <c r="P11" i="23"/>
  <c r="O94" i="42"/>
  <c r="R9" i="34"/>
  <c r="R10" i="34" s="1"/>
  <c r="R47" i="34" s="1"/>
  <c r="Q30" i="23"/>
  <c r="Q33" i="23" s="1"/>
  <c r="Q11" i="23"/>
  <c r="L223" i="31"/>
  <c r="R53" i="34"/>
  <c r="L574" i="31" s="1"/>
  <c r="R18" i="34"/>
  <c r="Q28" i="36"/>
  <c r="Q30" i="36" s="1"/>
  <c r="Q95" i="36"/>
  <c r="M453" i="8"/>
  <c r="S257" i="8"/>
  <c r="N257" i="8"/>
  <c r="V257" i="8"/>
  <c r="Y304" i="8"/>
  <c r="Y316" i="8" s="1"/>
  <c r="Y23" i="8" s="1"/>
  <c r="Y21" i="67" s="1"/>
  <c r="U384" i="8"/>
  <c r="F451" i="8"/>
  <c r="F452" i="8" s="1"/>
  <c r="Z172" i="8"/>
  <c r="R172" i="8"/>
  <c r="J172" i="8"/>
  <c r="T168" i="8"/>
  <c r="Y172" i="8"/>
  <c r="Q172" i="8"/>
  <c r="I172" i="8"/>
  <c r="AA168" i="8"/>
  <c r="S168" i="8"/>
  <c r="K168" i="8"/>
  <c r="P458" i="8"/>
  <c r="L451" i="8"/>
  <c r="L452" i="8" s="1"/>
  <c r="P451" i="8"/>
  <c r="P452" i="8" s="1"/>
  <c r="O451" i="8"/>
  <c r="O452" i="8" s="1"/>
  <c r="R257" i="8"/>
  <c r="Z257" i="8"/>
  <c r="S308" i="8"/>
  <c r="S319" i="8" s="1"/>
  <c r="S321" i="8" s="1"/>
  <c r="T172" i="8"/>
  <c r="O164" i="8"/>
  <c r="G164" i="8"/>
  <c r="L453" i="8"/>
  <c r="U245" i="8"/>
  <c r="M245" i="8"/>
  <c r="T257" i="8"/>
  <c r="M451" i="8"/>
  <c r="M452" i="8" s="1"/>
  <c r="X245" i="8"/>
  <c r="P245" i="8"/>
  <c r="H245" i="8"/>
  <c r="Q234" i="8"/>
  <c r="Q241" i="8" s="1"/>
  <c r="S234" i="8"/>
  <c r="S241" i="8" s="1"/>
  <c r="O245" i="8"/>
  <c r="W403" i="8"/>
  <c r="V308" i="8"/>
  <c r="V319" i="8" s="1"/>
  <c r="V68" i="8" s="1"/>
  <c r="K451" i="8"/>
  <c r="K452" i="8" s="1"/>
  <c r="P257" i="8"/>
  <c r="X257" i="8"/>
  <c r="R54" i="67"/>
  <c r="T245" i="8"/>
  <c r="L245" i="8"/>
  <c r="F168" i="8"/>
  <c r="P11" i="67"/>
  <c r="H11" i="67"/>
  <c r="H453" i="8"/>
  <c r="I403" i="8"/>
  <c r="K11" i="67"/>
  <c r="R299" i="8"/>
  <c r="K384" i="8"/>
  <c r="N384" i="8"/>
  <c r="V384" i="8"/>
  <c r="AA384" i="8"/>
  <c r="G168" i="8"/>
  <c r="W168" i="8"/>
  <c r="R451" i="8"/>
  <c r="R452" i="8" s="1"/>
  <c r="F164" i="8"/>
  <c r="S172" i="8"/>
  <c r="O84" i="8"/>
  <c r="J453" i="8"/>
  <c r="L57" i="67"/>
  <c r="I451" i="8"/>
  <c r="I452" i="8" s="1"/>
  <c r="Q458" i="8"/>
  <c r="J413" i="8"/>
  <c r="Z304" i="8"/>
  <c r="Z316" i="8" s="1"/>
  <c r="Z23" i="8" s="1"/>
  <c r="Z21" i="67" s="1"/>
  <c r="H25" i="8"/>
  <c r="O13" i="67"/>
  <c r="O15" i="67" s="1"/>
  <c r="F234" i="8"/>
  <c r="F241" i="8" s="1"/>
  <c r="I384" i="8"/>
  <c r="Q384" i="8"/>
  <c r="Y384" i="8"/>
  <c r="M15" i="67"/>
  <c r="Q273" i="8"/>
  <c r="H384" i="8"/>
  <c r="P384" i="8"/>
  <c r="X384" i="8"/>
  <c r="S384" i="8"/>
  <c r="F245" i="8"/>
  <c r="H168" i="8"/>
  <c r="U15" i="67"/>
  <c r="K15" i="67"/>
  <c r="H15" i="67"/>
  <c r="U54" i="67"/>
  <c r="R11" i="67"/>
  <c r="J11" i="67"/>
  <c r="AA15" i="67"/>
  <c r="S15" i="67"/>
  <c r="G15" i="67"/>
  <c r="W15" i="67"/>
  <c r="G11" i="67"/>
  <c r="O82" i="36"/>
  <c r="O88" i="36" s="1"/>
  <c r="O92" i="36" s="1"/>
  <c r="X15" i="67"/>
  <c r="P15" i="67"/>
  <c r="Z11" i="67"/>
  <c r="Q11" i="67"/>
  <c r="V74" i="36"/>
  <c r="V76" i="36" s="1"/>
  <c r="X54" i="67"/>
  <c r="M54" i="67"/>
  <c r="M58" i="67" s="1"/>
  <c r="X11" i="67"/>
  <c r="O11" i="67"/>
  <c r="M67" i="36"/>
  <c r="M69" i="36" s="1"/>
  <c r="M74" i="36" s="1"/>
  <c r="M76" i="36" s="1"/>
  <c r="W11" i="67"/>
  <c r="I86" i="36"/>
  <c r="O168" i="8"/>
  <c r="W172" i="8"/>
  <c r="O172" i="8"/>
  <c r="G172" i="8"/>
  <c r="L172" i="8"/>
  <c r="Y168" i="8"/>
  <c r="Q168" i="8"/>
  <c r="Z164" i="8"/>
  <c r="R164" i="8"/>
  <c r="W164" i="8"/>
  <c r="P168" i="8"/>
  <c r="O90" i="36"/>
  <c r="O25" i="36" s="1"/>
  <c r="O24" i="36"/>
  <c r="P28" i="36"/>
  <c r="P30" i="36" s="1"/>
  <c r="P95" i="36"/>
  <c r="M28" i="36"/>
  <c r="M30" i="36" s="1"/>
  <c r="M95" i="36"/>
  <c r="O84" i="36"/>
  <c r="O86" i="36" s="1"/>
  <c r="Q451" i="8"/>
  <c r="Q452" i="8" s="1"/>
  <c r="N403" i="8"/>
  <c r="V403" i="8"/>
  <c r="AA39" i="8"/>
  <c r="AA32" i="67" s="1"/>
  <c r="AA172" i="8"/>
  <c r="L168" i="8"/>
  <c r="J164" i="8"/>
  <c r="J64" i="8"/>
  <c r="J55" i="67"/>
  <c r="J58" i="67" s="1"/>
  <c r="S451" i="8"/>
  <c r="S452" i="8" s="1"/>
  <c r="J21" i="67"/>
  <c r="J25" i="67"/>
  <c r="N11" i="67"/>
  <c r="U11" i="67"/>
  <c r="M11" i="67"/>
  <c r="Y234" i="8"/>
  <c r="Y241" i="8" s="1"/>
  <c r="O445" i="8"/>
  <c r="O455" i="8" s="1"/>
  <c r="M161" i="8"/>
  <c r="M33" i="8" s="1"/>
  <c r="K54" i="67"/>
  <c r="P81" i="36"/>
  <c r="P82" i="36" s="1"/>
  <c r="P88" i="36" s="1"/>
  <c r="P92" i="36" s="1"/>
  <c r="P102" i="36" s="1"/>
  <c r="K172" i="8"/>
  <c r="AA63" i="67"/>
  <c r="AA65" i="67" s="1"/>
  <c r="AA71" i="67" s="1"/>
  <c r="S63" i="67"/>
  <c r="S65" i="67" s="1"/>
  <c r="S71" i="67" s="1"/>
  <c r="J63" i="67"/>
  <c r="J65" i="67" s="1"/>
  <c r="I63" i="67"/>
  <c r="I65" i="67" s="1"/>
  <c r="K413" i="8"/>
  <c r="Z308" i="8"/>
  <c r="V309" i="8"/>
  <c r="V320" i="8" s="1"/>
  <c r="V59" i="8" s="1"/>
  <c r="V47" i="67" s="1"/>
  <c r="V51" i="67" s="1"/>
  <c r="U403" i="8"/>
  <c r="V168" i="8"/>
  <c r="N168" i="8"/>
  <c r="I72" i="8"/>
  <c r="J77" i="8"/>
  <c r="J66" i="67" s="1"/>
  <c r="Y71" i="67"/>
  <c r="AA451" i="8"/>
  <c r="AA452" i="8" s="1"/>
  <c r="R234" i="8"/>
  <c r="R241" i="8" s="1"/>
  <c r="U299" i="8"/>
  <c r="J25" i="8"/>
  <c r="Q71" i="67"/>
  <c r="I11" i="67"/>
  <c r="M384" i="8"/>
  <c r="P71" i="67"/>
  <c r="AA11" i="67"/>
  <c r="Y11" i="67"/>
  <c r="N71" i="67"/>
  <c r="F15" i="67"/>
  <c r="S54" i="67"/>
  <c r="N234" i="8"/>
  <c r="N241" i="8" s="1"/>
  <c r="V234" i="8"/>
  <c r="V241" i="8" s="1"/>
  <c r="P234" i="8"/>
  <c r="P241" i="8" s="1"/>
  <c r="Z234" i="8"/>
  <c r="Z241" i="8" s="1"/>
  <c r="L234" i="8"/>
  <c r="T234" i="8"/>
  <c r="T241" i="8" s="1"/>
  <c r="H234" i="8"/>
  <c r="H241" i="8" s="1"/>
  <c r="V245" i="8"/>
  <c r="N245" i="8"/>
  <c r="AA245" i="8"/>
  <c r="U257" i="8"/>
  <c r="N172" i="8"/>
  <c r="X168" i="8"/>
  <c r="T164" i="8"/>
  <c r="Y164" i="8"/>
  <c r="Q164" i="8"/>
  <c r="I164" i="8"/>
  <c r="V164" i="8"/>
  <c r="N164" i="8"/>
  <c r="I81" i="8"/>
  <c r="I84" i="8" s="1"/>
  <c r="V54" i="67"/>
  <c r="V11" i="67"/>
  <c r="M322" i="8"/>
  <c r="AA164" i="8"/>
  <c r="S164" i="8"/>
  <c r="K164" i="8"/>
  <c r="H164" i="8"/>
  <c r="Y303" i="8"/>
  <c r="T303" i="8"/>
  <c r="T315" i="8" s="1"/>
  <c r="X315" i="8"/>
  <c r="X29" i="8" s="1"/>
  <c r="X25" i="67" s="1"/>
  <c r="R304" i="8"/>
  <c r="R316" i="8" s="1"/>
  <c r="R23" i="8" s="1"/>
  <c r="R21" i="67" s="1"/>
  <c r="R298" i="8"/>
  <c r="W304" i="8"/>
  <c r="W316" i="8" s="1"/>
  <c r="W291" i="8"/>
  <c r="X304" i="8"/>
  <c r="X316" i="8" s="1"/>
  <c r="X23" i="8" s="1"/>
  <c r="X21" i="67" s="1"/>
  <c r="X291" i="8"/>
  <c r="I88" i="36"/>
  <c r="O257" i="8"/>
  <c r="W257" i="8"/>
  <c r="G63" i="67"/>
  <c r="G65" i="67" s="1"/>
  <c r="G71" i="67" s="1"/>
  <c r="L54" i="67"/>
  <c r="M234" i="8"/>
  <c r="M241" i="8" s="1"/>
  <c r="U234" i="8"/>
  <c r="U241" i="8" s="1"/>
  <c r="G234" i="8"/>
  <c r="G241" i="8" s="1"/>
  <c r="O234" i="8"/>
  <c r="O241" i="8" s="1"/>
  <c r="W234" i="8"/>
  <c r="W241" i="8" s="1"/>
  <c r="I234" i="8"/>
  <c r="I241" i="8" s="1"/>
  <c r="K234" i="8"/>
  <c r="Z245" i="8"/>
  <c r="R245" i="8"/>
  <c r="J245" i="8"/>
  <c r="W245" i="8"/>
  <c r="G245" i="8"/>
  <c r="S245" i="8"/>
  <c r="K245" i="8"/>
  <c r="O63" i="67"/>
  <c r="O65" i="67" s="1"/>
  <c r="O71" i="67" s="1"/>
  <c r="S11" i="67"/>
  <c r="O308" i="8"/>
  <c r="V39" i="8"/>
  <c r="V32" i="67" s="1"/>
  <c r="V172" i="8"/>
  <c r="W74" i="36"/>
  <c r="W76" i="36" s="1"/>
  <c r="L384" i="8"/>
  <c r="T384" i="8"/>
  <c r="G384" i="8"/>
  <c r="O384" i="8"/>
  <c r="W384" i="8"/>
  <c r="M81" i="8"/>
  <c r="M84" i="8" s="1"/>
  <c r="M62" i="67"/>
  <c r="I15" i="67"/>
  <c r="N453" i="8"/>
  <c r="N455" i="8" s="1"/>
  <c r="Z451" i="8"/>
  <c r="Z452" i="8" s="1"/>
  <c r="I21" i="67"/>
  <c r="I25" i="67"/>
  <c r="I64" i="8"/>
  <c r="Q15" i="67"/>
  <c r="Y15" i="67"/>
  <c r="T74" i="36"/>
  <c r="T76" i="36" s="1"/>
  <c r="W63" i="67"/>
  <c r="W65" i="67" s="1"/>
  <c r="W71" i="67" s="1"/>
  <c r="V71" i="67"/>
  <c r="M47" i="67"/>
  <c r="M51" i="67" s="1"/>
  <c r="N13" i="67"/>
  <c r="N15" i="67" s="1"/>
  <c r="J384" i="8"/>
  <c r="R384" i="8"/>
  <c r="Z384" i="8"/>
  <c r="U71" i="67"/>
  <c r="K25" i="8"/>
  <c r="H71" i="67"/>
  <c r="F71" i="67"/>
  <c r="Z71" i="67"/>
  <c r="R71" i="67"/>
  <c r="F9" i="67"/>
  <c r="F11" i="67" s="1"/>
  <c r="K71" i="67"/>
  <c r="I60" i="67"/>
  <c r="T54" i="67"/>
  <c r="J72" i="8"/>
  <c r="Z15" i="67"/>
  <c r="R15" i="67"/>
  <c r="J15" i="67"/>
  <c r="T9" i="67"/>
  <c r="T11" i="67" s="1"/>
  <c r="I66" i="67"/>
  <c r="F28" i="36"/>
  <c r="F30" i="36" s="1"/>
  <c r="F95" i="36"/>
  <c r="G81" i="36"/>
  <c r="G82" i="36" s="1"/>
  <c r="G88" i="36" s="1"/>
  <c r="G23" i="36" s="1"/>
  <c r="G27" i="36" s="1"/>
  <c r="G31" i="36" s="1"/>
  <c r="G32" i="36" s="1"/>
  <c r="F89" i="36"/>
  <c r="F82" i="36"/>
  <c r="F88" i="36" s="1"/>
  <c r="F23" i="36" s="1"/>
  <c r="F27" i="36" s="1"/>
  <c r="F21" i="67"/>
  <c r="F25" i="67"/>
  <c r="F47" i="67"/>
  <c r="F51" i="67" s="1"/>
  <c r="F64" i="8"/>
  <c r="F86" i="8" s="1"/>
  <c r="X71" i="67"/>
  <c r="L28" i="36"/>
  <c r="L30" i="36" s="1"/>
  <c r="I24" i="36"/>
  <c r="T15" i="67"/>
  <c r="L15" i="67"/>
  <c r="L72" i="8"/>
  <c r="L86" i="8" s="1"/>
  <c r="L55" i="67"/>
  <c r="O67" i="36"/>
  <c r="O69" i="36" s="1"/>
  <c r="O74" i="36" s="1"/>
  <c r="O76" i="36" s="1"/>
  <c r="W54" i="67"/>
  <c r="O54" i="67"/>
  <c r="G54" i="67"/>
  <c r="G58" i="67" s="1"/>
  <c r="K51" i="67"/>
  <c r="L76" i="36"/>
  <c r="U74" i="36"/>
  <c r="U76" i="36" s="1"/>
  <c r="T63" i="67"/>
  <c r="T65" i="67" s="1"/>
  <c r="T71" i="67" s="1"/>
  <c r="L63" i="67"/>
  <c r="L65" i="67" s="1"/>
  <c r="L71" i="67" s="1"/>
  <c r="L11" i="67"/>
  <c r="F25" i="8"/>
  <c r="I55" i="67"/>
  <c r="I58" i="67" s="1"/>
  <c r="L47" i="67"/>
  <c r="L51" i="67" s="1"/>
  <c r="G25" i="8"/>
  <c r="H55" i="67"/>
  <c r="H58" i="67" s="1"/>
  <c r="J47" i="67"/>
  <c r="J51" i="67" s="1"/>
  <c r="I25" i="8"/>
  <c r="F55" i="67"/>
  <c r="F58" i="67" s="1"/>
  <c r="I47" i="67"/>
  <c r="I51" i="67" s="1"/>
  <c r="H47" i="67"/>
  <c r="H51" i="67" s="1"/>
  <c r="G47" i="67"/>
  <c r="G51" i="67" s="1"/>
  <c r="K55" i="67"/>
  <c r="M168" i="8"/>
  <c r="U28" i="36"/>
  <c r="U30" i="36" s="1"/>
  <c r="U95" i="36"/>
  <c r="T95" i="36"/>
  <c r="T28" i="36"/>
  <c r="T30" i="36" s="1"/>
  <c r="T451" i="8"/>
  <c r="T452" i="8" s="1"/>
  <c r="X95" i="36"/>
  <c r="X28" i="36"/>
  <c r="X30" i="36" s="1"/>
  <c r="J76" i="36"/>
  <c r="H95" i="36"/>
  <c r="G76" i="36"/>
  <c r="K76" i="36"/>
  <c r="I76" i="36"/>
  <c r="Y309" i="8"/>
  <c r="Y320" i="8" s="1"/>
  <c r="X74" i="36"/>
  <c r="X76" i="36" s="1"/>
  <c r="U298" i="8"/>
  <c r="U303" i="8"/>
  <c r="Q299" i="8"/>
  <c r="Q308" i="8"/>
  <c r="N291" i="8"/>
  <c r="N298" i="8"/>
  <c r="N304" i="8"/>
  <c r="T291" i="8"/>
  <c r="T298" i="8"/>
  <c r="T304" i="8"/>
  <c r="X309" i="8"/>
  <c r="T59" i="8"/>
  <c r="T47" i="67" s="1"/>
  <c r="T51" i="67" s="1"/>
  <c r="S23" i="8"/>
  <c r="S21" i="67" s="1"/>
  <c r="P309" i="8"/>
  <c r="P299" i="8"/>
  <c r="U59" i="8"/>
  <c r="U47" i="67" s="1"/>
  <c r="U51" i="67" s="1"/>
  <c r="R308" i="8"/>
  <c r="Y308" i="8"/>
  <c r="Q59" i="8"/>
  <c r="Q47" i="67" s="1"/>
  <c r="Q51" i="67" s="1"/>
  <c r="O291" i="8"/>
  <c r="O304" i="8"/>
  <c r="U23" i="8"/>
  <c r="U21" i="67" s="1"/>
  <c r="M403" i="8"/>
  <c r="Z303" i="8"/>
  <c r="W303" i="8"/>
  <c r="P304" i="8"/>
  <c r="P298" i="8"/>
  <c r="P291" i="8"/>
  <c r="N59" i="8"/>
  <c r="N47" i="67" s="1"/>
  <c r="N51" i="67" s="1"/>
  <c r="R309" i="8"/>
  <c r="R320" i="8" s="1"/>
  <c r="R291" i="8"/>
  <c r="P68" i="8"/>
  <c r="P55" i="67" s="1"/>
  <c r="P58" i="67" s="1"/>
  <c r="Q304" i="8"/>
  <c r="Q291" i="8"/>
  <c r="V304" i="8"/>
  <c r="V291" i="8"/>
  <c r="W309" i="8"/>
  <c r="S303" i="8"/>
  <c r="S298" i="8"/>
  <c r="AA315" i="8"/>
  <c r="AA29" i="8" s="1"/>
  <c r="O59" i="8"/>
  <c r="O47" i="67" s="1"/>
  <c r="S59" i="8"/>
  <c r="S47" i="67" s="1"/>
  <c r="S51" i="67" s="1"/>
  <c r="F33" i="8"/>
  <c r="F28" i="67" s="1"/>
  <c r="X40" i="8"/>
  <c r="X33" i="67" s="1"/>
  <c r="X172" i="8"/>
  <c r="P40" i="8"/>
  <c r="P33" i="67" s="1"/>
  <c r="P172" i="8"/>
  <c r="H40" i="8"/>
  <c r="H33" i="67" s="1"/>
  <c r="H172" i="8"/>
  <c r="U39" i="8"/>
  <c r="U32" i="67" s="1"/>
  <c r="U34" i="67" s="1"/>
  <c r="U172" i="8"/>
  <c r="M39" i="8"/>
  <c r="M32" i="67" s="1"/>
  <c r="M34" i="67" s="1"/>
  <c r="M172" i="8"/>
  <c r="Z30" i="67"/>
  <c r="Z168" i="8"/>
  <c r="R30" i="67"/>
  <c r="R168" i="8"/>
  <c r="J30" i="67"/>
  <c r="X34" i="8"/>
  <c r="X29" i="67" s="1"/>
  <c r="X164" i="8"/>
  <c r="P34" i="8"/>
  <c r="P29" i="67" s="1"/>
  <c r="P164" i="8"/>
  <c r="H34" i="8"/>
  <c r="H29" i="67" s="1"/>
  <c r="U33" i="8"/>
  <c r="U28" i="67" s="1"/>
  <c r="U164" i="8"/>
  <c r="L33" i="8"/>
  <c r="L28" i="67" s="1"/>
  <c r="L164" i="8"/>
  <c r="J168" i="8"/>
  <c r="W40" i="8"/>
  <c r="W33" i="67" s="1"/>
  <c r="O40" i="8"/>
  <c r="O33" i="67" s="1"/>
  <c r="G40" i="8"/>
  <c r="G33" i="67" s="1"/>
  <c r="T39" i="8"/>
  <c r="T32" i="67" s="1"/>
  <c r="L39" i="8"/>
  <c r="L32" i="67" s="1"/>
  <c r="Y30" i="67"/>
  <c r="Q30" i="67"/>
  <c r="I30" i="67"/>
  <c r="W34" i="8"/>
  <c r="W29" i="67" s="1"/>
  <c r="O34" i="8"/>
  <c r="O29" i="67" s="1"/>
  <c r="G34" i="8"/>
  <c r="G29" i="67" s="1"/>
  <c r="T33" i="8"/>
  <c r="T28" i="67" s="1"/>
  <c r="K33" i="8"/>
  <c r="K28" i="67" s="1"/>
  <c r="F36" i="8"/>
  <c r="F30" i="67" s="1"/>
  <c r="F34" i="8"/>
  <c r="F29" i="67" s="1"/>
  <c r="V40" i="8"/>
  <c r="V33" i="67" s="1"/>
  <c r="N40" i="8"/>
  <c r="N33" i="67" s="1"/>
  <c r="S39" i="8"/>
  <c r="S32" i="67" s="1"/>
  <c r="X30" i="67"/>
  <c r="P30" i="67"/>
  <c r="H30" i="67"/>
  <c r="V34" i="8"/>
  <c r="V29" i="67" s="1"/>
  <c r="N34" i="8"/>
  <c r="N29" i="67" s="1"/>
  <c r="AA33" i="8"/>
  <c r="AA28" i="67" s="1"/>
  <c r="S33" i="8"/>
  <c r="S28" i="67" s="1"/>
  <c r="J33" i="8"/>
  <c r="J28" i="67" s="1"/>
  <c r="F39" i="8"/>
  <c r="F32" i="67" s="1"/>
  <c r="Z39" i="8"/>
  <c r="Z32" i="67" s="1"/>
  <c r="R39" i="8"/>
  <c r="R32" i="67" s="1"/>
  <c r="J39" i="8"/>
  <c r="J32" i="67" s="1"/>
  <c r="W30" i="67"/>
  <c r="O30" i="67"/>
  <c r="G30" i="67"/>
  <c r="U34" i="8"/>
  <c r="U29" i="67" s="1"/>
  <c r="M34" i="8"/>
  <c r="M29" i="67" s="1"/>
  <c r="Z33" i="8"/>
  <c r="Z28" i="67" s="1"/>
  <c r="R33" i="8"/>
  <c r="R28" i="67" s="1"/>
  <c r="I33" i="8"/>
  <c r="I28" i="67" s="1"/>
  <c r="F40" i="8"/>
  <c r="F33" i="67" s="1"/>
  <c r="T40" i="8"/>
  <c r="T33" i="67" s="1"/>
  <c r="L40" i="8"/>
  <c r="L33" i="67" s="1"/>
  <c r="Y39" i="8"/>
  <c r="Y32" i="67" s="1"/>
  <c r="I39" i="8"/>
  <c r="I32" i="67" s="1"/>
  <c r="V30" i="67"/>
  <c r="N30" i="67"/>
  <c r="T34" i="8"/>
  <c r="T29" i="67" s="1"/>
  <c r="L34" i="8"/>
  <c r="L29" i="67" s="1"/>
  <c r="Y33" i="8"/>
  <c r="Y28" i="67" s="1"/>
  <c r="Q33" i="8"/>
  <c r="Q28" i="67" s="1"/>
  <c r="H33" i="8"/>
  <c r="H28" i="67" s="1"/>
  <c r="AA40" i="8"/>
  <c r="AA33" i="67" s="1"/>
  <c r="S40" i="8"/>
  <c r="S33" i="67" s="1"/>
  <c r="K40" i="8"/>
  <c r="X39" i="8"/>
  <c r="X32" i="67" s="1"/>
  <c r="P39" i="8"/>
  <c r="P32" i="67" s="1"/>
  <c r="H39" i="8"/>
  <c r="H32" i="67" s="1"/>
  <c r="AA34" i="8"/>
  <c r="AA29" i="67" s="1"/>
  <c r="S34" i="8"/>
  <c r="S29" i="67" s="1"/>
  <c r="K34" i="8"/>
  <c r="K29" i="67" s="1"/>
  <c r="X33" i="8"/>
  <c r="X28" i="67" s="1"/>
  <c r="P33" i="8"/>
  <c r="P28" i="67" s="1"/>
  <c r="G33" i="8"/>
  <c r="G28" i="67" s="1"/>
  <c r="Z40" i="8"/>
  <c r="Z33" i="67" s="1"/>
  <c r="R40" i="8"/>
  <c r="R33" i="67" s="1"/>
  <c r="J40" i="8"/>
  <c r="J33" i="67" s="1"/>
  <c r="W39" i="8"/>
  <c r="W32" i="67" s="1"/>
  <c r="O39" i="8"/>
  <c r="O32" i="67" s="1"/>
  <c r="G39" i="8"/>
  <c r="G32" i="67" s="1"/>
  <c r="T30" i="67"/>
  <c r="L30" i="67"/>
  <c r="Z34" i="8"/>
  <c r="Z29" i="67" s="1"/>
  <c r="R34" i="8"/>
  <c r="R29" i="67" s="1"/>
  <c r="J34" i="8"/>
  <c r="J29" i="67" s="1"/>
  <c r="W33" i="8"/>
  <c r="W28" i="67" s="1"/>
  <c r="O33" i="8"/>
  <c r="O28" i="67" s="1"/>
  <c r="Y40" i="8"/>
  <c r="Y33" i="67" s="1"/>
  <c r="Q40" i="8"/>
  <c r="I40" i="8"/>
  <c r="I33" i="67" s="1"/>
  <c r="N39" i="8"/>
  <c r="N32" i="67" s="1"/>
  <c r="AA30" i="67"/>
  <c r="S30" i="67"/>
  <c r="K30" i="67"/>
  <c r="Y34" i="8"/>
  <c r="Y29" i="67" s="1"/>
  <c r="Q34" i="8"/>
  <c r="Q29" i="67" s="1"/>
  <c r="I34" i="8"/>
  <c r="I29" i="67" s="1"/>
  <c r="V33" i="8"/>
  <c r="V28" i="67" s="1"/>
  <c r="N33" i="8"/>
  <c r="N28" i="67" s="1"/>
  <c r="K64" i="8"/>
  <c r="K86" i="8" s="1"/>
  <c r="G72" i="8"/>
  <c r="G86" i="8" s="1"/>
  <c r="H86" i="8"/>
  <c r="L25" i="8"/>
  <c r="M25" i="8"/>
  <c r="R28" i="36"/>
  <c r="R30" i="36" s="1"/>
  <c r="R95" i="36"/>
  <c r="J28" i="36"/>
  <c r="J30" i="36" s="1"/>
  <c r="J95" i="36"/>
  <c r="K95" i="36"/>
  <c r="K28" i="36"/>
  <c r="K30" i="36" s="1"/>
  <c r="V95" i="36"/>
  <c r="V28" i="36"/>
  <c r="V30" i="36" s="1"/>
  <c r="G95" i="36"/>
  <c r="I28" i="36"/>
  <c r="I30" i="36" s="1"/>
  <c r="W95" i="36"/>
  <c r="S28" i="36"/>
  <c r="S30" i="36" s="1"/>
  <c r="H76" i="36"/>
  <c r="Q65" i="36"/>
  <c r="R65" i="36" s="1"/>
  <c r="P67" i="36"/>
  <c r="P69" i="36" s="1"/>
  <c r="P74" i="36" s="1"/>
  <c r="P76" i="36" s="1"/>
  <c r="K81" i="36"/>
  <c r="J82" i="36"/>
  <c r="J89" i="36"/>
  <c r="O28" i="36"/>
  <c r="O30" i="36" s="1"/>
  <c r="N458" i="8"/>
  <c r="S22" i="42" l="1"/>
  <c r="S50" i="42"/>
  <c r="Q65" i="20"/>
  <c r="O39" i="42"/>
  <c r="D123" i="31" s="1"/>
  <c r="N123" i="31" s="1"/>
  <c r="O22" i="42"/>
  <c r="T50" i="23"/>
  <c r="S67" i="20"/>
  <c r="Q106" i="23"/>
  <c r="O50" i="42"/>
  <c r="U492" i="8"/>
  <c r="U501" i="8" s="1"/>
  <c r="U503" i="8" s="1"/>
  <c r="T492" i="8"/>
  <c r="T501" i="8" s="1"/>
  <c r="T503" i="8" s="1"/>
  <c r="S23" i="34"/>
  <c r="Q90" i="42"/>
  <c r="G626" i="31"/>
  <c r="G629" i="31" s="1"/>
  <c r="H258" i="31"/>
  <c r="H536" i="31" s="1"/>
  <c r="Q50" i="42"/>
  <c r="T23" i="34"/>
  <c r="S97" i="42"/>
  <c r="H583" i="31" s="1"/>
  <c r="I257" i="31"/>
  <c r="I259" i="31" s="1"/>
  <c r="I263" i="31" s="1"/>
  <c r="P33" i="23"/>
  <c r="S56" i="23"/>
  <c r="S90" i="23"/>
  <c r="S92" i="23" s="1"/>
  <c r="P15" i="42"/>
  <c r="E98" i="31" s="1"/>
  <c r="G651" i="31"/>
  <c r="G654" i="31" s="1"/>
  <c r="P24" i="42"/>
  <c r="P28" i="42" s="1"/>
  <c r="P30" i="42" s="1"/>
  <c r="S77" i="42"/>
  <c r="S39" i="42"/>
  <c r="H123" i="31" s="1"/>
  <c r="R485" i="8"/>
  <c r="R492" i="8" s="1"/>
  <c r="R501" i="8" s="1"/>
  <c r="R503" i="8" s="1"/>
  <c r="Q485" i="8"/>
  <c r="Q492" i="8" s="1"/>
  <c r="Q501" i="8" s="1"/>
  <c r="Q503" i="8" s="1"/>
  <c r="P485" i="8"/>
  <c r="P492" i="8" s="1"/>
  <c r="P501" i="8" s="1"/>
  <c r="P503" i="8" s="1"/>
  <c r="V485" i="8"/>
  <c r="V492" i="8" s="1"/>
  <c r="V501" i="8" s="1"/>
  <c r="V503" i="8" s="1"/>
  <c r="W485" i="8"/>
  <c r="W492" i="8" s="1"/>
  <c r="W501" i="8" s="1"/>
  <c r="W503" i="8" s="1"/>
  <c r="X485" i="8"/>
  <c r="X492" i="8" s="1"/>
  <c r="X501" i="8" s="1"/>
  <c r="X503" i="8" s="1"/>
  <c r="Z485" i="8"/>
  <c r="Z492" i="8" s="1"/>
  <c r="Z501" i="8" s="1"/>
  <c r="Z503" i="8" s="1"/>
  <c r="Y485" i="8"/>
  <c r="Y492" i="8" s="1"/>
  <c r="Y501" i="8" s="1"/>
  <c r="Y503" i="8" s="1"/>
  <c r="AA492" i="8"/>
  <c r="AA501" i="8" s="1"/>
  <c r="AA503" i="8" s="1"/>
  <c r="N405" i="8"/>
  <c r="N406" i="8" s="1"/>
  <c r="T405" i="8"/>
  <c r="T406" i="8" s="1"/>
  <c r="U405" i="8"/>
  <c r="U406" i="8" s="1"/>
  <c r="R405" i="8"/>
  <c r="R406" i="8" s="1"/>
  <c r="Y405" i="8"/>
  <c r="Y406" i="8" s="1"/>
  <c r="S405" i="8"/>
  <c r="S406" i="8" s="1"/>
  <c r="Q405" i="8"/>
  <c r="Q406" i="8" s="1"/>
  <c r="X405" i="8"/>
  <c r="X406" i="8" s="1"/>
  <c r="AA405" i="8"/>
  <c r="AA406" i="8" s="1"/>
  <c r="P405" i="8"/>
  <c r="P406" i="8" s="1"/>
  <c r="Z405" i="8"/>
  <c r="Z406" i="8" s="1"/>
  <c r="V405" i="8"/>
  <c r="V406" i="8" s="1"/>
  <c r="W405" i="8"/>
  <c r="W406" i="8" s="1"/>
  <c r="O405" i="8"/>
  <c r="O406" i="8" s="1"/>
  <c r="O298" i="8"/>
  <c r="O300" i="8" s="1"/>
  <c r="O301" i="8" s="1"/>
  <c r="O303" i="8"/>
  <c r="O315" i="8" s="1"/>
  <c r="O29" i="8" s="1"/>
  <c r="O25" i="67" s="1"/>
  <c r="P90" i="42"/>
  <c r="F616" i="31"/>
  <c r="F628" i="31" s="1"/>
  <c r="S90" i="42"/>
  <c r="S69" i="23"/>
  <c r="S70" i="23" s="1"/>
  <c r="H642" i="31"/>
  <c r="H652" i="31" s="1"/>
  <c r="E642" i="31"/>
  <c r="F651" i="31" s="1"/>
  <c r="F654" i="31" s="1"/>
  <c r="P97" i="42"/>
  <c r="E583" i="31" s="1"/>
  <c r="R97" i="42"/>
  <c r="G583" i="31" s="1"/>
  <c r="R48" i="23"/>
  <c r="R56" i="23" s="1"/>
  <c r="E113" i="31"/>
  <c r="E253" i="31"/>
  <c r="E508" i="31"/>
  <c r="H113" i="31"/>
  <c r="H253" i="31"/>
  <c r="Q15" i="42"/>
  <c r="F98" i="31" s="1"/>
  <c r="P23" i="34"/>
  <c r="Q23" i="34"/>
  <c r="G564" i="31"/>
  <c r="F103" i="31"/>
  <c r="Q22" i="42"/>
  <c r="G257" i="31"/>
  <c r="G535" i="31" s="1"/>
  <c r="T89" i="42"/>
  <c r="I613" i="31"/>
  <c r="T33" i="23"/>
  <c r="Q90" i="23"/>
  <c r="Q92" i="23" s="1"/>
  <c r="E628" i="31"/>
  <c r="S24" i="42"/>
  <c r="H105" i="31"/>
  <c r="O48" i="23"/>
  <c r="E258" i="31"/>
  <c r="E536" i="31" s="1"/>
  <c r="P69" i="23"/>
  <c r="O69" i="23"/>
  <c r="E564" i="31"/>
  <c r="R15" i="42"/>
  <c r="G98" i="31" s="1"/>
  <c r="E626" i="31"/>
  <c r="E629" i="31" s="1"/>
  <c r="R33" i="23"/>
  <c r="R23" i="34"/>
  <c r="G627" i="31"/>
  <c r="J257" i="31"/>
  <c r="J259" i="31" s="1"/>
  <c r="J263" i="31" s="1"/>
  <c r="J264" i="31" s="1"/>
  <c r="T106" i="23"/>
  <c r="J642" i="31"/>
  <c r="H627" i="31"/>
  <c r="P67" i="20"/>
  <c r="H626" i="31"/>
  <c r="H629" i="31" s="1"/>
  <c r="J122" i="31"/>
  <c r="T8" i="42"/>
  <c r="S106" i="23"/>
  <c r="I642" i="31"/>
  <c r="F259" i="31"/>
  <c r="F263" i="31" s="1"/>
  <c r="F535" i="31"/>
  <c r="S42" i="42"/>
  <c r="M476" i="8"/>
  <c r="U413" i="8"/>
  <c r="W413" i="8"/>
  <c r="AA413" i="8"/>
  <c r="Z413" i="8"/>
  <c r="V413" i="8"/>
  <c r="I413" i="8"/>
  <c r="M86" i="8"/>
  <c r="S62" i="3"/>
  <c r="U62" i="3"/>
  <c r="T62" i="3"/>
  <c r="N62" i="3"/>
  <c r="O62" i="3"/>
  <c r="AA62" i="3"/>
  <c r="Z300" i="8"/>
  <c r="Z301" i="8" s="1"/>
  <c r="U300" i="8"/>
  <c r="U301" i="8" s="1"/>
  <c r="AA23" i="8"/>
  <c r="AA21" i="67" s="1"/>
  <c r="AA23" i="67" s="1"/>
  <c r="Y310" i="8"/>
  <c r="AA305" i="8"/>
  <c r="Z319" i="8"/>
  <c r="Z68" i="8" s="1"/>
  <c r="Z55" i="67" s="1"/>
  <c r="Z58" i="67" s="1"/>
  <c r="Z310" i="8"/>
  <c r="AA319" i="8"/>
  <c r="AA321" i="8" s="1"/>
  <c r="AA310" i="8"/>
  <c r="X319" i="8"/>
  <c r="X310" i="8"/>
  <c r="W319" i="8"/>
  <c r="W310" i="8"/>
  <c r="Y413" i="8"/>
  <c r="P62" i="3"/>
  <c r="Y62" i="3"/>
  <c r="R62" i="3"/>
  <c r="X62" i="3"/>
  <c r="Z62" i="3"/>
  <c r="Q62" i="3"/>
  <c r="V62" i="3"/>
  <c r="W62" i="3"/>
  <c r="O51" i="67"/>
  <c r="M28" i="67"/>
  <c r="M31" i="67" s="1"/>
  <c r="M35" i="67" s="1"/>
  <c r="O64" i="8"/>
  <c r="K26" i="67"/>
  <c r="K241" i="8"/>
  <c r="J26" i="67"/>
  <c r="K9" i="73"/>
  <c r="K10" i="73" s="1"/>
  <c r="K12" i="73" s="1"/>
  <c r="K13" i="73" s="1"/>
  <c r="F14" i="73"/>
  <c r="J14" i="73"/>
  <c r="L9" i="73"/>
  <c r="L10" i="73" s="1"/>
  <c r="L12" i="73" s="1"/>
  <c r="L13" i="73" s="1"/>
  <c r="R413" i="8"/>
  <c r="S413" i="8"/>
  <c r="U168" i="3"/>
  <c r="T143" i="3"/>
  <c r="T163" i="3" s="1"/>
  <c r="AA143" i="3"/>
  <c r="AA163" i="3" s="1"/>
  <c r="P231" i="3"/>
  <c r="H231" i="3"/>
  <c r="T413" i="8"/>
  <c r="H108" i="3"/>
  <c r="H115" i="3" s="1"/>
  <c r="H124" i="3" s="1"/>
  <c r="H129" i="3" s="1"/>
  <c r="H132" i="3" s="1"/>
  <c r="H134" i="3" s="1"/>
  <c r="Q413" i="8"/>
  <c r="Q3" i="3"/>
  <c r="Q481" i="8" s="1"/>
  <c r="P140" i="3"/>
  <c r="P201" i="3"/>
  <c r="P71" i="3"/>
  <c r="P166" i="3"/>
  <c r="I3" i="3"/>
  <c r="I481" i="8" s="1"/>
  <c r="H140" i="3"/>
  <c r="H201" i="3"/>
  <c r="H166" i="3"/>
  <c r="H71" i="3"/>
  <c r="P413" i="8"/>
  <c r="X413" i="8"/>
  <c r="O413" i="8"/>
  <c r="H246" i="8"/>
  <c r="H248" i="8" s="1"/>
  <c r="H249" i="8" s="1"/>
  <c r="L246" i="8"/>
  <c r="L248" i="8" s="1"/>
  <c r="O246" i="8"/>
  <c r="O248" i="8" s="1"/>
  <c r="O249" i="8" s="1"/>
  <c r="Y291" i="8"/>
  <c r="Z291" i="8"/>
  <c r="U174" i="8"/>
  <c r="O65" i="3"/>
  <c r="O67" i="3" s="1"/>
  <c r="O68" i="3" s="1"/>
  <c r="M43" i="3"/>
  <c r="N143" i="3"/>
  <c r="N163" i="3" s="1"/>
  <c r="R143" i="3"/>
  <c r="R163" i="3" s="1"/>
  <c r="R65" i="3"/>
  <c r="R67" i="3" s="1"/>
  <c r="R68" i="3" s="1"/>
  <c r="R168" i="3"/>
  <c r="O168" i="3"/>
  <c r="N65" i="3"/>
  <c r="N67" i="3" s="1"/>
  <c r="N68" i="3" s="1"/>
  <c r="I249" i="3"/>
  <c r="K261" i="3"/>
  <c r="F108" i="3"/>
  <c r="F115" i="3" s="1"/>
  <c r="F124" i="3" s="1"/>
  <c r="F129" i="3" s="1"/>
  <c r="F132" i="3" s="1"/>
  <c r="F134" i="3" s="1"/>
  <c r="F135" i="3" s="1"/>
  <c r="Z168" i="3"/>
  <c r="Z65" i="3"/>
  <c r="Z67" i="3" s="1"/>
  <c r="Z68" i="3" s="1"/>
  <c r="Z143" i="3"/>
  <c r="Z163" i="3" s="1"/>
  <c r="W168" i="3"/>
  <c r="AA168" i="3"/>
  <c r="J249" i="3"/>
  <c r="Y246" i="8"/>
  <c r="Y248" i="8" s="1"/>
  <c r="Y249" i="8" s="1"/>
  <c r="K174" i="8"/>
  <c r="Q298" i="8"/>
  <c r="Q300" i="8" s="1"/>
  <c r="Q301" i="8" s="1"/>
  <c r="Y301" i="8"/>
  <c r="X174" i="8"/>
  <c r="AA174" i="8"/>
  <c r="AB180" i="8" s="1"/>
  <c r="I174" i="8"/>
  <c r="N299" i="8"/>
  <c r="N300" i="8" s="1"/>
  <c r="N301" i="8" s="1"/>
  <c r="G386" i="8"/>
  <c r="AA34" i="67"/>
  <c r="Q81" i="36"/>
  <c r="Q82" i="36" s="1"/>
  <c r="Q88" i="36" s="1"/>
  <c r="Q92" i="36" s="1"/>
  <c r="O174" i="8"/>
  <c r="AA246" i="8"/>
  <c r="AA248" i="8" s="1"/>
  <c r="AA249" i="8" s="1"/>
  <c r="P246" i="8"/>
  <c r="P248" i="8" s="1"/>
  <c r="P249" i="8" s="1"/>
  <c r="H174" i="8"/>
  <c r="T246" i="8"/>
  <c r="T248" i="8" s="1"/>
  <c r="T249" i="8" s="1"/>
  <c r="S25" i="8"/>
  <c r="K23" i="67"/>
  <c r="X317" i="8"/>
  <c r="U308" i="8"/>
  <c r="U310" i="8" s="1"/>
  <c r="X23" i="67"/>
  <c r="Q303" i="8"/>
  <c r="Q315" i="8" s="1"/>
  <c r="S174" i="8"/>
  <c r="J81" i="8"/>
  <c r="J84" i="8" s="1"/>
  <c r="I246" i="8"/>
  <c r="I248" i="8" s="1"/>
  <c r="I249" i="8" s="1"/>
  <c r="M23" i="67"/>
  <c r="F92" i="36"/>
  <c r="F96" i="36" s="1"/>
  <c r="T174" i="8"/>
  <c r="P174" i="8"/>
  <c r="T29" i="8"/>
  <c r="T25" i="67" s="1"/>
  <c r="S246" i="8"/>
  <c r="S248" i="8" s="1"/>
  <c r="S249" i="8" s="1"/>
  <c r="Y25" i="8"/>
  <c r="R300" i="8"/>
  <c r="R301" i="8" s="1"/>
  <c r="X246" i="8"/>
  <c r="X248" i="8" s="1"/>
  <c r="X249" i="8" s="1"/>
  <c r="L58" i="67"/>
  <c r="L74" i="67" s="1"/>
  <c r="I108" i="3"/>
  <c r="I115" i="3" s="1"/>
  <c r="I124" i="3" s="1"/>
  <c r="I129" i="3" s="1"/>
  <c r="I132" i="3" s="1"/>
  <c r="I134" i="3" s="1"/>
  <c r="I508" i="31"/>
  <c r="I113" i="31"/>
  <c r="I253" i="31"/>
  <c r="G103" i="31"/>
  <c r="R22" i="42"/>
  <c r="R39" i="42"/>
  <c r="G123" i="31" s="1"/>
  <c r="R90" i="42"/>
  <c r="O24" i="42"/>
  <c r="D105" i="31"/>
  <c r="T39" i="42"/>
  <c r="I123" i="31" s="1"/>
  <c r="T22" i="42"/>
  <c r="I103" i="31"/>
  <c r="T77" i="42"/>
  <c r="R67" i="20"/>
  <c r="R65" i="20"/>
  <c r="G652" i="31"/>
  <c r="G653" i="31"/>
  <c r="S49" i="34"/>
  <c r="O90" i="42"/>
  <c r="D616" i="31"/>
  <c r="D626" i="31" s="1"/>
  <c r="D629" i="31" s="1"/>
  <c r="Y174" i="8"/>
  <c r="K246" i="8"/>
  <c r="K248" i="8" s="1"/>
  <c r="K249" i="8" s="1"/>
  <c r="T299" i="8"/>
  <c r="T300" i="8" s="1"/>
  <c r="X25" i="8"/>
  <c r="M246" i="8"/>
  <c r="M248" i="8" s="1"/>
  <c r="M249" i="8" s="1"/>
  <c r="H23" i="67"/>
  <c r="F174" i="8"/>
  <c r="F246" i="8"/>
  <c r="F248" i="8" s="1"/>
  <c r="F249" i="8" s="1"/>
  <c r="Q246" i="8"/>
  <c r="Q248" i="8" s="1"/>
  <c r="Q249" i="8" s="1"/>
  <c r="R305" i="8"/>
  <c r="R306" i="8" s="1"/>
  <c r="U25" i="8"/>
  <c r="H34" i="67"/>
  <c r="U23" i="67"/>
  <c r="S65" i="3"/>
  <c r="S67" i="3" s="1"/>
  <c r="S68" i="3" s="1"/>
  <c r="L43" i="3"/>
  <c r="P143" i="3"/>
  <c r="P163" i="3" s="1"/>
  <c r="P65" i="3"/>
  <c r="P67" i="3" s="1"/>
  <c r="P68" i="3" s="1"/>
  <c r="P168" i="3"/>
  <c r="I45" i="3"/>
  <c r="I53" i="3" s="1"/>
  <c r="I59" i="3" s="1"/>
  <c r="I485" i="8" s="1"/>
  <c r="I492" i="8" s="1"/>
  <c r="I501" i="8" s="1"/>
  <c r="I503" i="8" s="1"/>
  <c r="O143" i="3"/>
  <c r="O163" i="3" s="1"/>
  <c r="H45" i="3"/>
  <c r="H53" i="3" s="1"/>
  <c r="H59" i="3" s="1"/>
  <c r="H485" i="8" s="1"/>
  <c r="H492" i="8" s="1"/>
  <c r="H501" i="8" s="1"/>
  <c r="H503" i="8" s="1"/>
  <c r="W143" i="3"/>
  <c r="W163" i="3" s="1"/>
  <c r="W65" i="3"/>
  <c r="W67" i="3" s="1"/>
  <c r="W68" i="3" s="1"/>
  <c r="AA65" i="3"/>
  <c r="AA67" i="3" s="1"/>
  <c r="AA68" i="3" s="1"/>
  <c r="G108" i="3"/>
  <c r="G115" i="3" s="1"/>
  <c r="G124" i="3" s="1"/>
  <c r="G129" i="3" s="1"/>
  <c r="G132" i="3" s="1"/>
  <c r="G134" i="3" s="1"/>
  <c r="M249" i="3"/>
  <c r="I99" i="3"/>
  <c r="J43" i="3"/>
  <c r="Q49" i="34"/>
  <c r="Q65" i="3"/>
  <c r="Q67" i="3" s="1"/>
  <c r="Q68" i="3" s="1"/>
  <c r="Q168" i="3"/>
  <c r="N168" i="3"/>
  <c r="L99" i="3"/>
  <c r="G45" i="3"/>
  <c r="G53" i="3" s="1"/>
  <c r="G59" i="3" s="1"/>
  <c r="F45" i="3"/>
  <c r="F53" i="3" s="1"/>
  <c r="F59" i="3" s="1"/>
  <c r="F485" i="8" s="1"/>
  <c r="G249" i="3"/>
  <c r="U65" i="3"/>
  <c r="U67" i="3" s="1"/>
  <c r="U68" i="3" s="1"/>
  <c r="S143" i="3"/>
  <c r="S163" i="3" s="1"/>
  <c r="K43" i="3"/>
  <c r="J98" i="3"/>
  <c r="J100" i="3" s="1"/>
  <c r="U143" i="3"/>
  <c r="U163" i="3" s="1"/>
  <c r="V143" i="3"/>
  <c r="V163" i="3" s="1"/>
  <c r="I564" i="31"/>
  <c r="S168" i="3"/>
  <c r="K224" i="31"/>
  <c r="Q143" i="3"/>
  <c r="Q163" i="3" s="1"/>
  <c r="V65" i="3"/>
  <c r="V67" i="3" s="1"/>
  <c r="V68" i="3" s="1"/>
  <c r="I220" i="31"/>
  <c r="I221" i="31" s="1"/>
  <c r="H573" i="31"/>
  <c r="H249" i="3"/>
  <c r="T65" i="3"/>
  <c r="T67" i="3" s="1"/>
  <c r="T68" i="3" s="1"/>
  <c r="F249" i="3"/>
  <c r="T28" i="23"/>
  <c r="L249" i="3"/>
  <c r="V168" i="3"/>
  <c r="K98" i="3"/>
  <c r="K100" i="3" s="1"/>
  <c r="S28" i="23"/>
  <c r="T168" i="3"/>
  <c r="Q88" i="23"/>
  <c r="Q37" i="42" s="1"/>
  <c r="F121" i="31" s="1"/>
  <c r="Q28" i="23"/>
  <c r="K249" i="3"/>
  <c r="D573" i="31"/>
  <c r="E543" i="31"/>
  <c r="J224" i="31"/>
  <c r="L108" i="3"/>
  <c r="L115" i="3" s="1"/>
  <c r="L124" i="3" s="1"/>
  <c r="L129" i="3" s="1"/>
  <c r="L20" i="3"/>
  <c r="L21" i="3" s="1"/>
  <c r="L23" i="3" s="1"/>
  <c r="X143" i="3"/>
  <c r="X163" i="3" s="1"/>
  <c r="X65" i="3"/>
  <c r="X67" i="3" s="1"/>
  <c r="X68" i="3" s="1"/>
  <c r="X168" i="3"/>
  <c r="M108" i="3"/>
  <c r="M115" i="3" s="1"/>
  <c r="M124" i="3" s="1"/>
  <c r="M129" i="3" s="1"/>
  <c r="M20" i="3"/>
  <c r="M21" i="3" s="1"/>
  <c r="M23" i="3" s="1"/>
  <c r="Y143" i="3"/>
  <c r="Y163" i="3" s="1"/>
  <c r="Y168" i="3"/>
  <c r="Y65" i="3"/>
  <c r="Y67" i="3" s="1"/>
  <c r="Y68" i="3" s="1"/>
  <c r="T94" i="42"/>
  <c r="R67" i="42"/>
  <c r="G563" i="31" s="1"/>
  <c r="H564" i="31"/>
  <c r="I100" i="31"/>
  <c r="T50" i="42"/>
  <c r="O28" i="23"/>
  <c r="T18" i="42"/>
  <c r="I101" i="31" s="1"/>
  <c r="F543" i="31"/>
  <c r="T70" i="42"/>
  <c r="T26" i="42"/>
  <c r="I109" i="31" s="1"/>
  <c r="T19" i="34"/>
  <c r="T43" i="34"/>
  <c r="T67" i="42"/>
  <c r="I563" i="31" s="1"/>
  <c r="J564" i="31"/>
  <c r="F221" i="31"/>
  <c r="E221" i="31"/>
  <c r="Q19" i="34"/>
  <c r="P19" i="34"/>
  <c r="P43" i="34"/>
  <c r="P49" i="34" s="1"/>
  <c r="H221" i="31"/>
  <c r="G221" i="31"/>
  <c r="M224" i="31"/>
  <c r="L224" i="31"/>
  <c r="F564" i="31"/>
  <c r="P67" i="42"/>
  <c r="E563" i="31" s="1"/>
  <c r="G573" i="31"/>
  <c r="G543" i="31"/>
  <c r="R19" i="34"/>
  <c r="S19" i="34"/>
  <c r="R43" i="34"/>
  <c r="S68" i="8"/>
  <c r="S55" i="67" s="1"/>
  <c r="S58" i="67" s="1"/>
  <c r="S74" i="67" s="1"/>
  <c r="U246" i="8"/>
  <c r="U248" i="8" s="1"/>
  <c r="U249" i="8" s="1"/>
  <c r="S299" i="8"/>
  <c r="S300" i="8" s="1"/>
  <c r="S301" i="8" s="1"/>
  <c r="S310" i="8"/>
  <c r="G23" i="67"/>
  <c r="P34" i="67"/>
  <c r="W174" i="8"/>
  <c r="W23" i="8"/>
  <c r="W21" i="67" s="1"/>
  <c r="W23" i="67" s="1"/>
  <c r="G174" i="8"/>
  <c r="R246" i="8"/>
  <c r="R248" i="8" s="1"/>
  <c r="R249" i="8" s="1"/>
  <c r="V174" i="8"/>
  <c r="L23" i="67"/>
  <c r="G74" i="67"/>
  <c r="J71" i="67"/>
  <c r="J74" i="67" s="1"/>
  <c r="P84" i="36"/>
  <c r="P86" i="36" s="1"/>
  <c r="P89" i="36"/>
  <c r="P90" i="36" s="1"/>
  <c r="P25" i="36" s="1"/>
  <c r="Q174" i="8"/>
  <c r="O458" i="8"/>
  <c r="J246" i="8"/>
  <c r="J248" i="8" s="1"/>
  <c r="J249" i="8" s="1"/>
  <c r="O453" i="8"/>
  <c r="Z23" i="67"/>
  <c r="I86" i="8"/>
  <c r="X305" i="8"/>
  <c r="N246" i="8"/>
  <c r="N248" i="8" s="1"/>
  <c r="N249" i="8" s="1"/>
  <c r="S23" i="67"/>
  <c r="P23" i="36"/>
  <c r="P27" i="36" s="1"/>
  <c r="P31" i="36" s="1"/>
  <c r="P32" i="36" s="1"/>
  <c r="P77" i="36" s="1"/>
  <c r="T308" i="8"/>
  <c r="T310" i="8" s="1"/>
  <c r="V321" i="8"/>
  <c r="Y23" i="67"/>
  <c r="V34" i="67"/>
  <c r="N34" i="67"/>
  <c r="O23" i="36"/>
  <c r="O27" i="36" s="1"/>
  <c r="O31" i="36" s="1"/>
  <c r="O32" i="36" s="1"/>
  <c r="O77" i="36" s="1"/>
  <c r="O102" i="36"/>
  <c r="O104" i="36" s="1"/>
  <c r="O96" i="36"/>
  <c r="R23" i="67"/>
  <c r="I23" i="67"/>
  <c r="K31" i="67"/>
  <c r="P96" i="36"/>
  <c r="G34" i="67"/>
  <c r="G84" i="36"/>
  <c r="G86" i="36" s="1"/>
  <c r="AA31" i="67"/>
  <c r="W34" i="67"/>
  <c r="U31" i="67"/>
  <c r="U35" i="67" s="1"/>
  <c r="M164" i="8"/>
  <c r="X34" i="67"/>
  <c r="L31" i="67"/>
  <c r="Y34" i="67"/>
  <c r="H31" i="67"/>
  <c r="F31" i="67"/>
  <c r="N174" i="8"/>
  <c r="L174" i="8"/>
  <c r="S31" i="67"/>
  <c r="K58" i="67"/>
  <c r="K74" i="67" s="1"/>
  <c r="J23" i="67"/>
  <c r="V310" i="8"/>
  <c r="T31" i="67"/>
  <c r="R31" i="67"/>
  <c r="F31" i="36"/>
  <c r="F32" i="36" s="1"/>
  <c r="F77" i="36" s="1"/>
  <c r="V246" i="8"/>
  <c r="V248" i="8" s="1"/>
  <c r="V249" i="8" s="1"/>
  <c r="N413" i="8"/>
  <c r="G77" i="36"/>
  <c r="W246" i="8"/>
  <c r="W248" i="8" s="1"/>
  <c r="W249" i="8" s="1"/>
  <c r="O34" i="67"/>
  <c r="V55" i="67"/>
  <c r="V58" i="67" s="1"/>
  <c r="V74" i="67" s="1"/>
  <c r="V41" i="8"/>
  <c r="X301" i="8"/>
  <c r="H74" i="67"/>
  <c r="F23" i="67"/>
  <c r="N31" i="67"/>
  <c r="W31" i="67"/>
  <c r="Q31" i="67"/>
  <c r="P31" i="67"/>
  <c r="I71" i="67"/>
  <c r="I74" i="67" s="1"/>
  <c r="Z246" i="8"/>
  <c r="Z248" i="8" s="1"/>
  <c r="Z249" i="8" s="1"/>
  <c r="V31" i="67"/>
  <c r="F34" i="67"/>
  <c r="Y31" i="67"/>
  <c r="Z31" i="67"/>
  <c r="H81" i="36"/>
  <c r="I23" i="36"/>
  <c r="I27" i="36" s="1"/>
  <c r="I31" i="36" s="1"/>
  <c r="I32" i="36" s="1"/>
  <c r="I77" i="36" s="1"/>
  <c r="I92" i="36"/>
  <c r="R25" i="8"/>
  <c r="X31" i="67"/>
  <c r="G89" i="36"/>
  <c r="G24" i="36" s="1"/>
  <c r="G92" i="36"/>
  <c r="G102" i="36" s="1"/>
  <c r="G31" i="67"/>
  <c r="J31" i="67"/>
  <c r="M63" i="67"/>
  <c r="M65" i="67" s="1"/>
  <c r="M71" i="67" s="1"/>
  <c r="M74" i="67" s="1"/>
  <c r="O310" i="8"/>
  <c r="O319" i="8"/>
  <c r="Y315" i="8"/>
  <c r="Y305" i="8"/>
  <c r="O31" i="67"/>
  <c r="Z34" i="67"/>
  <c r="I31" i="67"/>
  <c r="G246" i="8"/>
  <c r="G248" i="8" s="1"/>
  <c r="G249" i="8" s="1"/>
  <c r="F74" i="67"/>
  <c r="Q41" i="8"/>
  <c r="Q33" i="67"/>
  <c r="Q34" i="67" s="1"/>
  <c r="J34" i="67"/>
  <c r="F84" i="36"/>
  <c r="F86" i="36" s="1"/>
  <c r="F90" i="36"/>
  <c r="F25" i="36" s="1"/>
  <c r="F24" i="36"/>
  <c r="I34" i="67"/>
  <c r="R34" i="67"/>
  <c r="L34" i="67"/>
  <c r="K41" i="8"/>
  <c r="K33" i="67"/>
  <c r="K34" i="67" s="1"/>
  <c r="S34" i="67"/>
  <c r="T34" i="67"/>
  <c r="AA59" i="8"/>
  <c r="AA47" i="67" s="1"/>
  <c r="AA51" i="67" s="1"/>
  <c r="V301" i="8"/>
  <c r="P316" i="8"/>
  <c r="P305" i="8"/>
  <c r="P320" i="8"/>
  <c r="P310" i="8"/>
  <c r="G35" i="8"/>
  <c r="G37" i="8" s="1"/>
  <c r="H41" i="8"/>
  <c r="H35" i="8"/>
  <c r="H37" i="8" s="1"/>
  <c r="I35" i="8"/>
  <c r="I37" i="8" s="1"/>
  <c r="J41" i="8"/>
  <c r="AA25" i="67"/>
  <c r="AA317" i="8"/>
  <c r="V316" i="8"/>
  <c r="V305" i="8"/>
  <c r="R59" i="8"/>
  <c r="R47" i="67" s="1"/>
  <c r="R51" i="67" s="1"/>
  <c r="W315" i="8"/>
  <c r="W305" i="8"/>
  <c r="R310" i="8"/>
  <c r="R319" i="8"/>
  <c r="T64" i="8"/>
  <c r="Q319" i="8"/>
  <c r="Q310" i="8"/>
  <c r="O35" i="8"/>
  <c r="O37" i="8" s="1"/>
  <c r="O41" i="8"/>
  <c r="S35" i="8"/>
  <c r="S37" i="8" s="1"/>
  <c r="J174" i="8"/>
  <c r="Z174" i="8"/>
  <c r="U41" i="8"/>
  <c r="W301" i="8"/>
  <c r="M413" i="8"/>
  <c r="X320" i="8"/>
  <c r="T316" i="8"/>
  <c r="T305" i="8"/>
  <c r="T306" i="8" s="1"/>
  <c r="U305" i="8"/>
  <c r="U306" i="8" s="1"/>
  <c r="U315" i="8"/>
  <c r="M174" i="8"/>
  <c r="Z25" i="8"/>
  <c r="P35" i="8"/>
  <c r="P37" i="8" s="1"/>
  <c r="P41" i="8"/>
  <c r="Q35" i="8"/>
  <c r="Q37" i="8" s="1"/>
  <c r="R35" i="8"/>
  <c r="R37" i="8" s="1"/>
  <c r="R41" i="8"/>
  <c r="F41" i="8"/>
  <c r="S41" i="8"/>
  <c r="S64" i="8"/>
  <c r="S315" i="8"/>
  <c r="S305" i="8"/>
  <c r="N64" i="8"/>
  <c r="Q64" i="8"/>
  <c r="M35" i="8"/>
  <c r="M37" i="8" s="1"/>
  <c r="Z59" i="8"/>
  <c r="Z47" i="67" s="1"/>
  <c r="Z51" i="67" s="1"/>
  <c r="J35" i="8"/>
  <c r="J37" i="8" s="1"/>
  <c r="W35" i="8"/>
  <c r="W37" i="8" s="1"/>
  <c r="W41" i="8"/>
  <c r="Y41" i="8"/>
  <c r="AA35" i="8"/>
  <c r="AA37" i="8" s="1"/>
  <c r="K35" i="8"/>
  <c r="K37" i="8" s="1"/>
  <c r="L41" i="8"/>
  <c r="Q316" i="8"/>
  <c r="Z315" i="8"/>
  <c r="Z305" i="8"/>
  <c r="V64" i="8"/>
  <c r="R29" i="8"/>
  <c r="R25" i="67" s="1"/>
  <c r="R317" i="8"/>
  <c r="G41" i="8"/>
  <c r="N35" i="8"/>
  <c r="N37" i="8" s="1"/>
  <c r="N41" i="8"/>
  <c r="X35" i="8"/>
  <c r="X37" i="8" s="1"/>
  <c r="X41" i="8"/>
  <c r="Y35" i="8"/>
  <c r="Y37" i="8" s="1"/>
  <c r="Z35" i="8"/>
  <c r="Z37" i="8" s="1"/>
  <c r="Z41" i="8"/>
  <c r="L35" i="8"/>
  <c r="L37" i="8" s="1"/>
  <c r="F35" i="8"/>
  <c r="F37" i="8" s="1"/>
  <c r="N316" i="8"/>
  <c r="N305" i="8"/>
  <c r="N306" i="8" s="1"/>
  <c r="U35" i="8"/>
  <c r="U37" i="8" s="1"/>
  <c r="AA41" i="8"/>
  <c r="T35" i="8"/>
  <c r="T37" i="8" s="1"/>
  <c r="T41" i="8"/>
  <c r="W320" i="8"/>
  <c r="P72" i="8"/>
  <c r="N310" i="8"/>
  <c r="N319" i="8"/>
  <c r="U64" i="8"/>
  <c r="Y59" i="8"/>
  <c r="Y47" i="67" s="1"/>
  <c r="Y51" i="67" s="1"/>
  <c r="V35" i="8"/>
  <c r="V37" i="8" s="1"/>
  <c r="I41" i="8"/>
  <c r="R174" i="8"/>
  <c r="M41" i="8"/>
  <c r="P300" i="8"/>
  <c r="P301" i="8" s="1"/>
  <c r="O316" i="8"/>
  <c r="Y319" i="8"/>
  <c r="K89" i="36"/>
  <c r="L81" i="36"/>
  <c r="K82" i="36"/>
  <c r="K88" i="36" s="1"/>
  <c r="S65" i="36"/>
  <c r="R67" i="36"/>
  <c r="R69" i="36" s="1"/>
  <c r="R74" i="36" s="1"/>
  <c r="R76" i="36" s="1"/>
  <c r="J90" i="36"/>
  <c r="J25" i="36" s="1"/>
  <c r="J24" i="36"/>
  <c r="J88" i="36"/>
  <c r="J84" i="36"/>
  <c r="J86" i="36" s="1"/>
  <c r="Q67" i="36"/>
  <c r="Q69" i="36" s="1"/>
  <c r="Q74" i="36" s="1"/>
  <c r="Q76" i="36" s="1"/>
  <c r="G485" i="8" l="1"/>
  <c r="G492" i="8" s="1"/>
  <c r="G501" i="8" s="1"/>
  <c r="G503" i="8" s="1"/>
  <c r="O305" i="8"/>
  <c r="O312" i="8" s="1"/>
  <c r="O323" i="8" s="1"/>
  <c r="I535" i="31"/>
  <c r="P91" i="42"/>
  <c r="E603" i="31" s="1"/>
  <c r="P38" i="42"/>
  <c r="E122" i="31" s="1"/>
  <c r="E252" i="31"/>
  <c r="E254" i="31" s="1"/>
  <c r="E262" i="31" s="1"/>
  <c r="E112" i="31"/>
  <c r="E507" i="31"/>
  <c r="E107" i="31"/>
  <c r="F627" i="31"/>
  <c r="E652" i="31"/>
  <c r="E651" i="31"/>
  <c r="E654" i="31" s="1"/>
  <c r="F626" i="31"/>
  <c r="F629" i="31" s="1"/>
  <c r="J535" i="31"/>
  <c r="F653" i="31"/>
  <c r="H651" i="31"/>
  <c r="H654" i="31" s="1"/>
  <c r="E653" i="31"/>
  <c r="H653" i="31"/>
  <c r="F652" i="31"/>
  <c r="R90" i="23"/>
  <c r="R92" i="23" s="1"/>
  <c r="H257" i="31"/>
  <c r="I616" i="31"/>
  <c r="T97" i="42"/>
  <c r="I583" i="31" s="1"/>
  <c r="T90" i="42"/>
  <c r="G259" i="31"/>
  <c r="G263" i="31" s="1"/>
  <c r="Q24" i="42"/>
  <c r="F105" i="31"/>
  <c r="O90" i="23"/>
  <c r="O92" i="23" s="1"/>
  <c r="O56" i="23"/>
  <c r="E257" i="31"/>
  <c r="S28" i="42"/>
  <c r="S91" i="42"/>
  <c r="H603" i="31" s="1"/>
  <c r="S38" i="42"/>
  <c r="H122" i="31" s="1"/>
  <c r="S75" i="42"/>
  <c r="S78" i="42" s="1"/>
  <c r="H107" i="31"/>
  <c r="E290" i="31"/>
  <c r="E114" i="31"/>
  <c r="I652" i="31"/>
  <c r="I651" i="31"/>
  <c r="I654" i="31" s="1"/>
  <c r="I653" i="31"/>
  <c r="J653" i="31"/>
  <c r="J652" i="31"/>
  <c r="J651" i="31"/>
  <c r="J654" i="31" s="1"/>
  <c r="P42" i="42"/>
  <c r="N42" i="42"/>
  <c r="R42" i="42"/>
  <c r="N465" i="8"/>
  <c r="N476" i="8" s="1"/>
  <c r="Y312" i="8"/>
  <c r="Y313" i="8" s="1"/>
  <c r="AA25" i="8"/>
  <c r="Z312" i="8"/>
  <c r="Z313" i="8" s="1"/>
  <c r="W312" i="8"/>
  <c r="W323" i="8" s="1"/>
  <c r="Z72" i="8"/>
  <c r="Z321" i="8"/>
  <c r="Z74" i="67"/>
  <c r="AA312" i="8"/>
  <c r="AA323" i="8" s="1"/>
  <c r="X68" i="8"/>
  <c r="T301" i="8"/>
  <c r="W68" i="8"/>
  <c r="AA68" i="8"/>
  <c r="X306" i="8"/>
  <c r="X312" i="8"/>
  <c r="X323" i="8" s="1"/>
  <c r="N180" i="8"/>
  <c r="M43" i="8"/>
  <c r="L26" i="67"/>
  <c r="L241" i="8"/>
  <c r="L249" i="8"/>
  <c r="K14" i="73"/>
  <c r="L14" i="73" s="1"/>
  <c r="M14" i="73" s="1"/>
  <c r="N14" i="73" s="1"/>
  <c r="O14" i="73" s="1"/>
  <c r="P14" i="73" s="1"/>
  <c r="Q14" i="73" s="1"/>
  <c r="R14" i="73" s="1"/>
  <c r="S14" i="73" s="1"/>
  <c r="T14" i="73" s="1"/>
  <c r="U14" i="73" s="1"/>
  <c r="V14" i="73" s="1"/>
  <c r="W14" i="73" s="1"/>
  <c r="X14" i="73" s="1"/>
  <c r="Y14" i="73" s="1"/>
  <c r="Z14" i="73" s="1"/>
  <c r="AA14" i="73" s="1"/>
  <c r="Z180" i="8"/>
  <c r="U180" i="8"/>
  <c r="H180" i="8"/>
  <c r="X180" i="8"/>
  <c r="S180" i="8"/>
  <c r="K180" i="8"/>
  <c r="J180" i="8"/>
  <c r="L180" i="8"/>
  <c r="Y180" i="8"/>
  <c r="P180" i="8"/>
  <c r="I180" i="8"/>
  <c r="M180" i="8"/>
  <c r="W180" i="8"/>
  <c r="R180" i="8"/>
  <c r="Q180" i="8"/>
  <c r="V180" i="8"/>
  <c r="T180" i="8"/>
  <c r="AA180" i="8"/>
  <c r="G180" i="8"/>
  <c r="O180" i="8"/>
  <c r="F168" i="3"/>
  <c r="Q231" i="3"/>
  <c r="I231" i="3"/>
  <c r="J3" i="3"/>
  <c r="J481" i="8" s="1"/>
  <c r="I166" i="3"/>
  <c r="I140" i="3"/>
  <c r="I201" i="3"/>
  <c r="I71" i="3"/>
  <c r="R3" i="3"/>
  <c r="R481" i="8" s="1"/>
  <c r="Q166" i="3"/>
  <c r="Q140" i="3"/>
  <c r="Q201" i="3"/>
  <c r="Q71" i="3"/>
  <c r="M45" i="3"/>
  <c r="M53" i="3" s="1"/>
  <c r="M59" i="3" s="1"/>
  <c r="M485" i="8" s="1"/>
  <c r="M492" i="8" s="1"/>
  <c r="M501" i="8" s="1"/>
  <c r="M503" i="8" s="1"/>
  <c r="Y306" i="8"/>
  <c r="H386" i="8"/>
  <c r="Q42" i="42"/>
  <c r="F102" i="36"/>
  <c r="G103" i="36" s="1"/>
  <c r="Q84" i="36"/>
  <c r="Q86" i="36" s="1"/>
  <c r="S312" i="8"/>
  <c r="S313" i="8" s="1"/>
  <c r="Q89" i="36"/>
  <c r="Q90" i="36" s="1"/>
  <c r="Q25" i="36" s="1"/>
  <c r="R81" i="36"/>
  <c r="R89" i="36" s="1"/>
  <c r="Q23" i="36"/>
  <c r="Q27" i="36" s="1"/>
  <c r="Q31" i="36" s="1"/>
  <c r="Q32" i="36" s="1"/>
  <c r="Q77" i="36" s="1"/>
  <c r="U319" i="8"/>
  <c r="U321" i="8" s="1"/>
  <c r="Q305" i="8"/>
  <c r="Q306" i="8" s="1"/>
  <c r="AA35" i="67"/>
  <c r="AA37" i="67" s="1"/>
  <c r="J86" i="8"/>
  <c r="M37" i="67"/>
  <c r="V72" i="8"/>
  <c r="V86" i="8" s="1"/>
  <c r="V43" i="8"/>
  <c r="R312" i="8"/>
  <c r="R323" i="8" s="1"/>
  <c r="W25" i="8"/>
  <c r="O42" i="42"/>
  <c r="T42" i="42"/>
  <c r="T319" i="8"/>
  <c r="T68" i="8" s="1"/>
  <c r="T55" i="67" s="1"/>
  <c r="T58" i="67" s="1"/>
  <c r="T74" i="67" s="1"/>
  <c r="P24" i="36"/>
  <c r="Q29" i="8"/>
  <c r="V35" i="67"/>
  <c r="G90" i="36"/>
  <c r="G25" i="36" s="1"/>
  <c r="P35" i="67"/>
  <c r="O38" i="42"/>
  <c r="D122" i="31" s="1"/>
  <c r="N122" i="31" s="1"/>
  <c r="O28" i="42"/>
  <c r="D107" i="31"/>
  <c r="O91" i="42"/>
  <c r="D603" i="31" s="1"/>
  <c r="D628" i="31"/>
  <c r="D627" i="31"/>
  <c r="T24" i="42"/>
  <c r="I105" i="31"/>
  <c r="R24" i="42"/>
  <c r="G105" i="31"/>
  <c r="H35" i="67"/>
  <c r="H37" i="67" s="1"/>
  <c r="V312" i="8"/>
  <c r="V323" i="8" s="1"/>
  <c r="S72" i="8"/>
  <c r="S86" i="8" s="1"/>
  <c r="L45" i="3"/>
  <c r="L53" i="3" s="1"/>
  <c r="L59" i="3" s="1"/>
  <c r="L485" i="8" s="1"/>
  <c r="L492" i="8" s="1"/>
  <c r="L501" i="8" s="1"/>
  <c r="L503" i="8" s="1"/>
  <c r="H168" i="3"/>
  <c r="H65" i="3"/>
  <c r="H67" i="3" s="1"/>
  <c r="H68" i="3" s="1"/>
  <c r="H143" i="3"/>
  <c r="H163" i="3" s="1"/>
  <c r="G168" i="3"/>
  <c r="F143" i="3"/>
  <c r="J221" i="31"/>
  <c r="O220" i="31"/>
  <c r="K395" i="31" s="1"/>
  <c r="J99" i="3"/>
  <c r="G143" i="3"/>
  <c r="G163" i="3" s="1"/>
  <c r="J20" i="3"/>
  <c r="J21" i="3" s="1"/>
  <c r="J23" i="3" s="1"/>
  <c r="J45" i="3" s="1"/>
  <c r="J53" i="3" s="1"/>
  <c r="J59" i="3" s="1"/>
  <c r="J485" i="8" s="1"/>
  <c r="J492" i="8" s="1"/>
  <c r="J501" i="8" s="1"/>
  <c r="J503" i="8" s="1"/>
  <c r="J108" i="3"/>
  <c r="J115" i="3" s="1"/>
  <c r="J124" i="3" s="1"/>
  <c r="J129" i="3" s="1"/>
  <c r="J132" i="3" s="1"/>
  <c r="J134" i="3" s="1"/>
  <c r="G65" i="3"/>
  <c r="G67" i="3" s="1"/>
  <c r="G136" i="3" s="1"/>
  <c r="K99" i="3"/>
  <c r="K20" i="3"/>
  <c r="K21" i="3" s="1"/>
  <c r="K23" i="3" s="1"/>
  <c r="K45" i="3" s="1"/>
  <c r="K53" i="3" s="1"/>
  <c r="K59" i="3" s="1"/>
  <c r="K108" i="3"/>
  <c r="K115" i="3" s="1"/>
  <c r="K124" i="3" s="1"/>
  <c r="K129" i="3" s="1"/>
  <c r="K132" i="3" s="1"/>
  <c r="K134" i="3" s="1"/>
  <c r="F65" i="3"/>
  <c r="F67" i="3" s="1"/>
  <c r="F68" i="3" s="1"/>
  <c r="I168" i="3"/>
  <c r="I65" i="3"/>
  <c r="I67" i="3" s="1"/>
  <c r="I143" i="3"/>
  <c r="I163" i="3" s="1"/>
  <c r="L132" i="3"/>
  <c r="L134" i="3" s="1"/>
  <c r="M317" i="31"/>
  <c r="M132" i="3"/>
  <c r="M134" i="3" s="1"/>
  <c r="T45" i="34"/>
  <c r="T49" i="34"/>
  <c r="I573" i="31"/>
  <c r="I543" i="31"/>
  <c r="P45" i="34"/>
  <c r="P51" i="34" s="1"/>
  <c r="Q45" i="34"/>
  <c r="Q51" i="34" s="1"/>
  <c r="R45" i="34"/>
  <c r="S45" i="34"/>
  <c r="S51" i="34" s="1"/>
  <c r="R49" i="34"/>
  <c r="P43" i="8"/>
  <c r="F43" i="8"/>
  <c r="Q43" i="8"/>
  <c r="Z306" i="8"/>
  <c r="K35" i="67"/>
  <c r="K37" i="67" s="1"/>
  <c r="Y35" i="67"/>
  <c r="K43" i="8"/>
  <c r="Z35" i="67"/>
  <c r="G96" i="36"/>
  <c r="W35" i="67"/>
  <c r="R35" i="67"/>
  <c r="R37" i="67" s="1"/>
  <c r="G35" i="67"/>
  <c r="G37" i="67" s="1"/>
  <c r="X35" i="67"/>
  <c r="X37" i="67" s="1"/>
  <c r="N35" i="67"/>
  <c r="Q35" i="67"/>
  <c r="O35" i="67"/>
  <c r="F35" i="67"/>
  <c r="F37" i="67" s="1"/>
  <c r="F75" i="67" s="1"/>
  <c r="P104" i="36"/>
  <c r="L35" i="67"/>
  <c r="S35" i="67"/>
  <c r="J35" i="67"/>
  <c r="J37" i="67" s="1"/>
  <c r="Y43" i="8"/>
  <c r="I35" i="67"/>
  <c r="I37" i="67" s="1"/>
  <c r="T35" i="67"/>
  <c r="U43" i="8"/>
  <c r="O321" i="8"/>
  <c r="O68" i="8"/>
  <c r="H89" i="36"/>
  <c r="H82" i="36"/>
  <c r="R43" i="8"/>
  <c r="I102" i="36"/>
  <c r="I96" i="36"/>
  <c r="AA43" i="8"/>
  <c r="P312" i="8"/>
  <c r="P323" i="8" s="1"/>
  <c r="Y29" i="8"/>
  <c r="Y317" i="8"/>
  <c r="X43" i="8"/>
  <c r="O43" i="8"/>
  <c r="T43" i="8"/>
  <c r="W43" i="8"/>
  <c r="L43" i="8"/>
  <c r="N43" i="8"/>
  <c r="W59" i="8"/>
  <c r="W47" i="67" s="1"/>
  <c r="W51" i="67" s="1"/>
  <c r="W321" i="8"/>
  <c r="AA322" i="8"/>
  <c r="O306" i="8"/>
  <c r="Z43" i="8"/>
  <c r="Q23" i="8"/>
  <c r="Q21" i="67" s="1"/>
  <c r="Q23" i="67" s="1"/>
  <c r="Q317" i="8"/>
  <c r="Z64" i="8"/>
  <c r="X59" i="8"/>
  <c r="X47" i="67" s="1"/>
  <c r="X51" i="67" s="1"/>
  <c r="X321" i="8"/>
  <c r="X322" i="8" s="1"/>
  <c r="P306" i="8"/>
  <c r="W306" i="8"/>
  <c r="W29" i="8"/>
  <c r="W25" i="67" s="1"/>
  <c r="W317" i="8"/>
  <c r="P23" i="8"/>
  <c r="P21" i="67" s="1"/>
  <c r="P23" i="67" s="1"/>
  <c r="P317" i="8"/>
  <c r="J43" i="8"/>
  <c r="S29" i="8"/>
  <c r="S25" i="67" s="1"/>
  <c r="S317" i="8"/>
  <c r="S322" i="8" s="1"/>
  <c r="U29" i="8"/>
  <c r="U25" i="67" s="1"/>
  <c r="U37" i="67" s="1"/>
  <c r="U317" i="8"/>
  <c r="S306" i="8"/>
  <c r="V306" i="8"/>
  <c r="N312" i="8"/>
  <c r="Z29" i="8"/>
  <c r="Z25" i="67" s="1"/>
  <c r="Z317" i="8"/>
  <c r="U312" i="8"/>
  <c r="R68" i="8"/>
  <c r="R55" i="67" s="1"/>
  <c r="R58" i="67" s="1"/>
  <c r="R74" i="67" s="1"/>
  <c r="R321" i="8"/>
  <c r="R322" i="8" s="1"/>
  <c r="R64" i="8"/>
  <c r="H43" i="8"/>
  <c r="P59" i="8"/>
  <c r="P47" i="67" s="1"/>
  <c r="P51" i="67" s="1"/>
  <c r="P74" i="67" s="1"/>
  <c r="P321" i="8"/>
  <c r="Y68" i="8"/>
  <c r="Y55" i="67" s="1"/>
  <c r="Y58" i="67" s="1"/>
  <c r="Y74" i="67" s="1"/>
  <c r="Y321" i="8"/>
  <c r="N23" i="8"/>
  <c r="N21" i="67" s="1"/>
  <c r="N23" i="67" s="1"/>
  <c r="N317" i="8"/>
  <c r="T312" i="8"/>
  <c r="O23" i="8"/>
  <c r="O21" i="67" s="1"/>
  <c r="O23" i="67" s="1"/>
  <c r="O317" i="8"/>
  <c r="Y64" i="8"/>
  <c r="N68" i="8"/>
  <c r="N55" i="67" s="1"/>
  <c r="N58" i="67" s="1"/>
  <c r="N74" i="67" s="1"/>
  <c r="N321" i="8"/>
  <c r="T23" i="8"/>
  <c r="T21" i="67" s="1"/>
  <c r="T23" i="67" s="1"/>
  <c r="T317" i="8"/>
  <c r="S43" i="8"/>
  <c r="Q68" i="8"/>
  <c r="Q55" i="67" s="1"/>
  <c r="Q58" i="67" s="1"/>
  <c r="Q74" i="67" s="1"/>
  <c r="Q321" i="8"/>
  <c r="V23" i="8"/>
  <c r="V21" i="67" s="1"/>
  <c r="V23" i="67" s="1"/>
  <c r="V317" i="8"/>
  <c r="V322" i="8" s="1"/>
  <c r="I43" i="8"/>
  <c r="G43" i="8"/>
  <c r="AA64" i="8"/>
  <c r="K84" i="36"/>
  <c r="K86" i="36" s="1"/>
  <c r="J92" i="36"/>
  <c r="J23" i="36"/>
  <c r="J27" i="36" s="1"/>
  <c r="J31" i="36" s="1"/>
  <c r="J32" i="36" s="1"/>
  <c r="J77" i="36" s="1"/>
  <c r="K90" i="36"/>
  <c r="K25" i="36" s="1"/>
  <c r="K24" i="36"/>
  <c r="K23" i="36"/>
  <c r="K27" i="36" s="1"/>
  <c r="K31" i="36" s="1"/>
  <c r="K32" i="36" s="1"/>
  <c r="K77" i="36" s="1"/>
  <c r="K92" i="36"/>
  <c r="Q102" i="36"/>
  <c r="Q104" i="36" s="1"/>
  <c r="Q96" i="36"/>
  <c r="S67" i="36"/>
  <c r="S69" i="36" s="1"/>
  <c r="S74" i="36" s="1"/>
  <c r="S76" i="36" s="1"/>
  <c r="T65" i="36"/>
  <c r="U65" i="36" s="1"/>
  <c r="V65" i="36" s="1"/>
  <c r="W65" i="36" s="1"/>
  <c r="X65" i="36" s="1"/>
  <c r="M81" i="36"/>
  <c r="L89" i="36"/>
  <c r="L82" i="36"/>
  <c r="L88" i="36" s="1"/>
  <c r="K485" i="8" l="1"/>
  <c r="K492" i="8" s="1"/>
  <c r="K501" i="8" s="1"/>
  <c r="K503" i="8" s="1"/>
  <c r="H535" i="31"/>
  <c r="H259" i="31"/>
  <c r="H263" i="31" s="1"/>
  <c r="F107" i="31"/>
  <c r="Q28" i="42"/>
  <c r="Q91" i="42"/>
  <c r="F603" i="31" s="1"/>
  <c r="Q38" i="42"/>
  <c r="F122" i="31" s="1"/>
  <c r="I628" i="31"/>
  <c r="I627" i="31"/>
  <c r="I626" i="31"/>
  <c r="I629" i="31" s="1"/>
  <c r="E259" i="31"/>
  <c r="E263" i="31" s="1"/>
  <c r="E264" i="31" s="1"/>
  <c r="E535" i="31"/>
  <c r="H112" i="31"/>
  <c r="H252" i="31"/>
  <c r="H254" i="31" s="1"/>
  <c r="H262" i="31" s="1"/>
  <c r="H507" i="31"/>
  <c r="S30" i="42"/>
  <c r="S36" i="20"/>
  <c r="S33" i="20" s="1"/>
  <c r="S51" i="20" s="1"/>
  <c r="M33" i="26" s="1"/>
  <c r="T33" i="26" s="1"/>
  <c r="P64" i="23"/>
  <c r="P36" i="20"/>
  <c r="P33" i="20" s="1"/>
  <c r="P38" i="20" s="1"/>
  <c r="P41" i="20" s="1"/>
  <c r="P45" i="20" s="1"/>
  <c r="S64" i="23"/>
  <c r="S65" i="23" s="1"/>
  <c r="R64" i="23"/>
  <c r="R65" i="23" s="1"/>
  <c r="O465" i="8"/>
  <c r="O476" i="8" s="1"/>
  <c r="Z322" i="8"/>
  <c r="Z86" i="8"/>
  <c r="L62" i="3"/>
  <c r="M62" i="3"/>
  <c r="AA313" i="8"/>
  <c r="W55" i="67"/>
  <c r="W58" i="67" s="1"/>
  <c r="W74" i="67" s="1"/>
  <c r="W72" i="8"/>
  <c r="X55" i="67"/>
  <c r="X58" i="67" s="1"/>
  <c r="X74" i="67" s="1"/>
  <c r="X72" i="8"/>
  <c r="AA55" i="67"/>
  <c r="AA58" i="67" s="1"/>
  <c r="AA74" i="67" s="1"/>
  <c r="AA72" i="8"/>
  <c r="AA86" i="8" s="1"/>
  <c r="H175" i="8"/>
  <c r="AA175" i="8"/>
  <c r="J75" i="67"/>
  <c r="H75" i="67"/>
  <c r="L175" i="8"/>
  <c r="W175" i="8"/>
  <c r="U175" i="8"/>
  <c r="M175" i="8"/>
  <c r="S175" i="8"/>
  <c r="N175" i="8"/>
  <c r="T175" i="8"/>
  <c r="G75" i="67"/>
  <c r="I75" i="67"/>
  <c r="K75" i="67"/>
  <c r="M75" i="67"/>
  <c r="L37" i="67"/>
  <c r="K45" i="8"/>
  <c r="K175" i="8"/>
  <c r="V175" i="8"/>
  <c r="O175" i="8"/>
  <c r="X45" i="8"/>
  <c r="X175" i="8"/>
  <c r="F175" i="8"/>
  <c r="J45" i="8"/>
  <c r="J175" i="8"/>
  <c r="P175" i="8"/>
  <c r="Z175" i="8"/>
  <c r="G45" i="8"/>
  <c r="G175" i="8"/>
  <c r="Y175" i="8"/>
  <c r="Q175" i="8"/>
  <c r="I45" i="8"/>
  <c r="I175" i="8"/>
  <c r="R45" i="8"/>
  <c r="R175" i="8"/>
  <c r="Z323" i="8"/>
  <c r="K168" i="3"/>
  <c r="R231" i="3"/>
  <c r="J231" i="3"/>
  <c r="M168" i="3"/>
  <c r="M65" i="3"/>
  <c r="M67" i="3" s="1"/>
  <c r="M68" i="3" s="1"/>
  <c r="S3" i="3"/>
  <c r="S481" i="8" s="1"/>
  <c r="R166" i="3"/>
  <c r="R140" i="3"/>
  <c r="R71" i="3"/>
  <c r="R201" i="3"/>
  <c r="M143" i="3"/>
  <c r="M163" i="3" s="1"/>
  <c r="K3" i="3"/>
  <c r="K481" i="8" s="1"/>
  <c r="J166" i="3"/>
  <c r="J140" i="3"/>
  <c r="J201" i="3"/>
  <c r="J71" i="3"/>
  <c r="I386" i="8"/>
  <c r="J386" i="8" s="1"/>
  <c r="R313" i="8"/>
  <c r="R84" i="36"/>
  <c r="R86" i="36" s="1"/>
  <c r="S81" i="36"/>
  <c r="S84" i="36" s="1"/>
  <c r="S86" i="36" s="1"/>
  <c r="Q312" i="8"/>
  <c r="Q323" i="8" s="1"/>
  <c r="X313" i="8"/>
  <c r="L143" i="3"/>
  <c r="L163" i="3" s="1"/>
  <c r="F136" i="3"/>
  <c r="S323" i="8"/>
  <c r="U68" i="8"/>
  <c r="U55" i="67" s="1"/>
  <c r="U58" i="67" s="1"/>
  <c r="U74" i="67" s="1"/>
  <c r="R82" i="36"/>
  <c r="R88" i="36" s="1"/>
  <c r="R23" i="36" s="1"/>
  <c r="R27" i="36" s="1"/>
  <c r="R31" i="36" s="1"/>
  <c r="R32" i="36" s="1"/>
  <c r="R77" i="36" s="1"/>
  <c r="Q24" i="36"/>
  <c r="Y323" i="8"/>
  <c r="O313" i="8"/>
  <c r="T321" i="8"/>
  <c r="T322" i="8" s="1"/>
  <c r="V313" i="8"/>
  <c r="P37" i="67"/>
  <c r="W37" i="67"/>
  <c r="V37" i="67"/>
  <c r="Q25" i="67"/>
  <c r="Q37" i="67" s="1"/>
  <c r="F45" i="8"/>
  <c r="O37" i="67"/>
  <c r="Z37" i="67"/>
  <c r="T75" i="42"/>
  <c r="T78" i="42" s="1"/>
  <c r="T28" i="42"/>
  <c r="I107" i="31"/>
  <c r="T91" i="42"/>
  <c r="I603" i="31" s="1"/>
  <c r="T38" i="42"/>
  <c r="I122" i="31" s="1"/>
  <c r="R38" i="42"/>
  <c r="G122" i="31" s="1"/>
  <c r="R28" i="42"/>
  <c r="G107" i="31"/>
  <c r="R91" i="42"/>
  <c r="G603" i="31" s="1"/>
  <c r="D112" i="31"/>
  <c r="D252" i="31"/>
  <c r="D254" i="31" s="1"/>
  <c r="D262" i="31" s="1"/>
  <c r="D264" i="31" s="1"/>
  <c r="N264" i="31" s="1"/>
  <c r="O30" i="42"/>
  <c r="D507" i="31"/>
  <c r="L168" i="3"/>
  <c r="L65" i="3"/>
  <c r="L67" i="3" s="1"/>
  <c r="L68" i="3" s="1"/>
  <c r="G68" i="3"/>
  <c r="H136" i="3"/>
  <c r="J168" i="3"/>
  <c r="J143" i="3"/>
  <c r="J163" i="3" s="1"/>
  <c r="J65" i="3"/>
  <c r="J67" i="3" s="1"/>
  <c r="K143" i="3"/>
  <c r="K163" i="3" s="1"/>
  <c r="K65" i="3"/>
  <c r="K67" i="3" s="1"/>
  <c r="K68" i="3" s="1"/>
  <c r="I68" i="3"/>
  <c r="I136" i="3"/>
  <c r="T51" i="34"/>
  <c r="R51" i="34"/>
  <c r="Y45" i="8"/>
  <c r="W313" i="8"/>
  <c r="O322" i="8"/>
  <c r="Y322" i="8"/>
  <c r="N37" i="67"/>
  <c r="S37" i="67"/>
  <c r="T37" i="67"/>
  <c r="AA45" i="8"/>
  <c r="P313" i="8"/>
  <c r="W322" i="8"/>
  <c r="U322" i="8"/>
  <c r="Y25" i="67"/>
  <c r="Y37" i="67" s="1"/>
  <c r="O55" i="67"/>
  <c r="O58" i="67" s="1"/>
  <c r="O74" i="67" s="1"/>
  <c r="O72" i="8"/>
  <c r="O86" i="8" s="1"/>
  <c r="H88" i="36"/>
  <c r="H84" i="36"/>
  <c r="H86" i="36" s="1"/>
  <c r="H24" i="36"/>
  <c r="H90" i="36"/>
  <c r="H25" i="36" s="1"/>
  <c r="R75" i="67"/>
  <c r="L45" i="8"/>
  <c r="Y72" i="8"/>
  <c r="Y86" i="8" s="1"/>
  <c r="U45" i="8"/>
  <c r="Q25" i="8"/>
  <c r="Q45" i="8" s="1"/>
  <c r="Q72" i="8"/>
  <c r="Q86" i="8" s="1"/>
  <c r="N25" i="8"/>
  <c r="N45" i="8" s="1"/>
  <c r="P322" i="8"/>
  <c r="P64" i="8"/>
  <c r="P86" i="8" s="1"/>
  <c r="R72" i="8"/>
  <c r="R86" i="8" s="1"/>
  <c r="P25" i="8"/>
  <c r="P45" i="8" s="1"/>
  <c r="M45" i="8"/>
  <c r="T323" i="8"/>
  <c r="T313" i="8"/>
  <c r="H45" i="8"/>
  <c r="U323" i="8"/>
  <c r="U313" i="8"/>
  <c r="N323" i="8"/>
  <c r="N313" i="8"/>
  <c r="V25" i="8"/>
  <c r="V45" i="8" s="1"/>
  <c r="N72" i="8"/>
  <c r="N86" i="8" s="1"/>
  <c r="X64" i="8"/>
  <c r="T25" i="8"/>
  <c r="T45" i="8" s="1"/>
  <c r="O25" i="8"/>
  <c r="O45" i="8" s="1"/>
  <c r="S45" i="8"/>
  <c r="Q322" i="8"/>
  <c r="W64" i="8"/>
  <c r="N322" i="8"/>
  <c r="W45" i="8"/>
  <c r="T72" i="8"/>
  <c r="T86" i="8" s="1"/>
  <c r="Z45" i="8"/>
  <c r="K102" i="36"/>
  <c r="K96" i="36"/>
  <c r="J96" i="36"/>
  <c r="J102" i="36"/>
  <c r="J103" i="36" s="1"/>
  <c r="L84" i="36"/>
  <c r="L86" i="36" s="1"/>
  <c r="L23" i="36"/>
  <c r="L27" i="36" s="1"/>
  <c r="L31" i="36" s="1"/>
  <c r="L32" i="36" s="1"/>
  <c r="L77" i="36" s="1"/>
  <c r="L92" i="36"/>
  <c r="L24" i="36"/>
  <c r="L90" i="36"/>
  <c r="L25" i="36" s="1"/>
  <c r="M89" i="36"/>
  <c r="M82" i="36"/>
  <c r="M88" i="36" s="1"/>
  <c r="R90" i="36"/>
  <c r="R25" i="36" s="1"/>
  <c r="R24" i="36"/>
  <c r="H264" i="31" l="1"/>
  <c r="F507" i="31"/>
  <c r="Q30" i="42"/>
  <c r="F252" i="31"/>
  <c r="F254" i="31" s="1"/>
  <c r="F262" i="31" s="1"/>
  <c r="F264" i="31" s="1"/>
  <c r="F112" i="31"/>
  <c r="H290" i="31"/>
  <c r="H114" i="31"/>
  <c r="R67" i="23"/>
  <c r="R36" i="20"/>
  <c r="R33" i="20" s="1"/>
  <c r="R38" i="20" s="1"/>
  <c r="R41" i="20" s="1"/>
  <c r="R57" i="20" s="1"/>
  <c r="P57" i="20"/>
  <c r="P44" i="20"/>
  <c r="I460" i="31" s="1"/>
  <c r="P43" i="20"/>
  <c r="I459" i="31" s="1"/>
  <c r="I462" i="31" s="1"/>
  <c r="P55" i="20"/>
  <c r="R9" i="42"/>
  <c r="R10" i="42" s="1"/>
  <c r="S38" i="20"/>
  <c r="S50" i="20" s="1"/>
  <c r="S53" i="20" s="1"/>
  <c r="P67" i="23"/>
  <c r="P65" i="23"/>
  <c r="P9" i="42"/>
  <c r="S9" i="42"/>
  <c r="H92" i="31" s="1"/>
  <c r="R92" i="31" s="1"/>
  <c r="O36" i="20"/>
  <c r="O33" i="20" s="1"/>
  <c r="O38" i="20" s="1"/>
  <c r="O41" i="20" s="1"/>
  <c r="O57" i="20" s="1"/>
  <c r="O64" i="23"/>
  <c r="S67" i="23"/>
  <c r="Q64" i="23"/>
  <c r="Q36" i="20"/>
  <c r="Q33" i="20" s="1"/>
  <c r="Q38" i="20" s="1"/>
  <c r="T64" i="23"/>
  <c r="T36" i="20"/>
  <c r="T33" i="20" s="1"/>
  <c r="P465" i="8"/>
  <c r="P476" i="8" s="1"/>
  <c r="X86" i="8"/>
  <c r="G87" i="8"/>
  <c r="K87" i="8"/>
  <c r="H87" i="8"/>
  <c r="I87" i="8"/>
  <c r="V87" i="8"/>
  <c r="Z87" i="8"/>
  <c r="L87" i="8"/>
  <c r="F87" i="8"/>
  <c r="S87" i="8"/>
  <c r="J87" i="8"/>
  <c r="W86" i="8"/>
  <c r="AA75" i="67"/>
  <c r="X75" i="67"/>
  <c r="AA87" i="8"/>
  <c r="T75" i="67"/>
  <c r="Q75" i="67"/>
  <c r="V75" i="67"/>
  <c r="Y75" i="67"/>
  <c r="S75" i="67"/>
  <c r="Z75" i="67"/>
  <c r="W75" i="67"/>
  <c r="P75" i="67"/>
  <c r="L75" i="67"/>
  <c r="N75" i="67"/>
  <c r="U75" i="67"/>
  <c r="M87" i="8"/>
  <c r="R87" i="8"/>
  <c r="S231" i="3"/>
  <c r="K231" i="3"/>
  <c r="M136" i="3"/>
  <c r="L3" i="3"/>
  <c r="L481" i="8" s="1"/>
  <c r="K71" i="3"/>
  <c r="K166" i="3"/>
  <c r="K201" i="3"/>
  <c r="K140" i="3"/>
  <c r="T3" i="3"/>
  <c r="T481" i="8" s="1"/>
  <c r="S71" i="3"/>
  <c r="S166" i="3"/>
  <c r="S140" i="3"/>
  <c r="S201" i="3"/>
  <c r="S89" i="36"/>
  <c r="S90" i="36" s="1"/>
  <c r="S25" i="36" s="1"/>
  <c r="T81" i="36"/>
  <c r="T84" i="36" s="1"/>
  <c r="T86" i="36" s="1"/>
  <c r="S82" i="36"/>
  <c r="S88" i="36" s="1"/>
  <c r="S92" i="36" s="1"/>
  <c r="Q313" i="8"/>
  <c r="U72" i="8"/>
  <c r="U86" i="8" s="1"/>
  <c r="L136" i="3"/>
  <c r="R92" i="36"/>
  <c r="R96" i="36" s="1"/>
  <c r="O75" i="67"/>
  <c r="I507" i="31"/>
  <c r="T30" i="42"/>
  <c r="I112" i="31"/>
  <c r="I252" i="31"/>
  <c r="I254" i="31" s="1"/>
  <c r="I262" i="31" s="1"/>
  <c r="I264" i="31" s="1"/>
  <c r="G252" i="31"/>
  <c r="G254" i="31" s="1"/>
  <c r="G262" i="31" s="1"/>
  <c r="G264" i="31" s="1"/>
  <c r="R30" i="42"/>
  <c r="G112" i="31"/>
  <c r="G507" i="31"/>
  <c r="D290" i="31"/>
  <c r="D114" i="31"/>
  <c r="I461" i="31"/>
  <c r="P34" i="42"/>
  <c r="K136" i="3"/>
  <c r="J68" i="3"/>
  <c r="J136" i="3"/>
  <c r="Y87" i="8"/>
  <c r="T87" i="8"/>
  <c r="O87" i="8"/>
  <c r="H23" i="36"/>
  <c r="H27" i="36" s="1"/>
  <c r="H31" i="36" s="1"/>
  <c r="H32" i="36" s="1"/>
  <c r="H77" i="36" s="1"/>
  <c r="H92" i="36"/>
  <c r="Q87" i="8"/>
  <c r="K386" i="8"/>
  <c r="N87" i="8"/>
  <c r="P87" i="8"/>
  <c r="M23" i="36"/>
  <c r="M27" i="36" s="1"/>
  <c r="M31" i="36" s="1"/>
  <c r="M32" i="36" s="1"/>
  <c r="M77" i="36" s="1"/>
  <c r="M92" i="36"/>
  <c r="M84" i="36"/>
  <c r="M86" i="36" s="1"/>
  <c r="M24" i="36"/>
  <c r="M90" i="36"/>
  <c r="M25" i="36" s="1"/>
  <c r="K103" i="36"/>
  <c r="L102" i="36"/>
  <c r="L103" i="36" s="1"/>
  <c r="L96" i="36"/>
  <c r="F114" i="31" l="1"/>
  <c r="F290" i="31"/>
  <c r="P46" i="20"/>
  <c r="P32" i="42"/>
  <c r="P35" i="42" s="1"/>
  <c r="E119" i="31" s="1"/>
  <c r="R44" i="20"/>
  <c r="R33" i="42" s="1"/>
  <c r="R43" i="20"/>
  <c r="R32" i="42" s="1"/>
  <c r="R45" i="20"/>
  <c r="R34" i="42" s="1"/>
  <c r="R55" i="20"/>
  <c r="P33" i="42"/>
  <c r="E117" i="31" s="1"/>
  <c r="G92" i="31"/>
  <c r="Q92" i="31" s="1"/>
  <c r="S41" i="20"/>
  <c r="S55" i="20" s="1"/>
  <c r="S10" i="42"/>
  <c r="D63" i="31" s="1"/>
  <c r="M31" i="26"/>
  <c r="M43" i="26" s="1"/>
  <c r="Q32" i="26" s="1"/>
  <c r="T32" i="26" s="1"/>
  <c r="E92" i="31"/>
  <c r="O92" i="31" s="1"/>
  <c r="P10" i="42"/>
  <c r="T38" i="20"/>
  <c r="T51" i="20"/>
  <c r="Q9" i="42"/>
  <c r="Q65" i="23"/>
  <c r="Q67" i="23"/>
  <c r="T67" i="23"/>
  <c r="J123" i="31"/>
  <c r="T65" i="23"/>
  <c r="J124" i="31" s="1"/>
  <c r="N124" i="31" s="1"/>
  <c r="T9" i="42"/>
  <c r="Q41" i="20"/>
  <c r="Q57" i="20" s="1"/>
  <c r="O9" i="42"/>
  <c r="O67" i="23"/>
  <c r="O65" i="23"/>
  <c r="Q465" i="8"/>
  <c r="Q476" i="8" s="1"/>
  <c r="X87" i="8"/>
  <c r="W87" i="8"/>
  <c r="U87" i="8"/>
  <c r="T231" i="3"/>
  <c r="L231" i="3"/>
  <c r="U3" i="3"/>
  <c r="U481" i="8" s="1"/>
  <c r="T71" i="3"/>
  <c r="T201" i="3"/>
  <c r="T166" i="3"/>
  <c r="T140" i="3"/>
  <c r="M3" i="3"/>
  <c r="M481" i="8" s="1"/>
  <c r="L71" i="3"/>
  <c r="L201" i="3"/>
  <c r="L140" i="3"/>
  <c r="L166" i="3"/>
  <c r="T89" i="36"/>
  <c r="T24" i="36" s="1"/>
  <c r="T82" i="36"/>
  <c r="T88" i="36" s="1"/>
  <c r="T92" i="36" s="1"/>
  <c r="U81" i="36"/>
  <c r="U89" i="36" s="1"/>
  <c r="S24" i="36"/>
  <c r="S23" i="36"/>
  <c r="S27" i="36" s="1"/>
  <c r="S31" i="36" s="1"/>
  <c r="S32" i="36" s="1"/>
  <c r="S77" i="36" s="1"/>
  <c r="R102" i="36"/>
  <c r="R104" i="36" s="1"/>
  <c r="I114" i="31"/>
  <c r="I290" i="31"/>
  <c r="G114" i="31"/>
  <c r="G290" i="31"/>
  <c r="E434" i="31"/>
  <c r="E118" i="31"/>
  <c r="H102" i="36"/>
  <c r="H96" i="36"/>
  <c r="L386" i="8"/>
  <c r="M102" i="36"/>
  <c r="M103" i="36" s="1"/>
  <c r="M96" i="36"/>
  <c r="S102" i="36"/>
  <c r="S96" i="36"/>
  <c r="K460" i="31" l="1"/>
  <c r="E116" i="31"/>
  <c r="E433" i="31"/>
  <c r="E432" i="31"/>
  <c r="K461" i="31"/>
  <c r="Q37" i="26"/>
  <c r="T43" i="26"/>
  <c r="M45" i="26"/>
  <c r="T45" i="26" s="1"/>
  <c r="Q36" i="26"/>
  <c r="T36" i="26" s="1"/>
  <c r="S45" i="20"/>
  <c r="L461" i="31" s="1"/>
  <c r="K459" i="31"/>
  <c r="K462" i="31" s="1"/>
  <c r="R46" i="20"/>
  <c r="Q34" i="26"/>
  <c r="T34" i="26" s="1"/>
  <c r="S43" i="20"/>
  <c r="L459" i="31" s="1"/>
  <c r="L462" i="31" s="1"/>
  <c r="S57" i="20"/>
  <c r="S44" i="20"/>
  <c r="S33" i="42" s="1"/>
  <c r="T31" i="26"/>
  <c r="Q55" i="20"/>
  <c r="Q44" i="20"/>
  <c r="J460" i="31" s="1"/>
  <c r="Q45" i="20"/>
  <c r="J461" i="31" s="1"/>
  <c r="Q43" i="20"/>
  <c r="Q46" i="20" s="1"/>
  <c r="O10" i="42"/>
  <c r="D92" i="31"/>
  <c r="N92" i="31" s="1"/>
  <c r="I92" i="31"/>
  <c r="S92" i="31" s="1"/>
  <c r="T10" i="42"/>
  <c r="E63" i="31" s="1"/>
  <c r="Q10" i="42"/>
  <c r="F92" i="31"/>
  <c r="P92" i="31" s="1"/>
  <c r="T41" i="20"/>
  <c r="T43" i="20" s="1"/>
  <c r="T50" i="20"/>
  <c r="T53" i="20" s="1"/>
  <c r="R465" i="8"/>
  <c r="R476" i="8" s="1"/>
  <c r="U231" i="3"/>
  <c r="M231" i="3"/>
  <c r="M140" i="3"/>
  <c r="M166" i="3"/>
  <c r="M71" i="3"/>
  <c r="M201" i="3"/>
  <c r="V3" i="3"/>
  <c r="V481" i="8" s="1"/>
  <c r="U71" i="3"/>
  <c r="U140" i="3"/>
  <c r="U166" i="3"/>
  <c r="U201" i="3"/>
  <c r="T90" i="36"/>
  <c r="T25" i="36" s="1"/>
  <c r="U84" i="36"/>
  <c r="U86" i="36" s="1"/>
  <c r="T23" i="36"/>
  <c r="T27" i="36" s="1"/>
  <c r="T31" i="36" s="1"/>
  <c r="T32" i="36" s="1"/>
  <c r="T77" i="36" s="1"/>
  <c r="U82" i="36"/>
  <c r="U88" i="36" s="1"/>
  <c r="U23" i="36" s="1"/>
  <c r="U27" i="36" s="1"/>
  <c r="U31" i="36" s="1"/>
  <c r="U32" i="36" s="1"/>
  <c r="V81" i="36"/>
  <c r="V84" i="36" s="1"/>
  <c r="V86" i="36" s="1"/>
  <c r="S104" i="36"/>
  <c r="G118" i="31"/>
  <c r="G434" i="31"/>
  <c r="G117" i="31"/>
  <c r="G433" i="31"/>
  <c r="R35" i="42"/>
  <c r="G119" i="31" s="1"/>
  <c r="G432" i="31"/>
  <c r="G116" i="31"/>
  <c r="H103" i="36"/>
  <c r="I103" i="36"/>
  <c r="M386" i="8"/>
  <c r="U90" i="36"/>
  <c r="U25" i="36" s="1"/>
  <c r="U24" i="36"/>
  <c r="T102" i="36"/>
  <c r="T104" i="36" s="1"/>
  <c r="T96" i="36"/>
  <c r="L460" i="31" l="1"/>
  <c r="S34" i="42"/>
  <c r="H118" i="31" s="1"/>
  <c r="Q34" i="42"/>
  <c r="F118" i="31" s="1"/>
  <c r="Q33" i="42"/>
  <c r="F117" i="31" s="1"/>
  <c r="S32" i="42"/>
  <c r="H432" i="31" s="1"/>
  <c r="Q32" i="42"/>
  <c r="Q35" i="42" s="1"/>
  <c r="F119" i="31" s="1"/>
  <c r="S46" i="20"/>
  <c r="J459" i="31"/>
  <c r="J462" i="31" s="1"/>
  <c r="T45" i="20"/>
  <c r="T34" i="42" s="1"/>
  <c r="T57" i="20"/>
  <c r="T44" i="20"/>
  <c r="T33" i="42" s="1"/>
  <c r="T46" i="20"/>
  <c r="T32" i="42"/>
  <c r="T55" i="20"/>
  <c r="S465" i="8"/>
  <c r="S476" i="8" s="1"/>
  <c r="V231" i="3"/>
  <c r="W3" i="3"/>
  <c r="W481" i="8" s="1"/>
  <c r="V166" i="3"/>
  <c r="V201" i="3"/>
  <c r="V140" i="3"/>
  <c r="V71" i="3"/>
  <c r="U92" i="36"/>
  <c r="U102" i="36" s="1"/>
  <c r="U104" i="36" s="1"/>
  <c r="W81" i="36"/>
  <c r="W89" i="36" s="1"/>
  <c r="V82" i="36"/>
  <c r="V88" i="36" s="1"/>
  <c r="V92" i="36" s="1"/>
  <c r="V89" i="36"/>
  <c r="V24" i="36" s="1"/>
  <c r="H433" i="31"/>
  <c r="H117" i="31"/>
  <c r="N386" i="8"/>
  <c r="H434" i="31" l="1"/>
  <c r="F434" i="31"/>
  <c r="F433" i="31"/>
  <c r="F432" i="31"/>
  <c r="F116" i="31"/>
  <c r="H116" i="31"/>
  <c r="S35" i="42"/>
  <c r="H119" i="31" s="1"/>
  <c r="I432" i="31"/>
  <c r="T35" i="42"/>
  <c r="I119" i="31" s="1"/>
  <c r="I116" i="31"/>
  <c r="I433" i="31"/>
  <c r="I117" i="31"/>
  <c r="I118" i="31"/>
  <c r="I434" i="31"/>
  <c r="T465" i="8"/>
  <c r="T476" i="8" s="1"/>
  <c r="W231" i="3"/>
  <c r="X3" i="3"/>
  <c r="X481" i="8" s="1"/>
  <c r="W201" i="3"/>
  <c r="W166" i="3"/>
  <c r="W140" i="3"/>
  <c r="W71" i="3"/>
  <c r="U96" i="36"/>
  <c r="W82" i="36"/>
  <c r="W88" i="36" s="1"/>
  <c r="W92" i="36" s="1"/>
  <c r="X81" i="36"/>
  <c r="X84" i="36" s="1"/>
  <c r="X86" i="36" s="1"/>
  <c r="W84" i="36"/>
  <c r="W86" i="36" s="1"/>
  <c r="V90" i="36"/>
  <c r="V25" i="36" s="1"/>
  <c r="V23" i="36"/>
  <c r="V27" i="36" s="1"/>
  <c r="V31" i="36" s="1"/>
  <c r="V32" i="36" s="1"/>
  <c r="O386" i="8"/>
  <c r="V96" i="36"/>
  <c r="V102" i="36"/>
  <c r="V104" i="36" s="1"/>
  <c r="W24" i="36"/>
  <c r="W90" i="36"/>
  <c r="W25" i="36" s="1"/>
  <c r="U465" i="8" l="1"/>
  <c r="U476" i="8" s="1"/>
  <c r="X231" i="3"/>
  <c r="Y3" i="3"/>
  <c r="Y481" i="8" s="1"/>
  <c r="X140" i="3"/>
  <c r="X201" i="3"/>
  <c r="X71" i="3"/>
  <c r="X166" i="3"/>
  <c r="W23" i="36"/>
  <c r="W27" i="36" s="1"/>
  <c r="W31" i="36" s="1"/>
  <c r="W32" i="36" s="1"/>
  <c r="X82" i="36"/>
  <c r="X88" i="36" s="1"/>
  <c r="X23" i="36" s="1"/>
  <c r="X27" i="36" s="1"/>
  <c r="X31" i="36" s="1"/>
  <c r="X32" i="36" s="1"/>
  <c r="X89" i="36"/>
  <c r="X90" i="36" s="1"/>
  <c r="X25" i="36" s="1"/>
  <c r="P386" i="8"/>
  <c r="W102" i="36"/>
  <c r="W104" i="36" s="1"/>
  <c r="W96" i="36"/>
  <c r="V465" i="8" l="1"/>
  <c r="V476" i="8" s="1"/>
  <c r="Y231" i="3"/>
  <c r="Z3" i="3"/>
  <c r="Z481" i="8" s="1"/>
  <c r="Y166" i="3"/>
  <c r="Y140" i="3"/>
  <c r="Y201" i="3"/>
  <c r="Y71" i="3"/>
  <c r="X24" i="36"/>
  <c r="X92" i="36"/>
  <c r="X102" i="36" s="1"/>
  <c r="X104" i="36" s="1"/>
  <c r="Q386" i="8"/>
  <c r="W465" i="8" l="1"/>
  <c r="W476" i="8" s="1"/>
  <c r="Z231" i="3"/>
  <c r="AA3" i="3"/>
  <c r="AA481" i="8" s="1"/>
  <c r="Z166" i="3"/>
  <c r="Z140" i="3"/>
  <c r="Z71" i="3"/>
  <c r="Z201" i="3"/>
  <c r="X96" i="36"/>
  <c r="R386" i="8"/>
  <c r="X465" i="8" l="1"/>
  <c r="X476" i="8" s="1"/>
  <c r="AB3" i="3"/>
  <c r="AB481" i="8" s="1"/>
  <c r="AA231" i="3"/>
  <c r="AA71" i="3"/>
  <c r="AA166" i="3"/>
  <c r="AA140" i="3"/>
  <c r="AA201" i="3"/>
  <c r="S386" i="8"/>
  <c r="Y465" i="8" l="1"/>
  <c r="Y476" i="8" s="1"/>
  <c r="AB201" i="3"/>
  <c r="AB166" i="3"/>
  <c r="AB71" i="3"/>
  <c r="AB140" i="3"/>
  <c r="AB231" i="3"/>
  <c r="T386" i="8"/>
  <c r="Z465" i="8" l="1"/>
  <c r="Z476" i="8" s="1"/>
  <c r="U386" i="8"/>
  <c r="AA465" i="8" l="1"/>
  <c r="AA476" i="8" s="1"/>
  <c r="V386" i="8"/>
  <c r="AB465" i="8" l="1"/>
  <c r="AB476" i="8" s="1"/>
  <c r="W386" i="8"/>
  <c r="X386" i="8" l="1"/>
  <c r="Y386" i="8" l="1"/>
  <c r="Z386" i="8" l="1"/>
  <c r="AA386" i="8" l="1"/>
  <c r="AB386" i="8" s="1"/>
  <c r="F149" i="3" l="1"/>
  <c r="F161" i="3" s="1"/>
  <c r="F163" i="3" l="1"/>
  <c r="F491" i="8"/>
  <c r="F492" i="8" s="1"/>
  <c r="F501" i="8" s="1"/>
  <c r="F502"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tc={293E689E-060C-4633-81E9-5158135CD58D}</author>
  </authors>
  <commentList>
    <comment ref="I86" authorId="0" shapeId="0" xr:uid="{293E689E-060C-4633-81E9-5158135CD58D}">
      <text>
        <t>[Threaded comment]
Your version of Excel allows you to read this threaded comment; however, any edits to it will get removed if the file is opened in a newer version of Excel. Learn more: https://go.microsoft.com/fwlink/?linkid=870924
Comment:
    P&amp;L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Garth</author>
  </authors>
  <commentList>
    <comment ref="Q45" authorId="0" shapeId="0" xr:uid="{946671D6-D371-4C1C-B2AA-319B05B1BBCD}">
      <text>
        <r>
          <rPr>
            <b/>
            <sz val="9"/>
            <color indexed="81"/>
            <rFont val="Tahoma"/>
            <family val="2"/>
          </rPr>
          <t>Garth:</t>
        </r>
        <r>
          <rPr>
            <sz val="9"/>
            <color indexed="81"/>
            <rFont val="Tahoma"/>
            <family val="2"/>
          </rPr>
          <t xml:space="preserve">
736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Garth</author>
  </authors>
  <commentList>
    <comment ref="Q93" authorId="0" shapeId="0" xr:uid="{A4093EB7-F9D0-4CB5-81B7-E2203BF63941}">
      <text>
        <r>
          <rPr>
            <b/>
            <sz val="9"/>
            <color indexed="81"/>
            <rFont val="Tahoma"/>
            <family val="2"/>
          </rPr>
          <t>Garth:</t>
        </r>
        <r>
          <rPr>
            <sz val="9"/>
            <color indexed="81"/>
            <rFont val="Tahoma"/>
            <family val="2"/>
          </rPr>
          <t xml:space="preserve">
736
</t>
        </r>
      </text>
    </comment>
    <comment ref="M341" authorId="0" shapeId="0" xr:uid="{5D98F768-B54E-4CBC-B41E-EEE3A88E92BD}">
      <text>
        <r>
          <rPr>
            <b/>
            <sz val="9"/>
            <color indexed="81"/>
            <rFont val="Tahoma"/>
            <family val="2"/>
          </rPr>
          <t>Garth:</t>
        </r>
        <r>
          <rPr>
            <sz val="9"/>
            <color indexed="81"/>
            <rFont val="Tahoma"/>
            <family val="2"/>
          </rPr>
          <t xml:space="preserve">
Disposal of Sub</t>
        </r>
      </text>
    </comment>
    <comment ref="Q342" authorId="0" shapeId="0" xr:uid="{57B45489-CEA2-41B2-A698-CE1C86FC539F}">
      <text>
        <r>
          <rPr>
            <b/>
            <sz val="9"/>
            <color indexed="81"/>
            <rFont val="Tahoma"/>
            <family val="2"/>
          </rPr>
          <t>Garth:</t>
        </r>
        <r>
          <rPr>
            <sz val="9"/>
            <color indexed="81"/>
            <rFont val="Tahoma"/>
            <family val="2"/>
          </rPr>
          <t xml:space="preserve">
Depreciation change left in as needs no adjustment offset by change to provision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Garth</author>
  </authors>
  <commentList>
    <comment ref="Q39" authorId="0" shapeId="0" xr:uid="{5A8326F0-4842-4AAE-937C-68872ABA4D8E}">
      <text>
        <r>
          <rPr>
            <b/>
            <sz val="9"/>
            <color indexed="81"/>
            <rFont val="Tahoma"/>
            <family val="2"/>
          </rPr>
          <t>Garth:</t>
        </r>
        <r>
          <rPr>
            <sz val="9"/>
            <color indexed="81"/>
            <rFont val="Tahoma"/>
            <family val="2"/>
          </rPr>
          <t xml:space="preserve">
736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Garth</author>
  </authors>
  <commentList>
    <comment ref="G17" authorId="0" shapeId="0" xr:uid="{00000000-0006-0000-1E00-000001000000}">
      <text>
        <r>
          <rPr>
            <sz val="9"/>
            <color indexed="81"/>
            <rFont val="Tahoma"/>
            <family val="2"/>
          </rPr>
          <t xml:space="preserve">
WACC 
</t>
        </r>
      </text>
    </comment>
  </commentList>
</comments>
</file>

<file path=xl/sharedStrings.xml><?xml version="1.0" encoding="utf-8"?>
<sst xmlns="http://schemas.openxmlformats.org/spreadsheetml/2006/main" count="3121" uniqueCount="1472">
  <si>
    <t>Meridian Energy</t>
  </si>
  <si>
    <t>B</t>
  </si>
  <si>
    <t>Financial Statements</t>
  </si>
  <si>
    <t>June</t>
  </si>
  <si>
    <t>Net Profit After Tax</t>
  </si>
  <si>
    <t>check</t>
  </si>
  <si>
    <t>Total Assets</t>
  </si>
  <si>
    <t>Total Liabilities</t>
  </si>
  <si>
    <t>Net PP&amp;E</t>
  </si>
  <si>
    <t>F117</t>
  </si>
  <si>
    <t>Deferred Tax</t>
  </si>
  <si>
    <t>Net Deferred Tax</t>
  </si>
  <si>
    <t>Derivatives</t>
  </si>
  <si>
    <t>Net Derivatives</t>
  </si>
  <si>
    <t>Meridian Energy Limited</t>
  </si>
  <si>
    <t>Contents</t>
  </si>
  <si>
    <t>Worksheets</t>
  </si>
  <si>
    <t>Notes</t>
  </si>
  <si>
    <t>Economic Profit</t>
  </si>
  <si>
    <t>A</t>
  </si>
  <si>
    <t>TSR</t>
  </si>
  <si>
    <t>Data for Charts</t>
  </si>
  <si>
    <t>Charts</t>
  </si>
  <si>
    <t>Other Comprehensive Income</t>
  </si>
  <si>
    <t>Equity Movements</t>
  </si>
  <si>
    <t>Reconciliation NPAT &amp; Operating Cash Flows</t>
  </si>
  <si>
    <t>Non-cash Items</t>
  </si>
  <si>
    <t>Underlying Net Profit after Tax</t>
  </si>
  <si>
    <t>Other</t>
  </si>
  <si>
    <t>1999 to 2021</t>
  </si>
  <si>
    <t>Income Statements</t>
  </si>
  <si>
    <t>Source: Annual Reports</t>
  </si>
  <si>
    <t>$'000</t>
  </si>
  <si>
    <t>Revenue</t>
  </si>
  <si>
    <t>3 months</t>
  </si>
  <si>
    <t>GAAP (cont.)</t>
  </si>
  <si>
    <t>IFRS mix</t>
  </si>
  <si>
    <t>IFRS (cont.)</t>
  </si>
  <si>
    <t>decimals</t>
  </si>
  <si>
    <t>basis</t>
  </si>
  <si>
    <t>restated</t>
  </si>
  <si>
    <t>Energy Sales</t>
  </si>
  <si>
    <t>Generation net of Hedging</t>
  </si>
  <si>
    <t>Energy Related Services</t>
  </si>
  <si>
    <t>Gain on Sale of Assets</t>
  </si>
  <si>
    <t>Dividend Income</t>
  </si>
  <si>
    <t>Total Revenue</t>
  </si>
  <si>
    <t>Operating Expenses</t>
  </si>
  <si>
    <t>Energy Related Costs, net of Hedging</t>
  </si>
  <si>
    <t>Energy Transmission &amp; Distribution</t>
  </si>
  <si>
    <t>Energy Distribution</t>
  </si>
  <si>
    <t>Energy Transmission</t>
  </si>
  <si>
    <t>Employee Costs</t>
  </si>
  <si>
    <t>Electicity Meter Expense</t>
  </si>
  <si>
    <t>Other Operating Expenses post 2006</t>
  </si>
  <si>
    <t>Other Operating Expenses pre 2007</t>
  </si>
  <si>
    <t>Total Operating Expenses</t>
  </si>
  <si>
    <t>EBITDAF</t>
  </si>
  <si>
    <t>Unrealised Net (Loss)/Gain on Financial Instruments</t>
  </si>
  <si>
    <t>FX Contracts Reclassified to P&amp;L</t>
  </si>
  <si>
    <t>Depreciation</t>
  </si>
  <si>
    <t>Amortisation of Intangibles Assets</t>
  </si>
  <si>
    <t>Impairment PP&amp;E</t>
  </si>
  <si>
    <t>Impairment Available for Sale Invest.</t>
  </si>
  <si>
    <t xml:space="preserve"> </t>
  </si>
  <si>
    <t>Impairment Intangibles</t>
  </si>
  <si>
    <t>Impairment Inventories</t>
  </si>
  <si>
    <t>Impairment Assets</t>
  </si>
  <si>
    <t>Impairment Investments</t>
  </si>
  <si>
    <t>Provisions Costs/Carrying Value</t>
  </si>
  <si>
    <t xml:space="preserve">Operating Lease </t>
  </si>
  <si>
    <t>Gain on Sale of PP&amp;E/Assets/Investments</t>
  </si>
  <si>
    <t>Gain/(Loss)on Sale of PP&amp;E</t>
  </si>
  <si>
    <t>Equity Accounted Earnings of JVs</t>
  </si>
  <si>
    <t>FX gain</t>
  </si>
  <si>
    <t>Asset Sale Related Costs</t>
  </si>
  <si>
    <t xml:space="preserve">Establishment/Reorganisation </t>
  </si>
  <si>
    <t>Total Other Expenses</t>
  </si>
  <si>
    <t>Operating Profit</t>
  </si>
  <si>
    <t>Finance Costs &amp; Other Finance Related Inc/(Exp)</t>
  </si>
  <si>
    <t>Interest Income</t>
  </si>
  <si>
    <t>Total Net Finance Costs</t>
  </si>
  <si>
    <t>Profit Before Tax</t>
  </si>
  <si>
    <t>Income Tax Expense</t>
  </si>
  <si>
    <t>Deferred Tax/Other</t>
  </si>
  <si>
    <t>Profit After Tax</t>
  </si>
  <si>
    <t>Less Net Discontinued Activities</t>
  </si>
  <si>
    <t>Continuing Profit After Tax</t>
  </si>
  <si>
    <t>Attributable to:</t>
  </si>
  <si>
    <t>Shareholders</t>
  </si>
  <si>
    <t>Minority Interest</t>
  </si>
  <si>
    <t>Asset Revaluation</t>
  </si>
  <si>
    <t>Less Deferred Taxation</t>
  </si>
  <si>
    <t>Net Revaluation</t>
  </si>
  <si>
    <t>Effect Corporate Tax Reduction</t>
  </si>
  <si>
    <t>Minority Buyout Whisper Tech</t>
  </si>
  <si>
    <t>Net Gain of Assets held for Sale</t>
  </si>
  <si>
    <t>Net (Loss) Taken to Equity</t>
  </si>
  <si>
    <t>FECs Reclassified to Profit &amp; Loss</t>
  </si>
  <si>
    <t>Net Gain on Cash Flow Hedges</t>
  </si>
  <si>
    <t>FX on Translation Foreign Earnings</t>
  </si>
  <si>
    <t>Deferred TaxationTekapo A&amp;B</t>
  </si>
  <si>
    <t>Deferred Taxation Liability Attrib. to Equity</t>
  </si>
  <si>
    <t>Tax related to Reclassified Items</t>
  </si>
  <si>
    <t>Other Comprohensive Income</t>
  </si>
  <si>
    <t>Total Comprehensive Income</t>
  </si>
  <si>
    <t>NPAT Operating and Non-cash Reconciliations</t>
  </si>
  <si>
    <t>Non-cash Items include</t>
  </si>
  <si>
    <t>Write Off of Stock</t>
  </si>
  <si>
    <t>Amortisation of Debt Revaluation</t>
  </si>
  <si>
    <t>Other Non-cash Items</t>
  </si>
  <si>
    <t>Write Down Investment</t>
  </si>
  <si>
    <t>Write-off Acqua Prior Year Capex</t>
  </si>
  <si>
    <t>Impairment of Inventories</t>
  </si>
  <si>
    <t>Impairment of Investments</t>
  </si>
  <si>
    <t>Impairment PP&amp;E/Assets</t>
  </si>
  <si>
    <t>Depreciation &amp; Amortisation</t>
  </si>
  <si>
    <t>Depreciation Expense</t>
  </si>
  <si>
    <t>Amortisation of Intangibles</t>
  </si>
  <si>
    <t>Loss on Sale Fixed Assets</t>
  </si>
  <si>
    <t>Gain on Disposal of Subsidiary/Assets</t>
  </si>
  <si>
    <t>Stamp Duty Australia</t>
  </si>
  <si>
    <t>Loss /(Gain) on Sale Subsidiary</t>
  </si>
  <si>
    <t>Equity Accounting of Associate/JV</t>
  </si>
  <si>
    <t>Amortisation</t>
  </si>
  <si>
    <t>Unrealised Net Change Fair Value Financial Instruments</t>
  </si>
  <si>
    <t>Electricity Option Premiums</t>
  </si>
  <si>
    <t>Closeout Aluminium Commodity Swap</t>
  </si>
  <si>
    <t>Amortisation Prepaid Debt Facility Fees</t>
  </si>
  <si>
    <t>Gain Recognised on Whisper Tech JV</t>
  </si>
  <si>
    <t>Finance Costs</t>
  </si>
  <si>
    <t>Finance Lease Interest</t>
  </si>
  <si>
    <t>Share-based Payments</t>
  </si>
  <si>
    <t>Total Non-cash Items</t>
  </si>
  <si>
    <t>Net Profit after Tax</t>
  </si>
  <si>
    <t>Underlying Adjustments</t>
  </si>
  <si>
    <t>Hedging Instruments</t>
  </si>
  <si>
    <t>Net Change in FV of Financial Instruments</t>
  </si>
  <si>
    <t>Net Change in FV of Electricity/other Hedges</t>
  </si>
  <si>
    <t>Net Change in FV of Treasury Instruments</t>
  </si>
  <si>
    <t>Premiums Paid Electricity Options net of interest</t>
  </si>
  <si>
    <t>FX Contracts reclassified to P&amp;L</t>
  </si>
  <si>
    <t>Assets</t>
  </si>
  <si>
    <t>Impairment of Assets</t>
  </si>
  <si>
    <t>Total Adjustments before Tax</t>
  </si>
  <si>
    <t>Taxation</t>
  </si>
  <si>
    <t>Tax effect of Adjustments</t>
  </si>
  <si>
    <t>Building Tax Adjustment</t>
  </si>
  <si>
    <t>Realease of Capital Gains Tax Provision</t>
  </si>
  <si>
    <t>Tax Depreciation on Powerhouse Structures</t>
  </si>
  <si>
    <t>Impact Tax Rate Changes</t>
  </si>
  <si>
    <t>Underlying Profit after Tax</t>
  </si>
  <si>
    <t>Implied Tax Rate Effect Adjustments</t>
  </si>
  <si>
    <t>a</t>
  </si>
  <si>
    <t>b</t>
  </si>
  <si>
    <t>difference</t>
  </si>
  <si>
    <t>Retail Service Revenue</t>
  </si>
  <si>
    <t>Arc Innovations</t>
  </si>
  <si>
    <t>Damwatch</t>
  </si>
  <si>
    <t>Miscellaneous</t>
  </si>
  <si>
    <t>Farming</t>
  </si>
  <si>
    <t>Lease Income</t>
  </si>
  <si>
    <t>Total</t>
  </si>
  <si>
    <t xml:space="preserve">Net Financing Cost </t>
  </si>
  <si>
    <t>FX Option Premiums</t>
  </si>
  <si>
    <t>Interest Borrowings</t>
  </si>
  <si>
    <t>Less Capitalised Interest</t>
  </si>
  <si>
    <t>Less Debt Repricing Amortisation</t>
  </si>
  <si>
    <t>Income Statement</t>
  </si>
  <si>
    <t>Generation Structures &amp; Plant</t>
  </si>
  <si>
    <t>Buildings</t>
  </si>
  <si>
    <t>Other Plant &amp; Equipment</t>
  </si>
  <si>
    <t>Resource Consents</t>
  </si>
  <si>
    <t>Freehold Buildings</t>
  </si>
  <si>
    <t>Depreciation, Amortisation &amp; Impairments</t>
  </si>
  <si>
    <t>Audit &amp; Related Fees</t>
  </si>
  <si>
    <t>Directors' Fees</t>
  </si>
  <si>
    <t>FX Loss (Gain)</t>
  </si>
  <si>
    <t>Operating Lease Expenses</t>
  </si>
  <si>
    <t>Other Expense Breakdown</t>
  </si>
  <si>
    <t xml:space="preserve">Operatings Expenses include </t>
  </si>
  <si>
    <t>Depreciation Generation Structures &amp; Plant</t>
  </si>
  <si>
    <t>Depreciation Buildings</t>
  </si>
  <si>
    <t>Depreciation Other  PP&amp;E</t>
  </si>
  <si>
    <t>Depreciation Resource Consents</t>
  </si>
  <si>
    <t>Loss on Sale of Fixed Assets</t>
  </si>
  <si>
    <t>Amortisation Goodwill/Customer Acquisition Costs/Resource Consents</t>
  </si>
  <si>
    <t>Amortisation Goodwill</t>
  </si>
  <si>
    <t>Amortisation of Leases &amp; Licences</t>
  </si>
  <si>
    <t>Amortisation of Patents/Trademarks</t>
  </si>
  <si>
    <t>Amortisation of Derivatives</t>
  </si>
  <si>
    <t>Amortisation Patents/Trademarks</t>
  </si>
  <si>
    <t>Amortisation Licence Agreements</t>
  </si>
  <si>
    <t>Bad Debts w/f</t>
  </si>
  <si>
    <t>Doubtful Debts</t>
  </si>
  <si>
    <t>Provision Carrying Value Investments</t>
  </si>
  <si>
    <t>ProvisionDevelopment Costs Aust. Wind Program</t>
  </si>
  <si>
    <t>Director Fees</t>
  </si>
  <si>
    <t>Audit/Auditor fees</t>
  </si>
  <si>
    <t>Donations</t>
  </si>
  <si>
    <r>
      <t xml:space="preserve"> </t>
    </r>
    <r>
      <rPr>
        <i/>
        <sz val="8"/>
        <rFont val="Arial MT"/>
      </rPr>
      <t xml:space="preserve">  therefore,</t>
    </r>
  </si>
  <si>
    <t>Other Operating Expenses</t>
  </si>
  <si>
    <t>total</t>
  </si>
  <si>
    <t>Other Operating Costs</t>
  </si>
  <si>
    <t>Audit</t>
  </si>
  <si>
    <t>Operating Lease Payments</t>
  </si>
  <si>
    <t>Bad/Doubful Debts</t>
  </si>
  <si>
    <t>Directors Fees</t>
  </si>
  <si>
    <t>Amortisation Intangible Assets/Goodwill</t>
  </si>
  <si>
    <t>Amortisation Leases &amp; Licences</t>
  </si>
  <si>
    <t>Loss on Sale PP&amp;E</t>
  </si>
  <si>
    <t>Financing Costs</t>
  </si>
  <si>
    <t>Net Change Fair Value Financing Derivatives</t>
  </si>
  <si>
    <t>Associates Equity Profits</t>
  </si>
  <si>
    <t>Project Aqua write off</t>
  </si>
  <si>
    <t>Gain on Disposal Subsidiary/Assets</t>
  </si>
  <si>
    <t>Current Tax</t>
  </si>
  <si>
    <t>Discontinued Net Surplus After Tax</t>
  </si>
  <si>
    <t>Dividend</t>
  </si>
  <si>
    <t>To Retained Earnings</t>
  </si>
  <si>
    <t>check NPAT</t>
  </si>
  <si>
    <t>Discontinuing Activities</t>
  </si>
  <si>
    <t>Land Leases</t>
  </si>
  <si>
    <t>Licences</t>
  </si>
  <si>
    <t>year</t>
  </si>
  <si>
    <t>Discont.</t>
  </si>
  <si>
    <t>Continued</t>
  </si>
  <si>
    <t>Discontinued</t>
  </si>
  <si>
    <t>Expenses</t>
  </si>
  <si>
    <t>Finance</t>
  </si>
  <si>
    <t>Tax</t>
  </si>
  <si>
    <t>NPAT</t>
  </si>
  <si>
    <t>should be</t>
  </si>
  <si>
    <t>but</t>
  </si>
  <si>
    <t>Unexplained</t>
  </si>
  <si>
    <t>Net Surplus from Continuing Activities</t>
  </si>
  <si>
    <t>Net Surplus from Discontinuing Activities (deficit)</t>
  </si>
  <si>
    <t>Revenue from Continuing Activities</t>
  </si>
  <si>
    <t>Revenue from Discontinuing Activities</t>
  </si>
  <si>
    <t>Financing Costs from Continuing Activities</t>
  </si>
  <si>
    <t>Financing Costs from Discontinuing Activities</t>
  </si>
  <si>
    <t>Tax Attributable to Continuing Activities</t>
  </si>
  <si>
    <t>Tax Attributable to Discontinuing Activities</t>
  </si>
  <si>
    <t>Movements in Equity</t>
  </si>
  <si>
    <t>Total Equity year end</t>
  </si>
  <si>
    <t>Net Profit</t>
  </si>
  <si>
    <t>Asset Revaluatrion</t>
  </si>
  <si>
    <t>Net Gains Cash Flow Hedges (loss)</t>
  </si>
  <si>
    <t>Translation FX Differences</t>
  </si>
  <si>
    <t>Income Tax related to Comprehensive Income</t>
  </si>
  <si>
    <t>Total Other Comprehensive Income, net of Tax</t>
  </si>
  <si>
    <t>NZIFRS Adjustment 1 July 2006</t>
  </si>
  <si>
    <t>Recognition Minority Int. on Acquisition CE</t>
  </si>
  <si>
    <t>Post Acquisition of CE</t>
  </si>
  <si>
    <t>Restatement New Accounting Policies</t>
  </si>
  <si>
    <t>Share-based Transactions</t>
  </si>
  <si>
    <t>Dividend Paid</t>
  </si>
  <si>
    <t>Taken to Revaluation Reserve</t>
  </si>
  <si>
    <t>Cash Flows</t>
  </si>
  <si>
    <t>Statement of Cash Flows</t>
  </si>
  <si>
    <t>Operating Activities</t>
  </si>
  <si>
    <t>Cash from</t>
  </si>
  <si>
    <t>Net GST Receipts</t>
  </si>
  <si>
    <t>Interest Received</t>
  </si>
  <si>
    <t>Dividends Received</t>
  </si>
  <si>
    <t>Cash applied to</t>
  </si>
  <si>
    <t>Interest Paid</t>
  </si>
  <si>
    <t>Income Tax Paid</t>
  </si>
  <si>
    <t>Payments to Suppliers/Employees</t>
  </si>
  <si>
    <t>Operating Net Cash Flows</t>
  </si>
  <si>
    <t>Investing Activities</t>
  </si>
  <si>
    <t>Disposal of Subsidiary</t>
  </si>
  <si>
    <t>Sale PP&amp;E</t>
  </si>
  <si>
    <t>Sale of Investments</t>
  </si>
  <si>
    <t>Purchase of PP&amp;E</t>
  </si>
  <si>
    <t>Capitalised Interest</t>
  </si>
  <si>
    <t>Acquistion Controlled Entities</t>
  </si>
  <si>
    <t>Purchase of Intangible Assets</t>
  </si>
  <si>
    <t>Purchase Subsidiary</t>
  </si>
  <si>
    <t>Investing Net Cash Flows</t>
  </si>
  <si>
    <t>Financing Activities</t>
  </si>
  <si>
    <t>Term Borrowing Drawn</t>
  </si>
  <si>
    <t>Term Borrowing Repaid</t>
  </si>
  <si>
    <t>Lease Liabilities Repaid</t>
  </si>
  <si>
    <t>Shares Purchased for Long-term Incentive</t>
  </si>
  <si>
    <t>Financing Net Cash Flows</t>
  </si>
  <si>
    <t>Net Increase /(decrease) in Cash Held</t>
  </si>
  <si>
    <t>Cash &amp; Cash Equivalents at Beginning of year</t>
  </si>
  <si>
    <t>Cash &amp; Cash Equivalents at End of year</t>
  </si>
  <si>
    <t>GAAP</t>
  </si>
  <si>
    <t>NZIFRS</t>
  </si>
  <si>
    <t>IFRS</t>
  </si>
  <si>
    <t>Bank</t>
  </si>
  <si>
    <t>Restricted Cash Deposit</t>
  </si>
  <si>
    <t>Accounts Receivable/Prepay</t>
  </si>
  <si>
    <t>Prov for Doubtful Debts/Credit Loss Allowance</t>
  </si>
  <si>
    <t>Net Receivables</t>
  </si>
  <si>
    <t>Prepayments</t>
  </si>
  <si>
    <t>Customer Contract Assets</t>
  </si>
  <si>
    <t>Inventories- Spares &amp; Stores</t>
  </si>
  <si>
    <t>Provision for Obsolescence</t>
  </si>
  <si>
    <t>Other Assets</t>
  </si>
  <si>
    <t>Finance Lease Receivable</t>
  </si>
  <si>
    <t>Current Tax Receivable</t>
  </si>
  <si>
    <t>Convertible Notes</t>
  </si>
  <si>
    <t>Assets Held for Resale</t>
  </si>
  <si>
    <t>Investments/Con Notes/Associates/Equity acct</t>
  </si>
  <si>
    <t>Loans Receivable</t>
  </si>
  <si>
    <t>Prepayments/Other</t>
  </si>
  <si>
    <t>Operating Derivatives</t>
  </si>
  <si>
    <t>Customer Acquistion Costs Net</t>
  </si>
  <si>
    <t>Investments Assets for Sale</t>
  </si>
  <si>
    <t>Equity Accounted JV</t>
  </si>
  <si>
    <t>Financing Derivatives</t>
  </si>
  <si>
    <t>Intangible Assets</t>
  </si>
  <si>
    <t>Deferred Tax Asset</t>
  </si>
  <si>
    <t>Other Plant, Property &amp; Equipment</t>
  </si>
  <si>
    <t>Gross PP&amp;E</t>
  </si>
  <si>
    <t>Capital Work in Progress</t>
  </si>
  <si>
    <t>Gross PP&amp;E+CWIP</t>
  </si>
  <si>
    <t>Accum. Dep/Amort Gen+Structures+Plant+CWIP</t>
  </si>
  <si>
    <t>Accum. Depreciation/Amort Other</t>
  </si>
  <si>
    <t>Total Depreciation/Amortisation</t>
  </si>
  <si>
    <t>TOTAL</t>
  </si>
  <si>
    <t>Liabilities &amp; Equity</t>
  </si>
  <si>
    <t>Equity and Liabilities</t>
  </si>
  <si>
    <t>Trade Creditors &amp; Accruals</t>
  </si>
  <si>
    <t>Employee Entitlements</t>
  </si>
  <si>
    <t>Unearned Income</t>
  </si>
  <si>
    <t>Deferred Consideration</t>
  </si>
  <si>
    <t>Customer Contract Liabilities</t>
  </si>
  <si>
    <t>Accrued Expenses/Other</t>
  </si>
  <si>
    <t>Finance Lease Payable</t>
  </si>
  <si>
    <t>GST</t>
  </si>
  <si>
    <t>Provisions</t>
  </si>
  <si>
    <t>Current Tax Payable</t>
  </si>
  <si>
    <t>Liabilities classified as Held for Sale</t>
  </si>
  <si>
    <t>Provision for Dividend</t>
  </si>
  <si>
    <t>Current Term Borrowings</t>
  </si>
  <si>
    <t>Term Payables</t>
  </si>
  <si>
    <t>Finance Lease Liability</t>
  </si>
  <si>
    <t>Term Borrowings</t>
  </si>
  <si>
    <t>Share Capital</t>
  </si>
  <si>
    <t>Revaluation Reserve</t>
  </si>
  <si>
    <t>Share Option Reserve</t>
  </si>
  <si>
    <t>FX Translation</t>
  </si>
  <si>
    <t>Cash Flow Hedge Reserve</t>
  </si>
  <si>
    <t>Available For Sale Reserve</t>
  </si>
  <si>
    <t>Retained Earning\Other</t>
  </si>
  <si>
    <t>Equity</t>
  </si>
  <si>
    <t>Minority Interests</t>
  </si>
  <si>
    <t>Options Vested Whisper Tech</t>
  </si>
  <si>
    <t>Total Equity</t>
  </si>
  <si>
    <t>Plant, Property &amp; Equipment</t>
  </si>
  <si>
    <t>Property, Plant &amp; Equipment</t>
  </si>
  <si>
    <r>
      <rPr>
        <i/>
        <sz val="8"/>
        <rFont val="Arial MT"/>
      </rPr>
      <t>less</t>
    </r>
    <r>
      <rPr>
        <sz val="8"/>
        <rFont val="Arial MT"/>
      </rPr>
      <t xml:space="preserve"> accum Depreciation</t>
    </r>
  </si>
  <si>
    <t>Net Generation Structures &amp; Plant</t>
  </si>
  <si>
    <t>Freehold Land</t>
  </si>
  <si>
    <t>Leasehold Land</t>
  </si>
  <si>
    <r>
      <rPr>
        <i/>
        <sz val="8"/>
        <rFont val="Arial MT"/>
      </rPr>
      <t>less</t>
    </r>
    <r>
      <rPr>
        <sz val="8"/>
        <rFont val="Arial MT"/>
      </rPr>
      <t xml:space="preserve"> accum. Amortisation</t>
    </r>
  </si>
  <si>
    <t>Land &amp; Buildings</t>
  </si>
  <si>
    <t>Net Land &amp; Building</t>
  </si>
  <si>
    <t>Right of Use Assets</t>
  </si>
  <si>
    <t>Net Right of Use Assets</t>
  </si>
  <si>
    <r>
      <rPr>
        <i/>
        <sz val="8"/>
        <rFont val="Arial MT"/>
      </rPr>
      <t xml:space="preserve">less accum </t>
    </r>
    <r>
      <rPr>
        <sz val="8"/>
        <rFont val="Arial MT"/>
      </rPr>
      <t>Amortisation</t>
    </r>
  </si>
  <si>
    <t>Net Resource Consents</t>
  </si>
  <si>
    <r>
      <rPr>
        <i/>
        <sz val="8"/>
        <rFont val="Arial MT"/>
      </rPr>
      <t>less</t>
    </r>
    <r>
      <rPr>
        <sz val="8"/>
        <rFont val="Arial MT"/>
      </rPr>
      <t xml:space="preserve"> accum. Depreciation</t>
    </r>
  </si>
  <si>
    <t>Net Capital WIP</t>
  </si>
  <si>
    <t>Summary PP&amp;E</t>
  </si>
  <si>
    <t>Total Cost at Fair Value</t>
  </si>
  <si>
    <t>Gross PP&amp;E &amp; Capital WIP</t>
  </si>
  <si>
    <t>Capital WIP</t>
  </si>
  <si>
    <r>
      <rPr>
        <i/>
        <sz val="8"/>
        <rFont val="Arial MT"/>
      </rPr>
      <t>less</t>
    </r>
    <r>
      <rPr>
        <sz val="8"/>
        <rFont val="Arial MT"/>
      </rPr>
      <t xml:space="preserve"> accum Depreciation &amp; Amortisation</t>
    </r>
  </si>
  <si>
    <t>Gen. Structures, Plant &amp; Cwip</t>
  </si>
  <si>
    <t xml:space="preserve">Other </t>
  </si>
  <si>
    <t xml:space="preserve">Total Accum Depreciation &amp; Amortisation </t>
  </si>
  <si>
    <t>Net Book Value at Fair Value</t>
  </si>
  <si>
    <t>Historic Cost</t>
  </si>
  <si>
    <t>Historic Cost Disclosed 2007-2020</t>
  </si>
  <si>
    <t>Inferred change PP&amp;E at Fair Value</t>
  </si>
  <si>
    <t>Investment</t>
  </si>
  <si>
    <t xml:space="preserve">Stay in Business </t>
  </si>
  <si>
    <t>Restricted Cash</t>
  </si>
  <si>
    <t>Intangibles</t>
  </si>
  <si>
    <t>Software</t>
  </si>
  <si>
    <t>Less accum. Amortisation</t>
  </si>
  <si>
    <t>Goodwill</t>
  </si>
  <si>
    <t>Fair Value adj.</t>
  </si>
  <si>
    <t>Licence Agreement</t>
  </si>
  <si>
    <t>less accum Amortisation</t>
  </si>
  <si>
    <t>Net</t>
  </si>
  <si>
    <t>Patents &amp; Trademarks</t>
  </si>
  <si>
    <t>Customer Acquisition Costs</t>
  </si>
  <si>
    <t>Derivatives Acquisition Southern Hydro</t>
  </si>
  <si>
    <t>Total Net Intangible Assets</t>
  </si>
  <si>
    <t>Gross Intangible Assets</t>
  </si>
  <si>
    <t>Less Fair Value Adjustment</t>
  </si>
  <si>
    <t>Net Intangible Assets</t>
  </si>
  <si>
    <t>plus, Derivatives Acquisition Southern Hydro</t>
  </si>
  <si>
    <t>Total Net Intangibles</t>
  </si>
  <si>
    <t>Fair Value on Balance Sheet</t>
  </si>
  <si>
    <t>Liabilities</t>
  </si>
  <si>
    <t>Treasury Hedges</t>
  </si>
  <si>
    <t>Interest,Basis/Margin, FX Risk</t>
  </si>
  <si>
    <t>Cash Flow Hedge</t>
  </si>
  <si>
    <t>IRS</t>
  </si>
  <si>
    <t>FX CCIRS</t>
  </si>
  <si>
    <t>CfDs</t>
  </si>
  <si>
    <t>Net Treasury Derivatives</t>
  </si>
  <si>
    <t>Electricity Related Hedges</t>
  </si>
  <si>
    <t>Market Electricity &amp; Other Hedges</t>
  </si>
  <si>
    <t>Other Hedges</t>
  </si>
  <si>
    <t>Electricity Options</t>
  </si>
  <si>
    <t>LGCs</t>
  </si>
  <si>
    <t>Net Electicity Derivatives</t>
  </si>
  <si>
    <t>Summaries</t>
  </si>
  <si>
    <t>Total Hegde Assets</t>
  </si>
  <si>
    <t>Total Hedge Liabilities</t>
  </si>
  <si>
    <t>Net Electricity</t>
  </si>
  <si>
    <t>Treasury</t>
  </si>
  <si>
    <t>Electricity</t>
  </si>
  <si>
    <t>Net Electricity Hedges</t>
  </si>
  <si>
    <t>Net Position</t>
  </si>
  <si>
    <t>Fair Value Movements in Income Statement</t>
  </si>
  <si>
    <t>Treasury Hedges (+gain)</t>
  </si>
  <si>
    <t>Electricity Related Hedges (+gain)</t>
  </si>
  <si>
    <t xml:space="preserve">Liabilities: Derivatives </t>
  </si>
  <si>
    <t>Energy</t>
  </si>
  <si>
    <t>Current due next year</t>
  </si>
  <si>
    <t xml:space="preserve">Assets: Derivatives </t>
  </si>
  <si>
    <t xml:space="preserve"> … Not disclosed or split …</t>
  </si>
  <si>
    <t>Deferred Tax Liabilities</t>
  </si>
  <si>
    <t>Bal. Beg</t>
  </si>
  <si>
    <t>Deferred Tax Assets</t>
  </si>
  <si>
    <t>Temporary Difference Recognised in</t>
  </si>
  <si>
    <t>On Surplus</t>
  </si>
  <si>
    <t>Adj fair value review</t>
  </si>
  <si>
    <t>Acquired</t>
  </si>
  <si>
    <t>Tekapo A &amp; B Sale/Disposal</t>
  </si>
  <si>
    <t>Corporate Rate Tax Reduction</t>
  </si>
  <si>
    <t>Deferred Tax Written Off Carried Forward Losses</t>
  </si>
  <si>
    <t>Building Tax Depreciation Change</t>
  </si>
  <si>
    <t>Other Comprehensive Inc.</t>
  </si>
  <si>
    <t>Deferred Tax on Revaluation Reserve</t>
  </si>
  <si>
    <t>Tekapo A &amp; B Sale Equity</t>
  </si>
  <si>
    <t>c</t>
  </si>
  <si>
    <t>Available for Sale Reserve</t>
  </si>
  <si>
    <t>d</t>
  </si>
  <si>
    <t>Transfer to Current Tax Payable Tekapo A &amp; B Sale</t>
  </si>
  <si>
    <t>Effect of Retransferring Foreign Opening Balances</t>
  </si>
  <si>
    <t>Effect of Sale of Subsidiaries</t>
  </si>
  <si>
    <t>Effect Building Tax Depreciation Charge</t>
  </si>
  <si>
    <t>Effect IFRS Transition</t>
  </si>
  <si>
    <t>e</t>
  </si>
  <si>
    <t>Adjustments of Deferred Tax Prior Years</t>
  </si>
  <si>
    <t>Total Other</t>
  </si>
  <si>
    <t>Cumulative Total Deferred Tax Liability</t>
  </si>
  <si>
    <t>Balance Sheet</t>
  </si>
  <si>
    <t>Year end</t>
  </si>
  <si>
    <t>Deferred Tax Split by Category</t>
  </si>
  <si>
    <t>PP&amp;E</t>
  </si>
  <si>
    <t>Fair Value Generation Assets</t>
  </si>
  <si>
    <t>Total Generation PP&amp;E</t>
  </si>
  <si>
    <t>Financial Instruments</t>
  </si>
  <si>
    <t>Consumer Contracts</t>
  </si>
  <si>
    <t>Net DT</t>
  </si>
  <si>
    <t>Deferred Tax Asset actual</t>
  </si>
  <si>
    <t>Carried Forward Losses</t>
  </si>
  <si>
    <t>AU</t>
  </si>
  <si>
    <t>Deferred Tax Liability</t>
  </si>
  <si>
    <t>Movement</t>
  </si>
  <si>
    <t>Temporary Differences</t>
  </si>
  <si>
    <t>Controlled Entities</t>
  </si>
  <si>
    <t>Deferred Tax related to Equity</t>
  </si>
  <si>
    <t>Tax Rate Reduction on Deferred Tax</t>
  </si>
  <si>
    <t>Revaluation Change Taken to Income Statement</t>
  </si>
  <si>
    <t xml:space="preserve">Tax Related to Comprehensive Income </t>
  </si>
  <si>
    <t>Deferred Tax Transferred to RE Tekapo Sale</t>
  </si>
  <si>
    <t>Deferred Tax on Revaluation Reserves</t>
  </si>
  <si>
    <t>Asset Revaluation Reserve transferred to Retained Earnings</t>
  </si>
  <si>
    <t>Revaluation Reserve Balance</t>
  </si>
  <si>
    <t>Revaluation</t>
  </si>
  <si>
    <t>Deferred Tax by Category</t>
  </si>
  <si>
    <t>PP&amp;E - Revaluation</t>
  </si>
  <si>
    <t>Accelerated Depreciation/Amortisation</t>
  </si>
  <si>
    <t>Other - Payables &amp; Receivables</t>
  </si>
  <si>
    <t>Total Deferred Tax</t>
  </si>
  <si>
    <t>Temporary Differences Iincome Statement</t>
  </si>
  <si>
    <t>Temporary Differences Equity</t>
  </si>
  <si>
    <t>Temporary Differences Goodwill</t>
  </si>
  <si>
    <t>Effect Tax Rate Reduction</t>
  </si>
  <si>
    <t>Effect Tax Rate Reduction Revaluation</t>
  </si>
  <si>
    <t>Effect Tax Rate Reduction Cash Flow Hedge</t>
  </si>
  <si>
    <t>Effect Tax Rate Reduction Goodwill</t>
  </si>
  <si>
    <t>Effect Tax Rate Reduction Available For Sale Assets</t>
  </si>
  <si>
    <t>Deferred Tax On Surplus</t>
  </si>
  <si>
    <t>Total Deferred Tax Liability</t>
  </si>
  <si>
    <t>Unused Tax Losses/Other</t>
  </si>
  <si>
    <t>Deferred Income/Other</t>
  </si>
  <si>
    <t>Offset</t>
  </si>
  <si>
    <t>DT Liabilities Movement</t>
  </si>
  <si>
    <t>Revaluation Reserve Movement</t>
  </si>
  <si>
    <t>Depreciation/Amortisation</t>
  </si>
  <si>
    <t>PP&amp;E Revaluations</t>
  </si>
  <si>
    <t>Revaluations</t>
  </si>
  <si>
    <t>tax rate</t>
  </si>
  <si>
    <t>percent</t>
  </si>
  <si>
    <t>NZIFRS Effects 2006 - 2007</t>
  </si>
  <si>
    <t>XX</t>
  </si>
  <si>
    <t>NZIFRS Transition</t>
  </si>
  <si>
    <t>NZIFRS Transition Effects: Balance Sheet</t>
  </si>
  <si>
    <r>
      <t xml:space="preserve">Source: </t>
    </r>
    <r>
      <rPr>
        <b/>
        <sz val="8"/>
        <rFont val="Arial MT"/>
      </rPr>
      <t>200</t>
    </r>
    <r>
      <rPr>
        <sz val="8"/>
        <rFont val="Arial MT"/>
      </rPr>
      <t>6 Annual Report Note 15.</t>
    </r>
  </si>
  <si>
    <t>Under</t>
  </si>
  <si>
    <t>Transition</t>
  </si>
  <si>
    <t>Derivative Financial Instruments</t>
  </si>
  <si>
    <t>Shareholders' Equity</t>
  </si>
  <si>
    <t>Investments</t>
  </si>
  <si>
    <t>FX Currency Translation Reserve</t>
  </si>
  <si>
    <t>Available for Sale Assets</t>
  </si>
  <si>
    <t>Retained Earnings</t>
  </si>
  <si>
    <t>Other Liabilities</t>
  </si>
  <si>
    <t>Accts Receivable &amp; Prepayments</t>
  </si>
  <si>
    <t>Net Assets</t>
  </si>
  <si>
    <t>Investments in Associates</t>
  </si>
  <si>
    <t>Term Borrowing</t>
  </si>
  <si>
    <t>change</t>
  </si>
  <si>
    <t>NZIFRS Transition Effects: Income Statement</t>
  </si>
  <si>
    <t>Operating Revenue</t>
  </si>
  <si>
    <t>Earnings Before Interest, Tax, Depreciation, Amortisation and Fiinancial Instrumments (EBITDAF)</t>
  </si>
  <si>
    <t>Unrealised Net Gain on Financial Instruments</t>
  </si>
  <si>
    <t>Gain on Sale of PP&amp;E</t>
  </si>
  <si>
    <t>Loss on Sale of PP&amp;E</t>
  </si>
  <si>
    <t>Finance Costs and Other Financial Income (Expenses)</t>
  </si>
  <si>
    <t>Unrealised Net Gain onFinacial Instruments</t>
  </si>
  <si>
    <t>Income Tax</t>
  </si>
  <si>
    <t>?</t>
  </si>
  <si>
    <t>Accum. Depreciation</t>
  </si>
  <si>
    <t>Depreciation Actual</t>
  </si>
  <si>
    <t>acct</t>
  </si>
  <si>
    <t>tax</t>
  </si>
  <si>
    <t>Net Inventories</t>
  </si>
  <si>
    <t>Customer Acquistion Costs</t>
  </si>
  <si>
    <t>Trade Creditors &amp; Accruals/Lease</t>
  </si>
  <si>
    <t>Provisions/OtherLiabilities</t>
  </si>
  <si>
    <t>Deferred Tax actual</t>
  </si>
  <si>
    <t>Deferred Tax adj</t>
  </si>
  <si>
    <t>Revaluation Reserve actual</t>
  </si>
  <si>
    <t>Revaluation Accum Depreciation adj</t>
  </si>
  <si>
    <t>Retained Earnings/Other</t>
  </si>
  <si>
    <t>Fin Stat FINMOD</t>
  </si>
  <si>
    <t>old</t>
  </si>
  <si>
    <t>Financial Statement</t>
  </si>
  <si>
    <t>FX Translation Reserve</t>
  </si>
  <si>
    <t>Balance</t>
  </si>
  <si>
    <t>$m</t>
  </si>
  <si>
    <t>EBIT</t>
  </si>
  <si>
    <t>Debt</t>
  </si>
  <si>
    <t>Net Working Capital</t>
  </si>
  <si>
    <t>Dividends</t>
  </si>
  <si>
    <t>Transactions</t>
  </si>
  <si>
    <t>Meridian Energy Australia</t>
  </si>
  <si>
    <t>Acquistion</t>
  </si>
  <si>
    <t>Bank Balances</t>
  </si>
  <si>
    <t>Accounts Receivable</t>
  </si>
  <si>
    <t>Other Current Assets</t>
  </si>
  <si>
    <t>Payables/Accruals</t>
  </si>
  <si>
    <t>Cash Paid</t>
  </si>
  <si>
    <t>Southern Hydro</t>
  </si>
  <si>
    <t>Disposal</t>
  </si>
  <si>
    <r>
      <rPr>
        <b/>
        <i/>
        <sz val="10"/>
        <rFont val="Arial MT"/>
      </rPr>
      <t>DRC valuation</t>
    </r>
    <r>
      <rPr>
        <i/>
        <sz val="10"/>
        <rFont val="Arial MT"/>
      </rPr>
      <t xml:space="preserve"> Sinclair Knight</t>
    </r>
  </si>
  <si>
    <t xml:space="preserve"> 30 April 2003</t>
  </si>
  <si>
    <t xml:space="preserve"> 30 November 2005</t>
  </si>
  <si>
    <t>Accounts Receviable</t>
  </si>
  <si>
    <t>Other Current  Assets</t>
  </si>
  <si>
    <t>Payables &amp; Accruals</t>
  </si>
  <si>
    <t>Net Assets Acquired/Disposed</t>
  </si>
  <si>
    <t>Gain on Disposal</t>
  </si>
  <si>
    <t>Proceeds Received</t>
  </si>
  <si>
    <t>Cash Disposed with Subsidiary</t>
  </si>
  <si>
    <t>Net Cash Received</t>
  </si>
  <si>
    <t>Energy For Industry Limited</t>
  </si>
  <si>
    <t>Cash &amp; Equivalents</t>
  </si>
  <si>
    <t>Accounts Receivable &amp; Prepayments</t>
  </si>
  <si>
    <t>Inventories</t>
  </si>
  <si>
    <t>Tax Receivable</t>
  </si>
  <si>
    <t>Payables &amp; Acruals</t>
  </si>
  <si>
    <t>Derivatives Financial</t>
  </si>
  <si>
    <t>Assets &amp; Liabilities Disposed</t>
  </si>
  <si>
    <t>Cash</t>
  </si>
  <si>
    <t>Working Capital Adjustmenty</t>
  </si>
  <si>
    <t>Disposal Costs</t>
  </si>
  <si>
    <t>Net Proceeds</t>
  </si>
  <si>
    <t>Meridian Wind Macarthur Holdings</t>
  </si>
  <si>
    <t>Taxation Receivable</t>
  </si>
  <si>
    <t>Borrowings</t>
  </si>
  <si>
    <t>Promissory Note</t>
  </si>
  <si>
    <t>Transaction Costs</t>
  </si>
  <si>
    <t>Other Investments</t>
  </si>
  <si>
    <t>Nth Power Tec.h Fund, LP</t>
  </si>
  <si>
    <t>Fonterra</t>
  </si>
  <si>
    <t>WhisperTech</t>
  </si>
  <si>
    <t>Further Investment</t>
  </si>
  <si>
    <t>Write Down of Investment</t>
  </si>
  <si>
    <t xml:space="preserve">Goodwill Amortised </t>
  </si>
  <si>
    <t>Equity Accounte Earnings</t>
  </si>
  <si>
    <t>Adjustments</t>
  </si>
  <si>
    <t>Tax Rate</t>
  </si>
  <si>
    <t>NOPAT</t>
  </si>
  <si>
    <t>Capital</t>
  </si>
  <si>
    <t>Inventory/Obsolence Reserves</t>
  </si>
  <si>
    <t>C</t>
  </si>
  <si>
    <t>Less estimated Tax</t>
  </si>
  <si>
    <t>Net Loss a/tax</t>
  </si>
  <si>
    <t>Non-capitalised Leases</t>
  </si>
  <si>
    <t>E1</t>
  </si>
  <si>
    <t>Impairments (-cost)</t>
  </si>
  <si>
    <t>F114</t>
  </si>
  <si>
    <t>F115</t>
  </si>
  <si>
    <t>F116</t>
  </si>
  <si>
    <t>F118</t>
  </si>
  <si>
    <t>F119</t>
  </si>
  <si>
    <t>F120</t>
  </si>
  <si>
    <t>Net Impairments</t>
  </si>
  <si>
    <t>cum Impairment Losses a/tax</t>
  </si>
  <si>
    <t>Total Depreciation</t>
  </si>
  <si>
    <t>Impairments</t>
  </si>
  <si>
    <t>??</t>
  </si>
  <si>
    <t>G</t>
  </si>
  <si>
    <t>Cum Revaluations</t>
  </si>
  <si>
    <t>%</t>
  </si>
  <si>
    <t>Average</t>
  </si>
  <si>
    <t>$</t>
  </si>
  <si>
    <t>Cost of Capital</t>
  </si>
  <si>
    <t>WACC</t>
  </si>
  <si>
    <t>Total Capital</t>
  </si>
  <si>
    <t>Market Value Added</t>
  </si>
  <si>
    <t>Inputs</t>
  </si>
  <si>
    <t>Cost of equity</t>
  </si>
  <si>
    <t>Tax rate</t>
  </si>
  <si>
    <t>Lease Analysis</t>
  </si>
  <si>
    <t>Leasing</t>
  </si>
  <si>
    <t>Template</t>
  </si>
  <si>
    <t>Operating Lease Commitments</t>
  </si>
  <si>
    <t>0 to 1 years</t>
  </si>
  <si>
    <t>1 to 2 years</t>
  </si>
  <si>
    <t>2 to 5 years</t>
  </si>
  <si>
    <t>5+ years</t>
  </si>
  <si>
    <t>Lease Expense/current or next year</t>
  </si>
  <si>
    <t>Debt Capitalisation Rate</t>
  </si>
  <si>
    <t>PV factors</t>
  </si>
  <si>
    <t>Present Value</t>
  </si>
  <si>
    <t>Jul</t>
  </si>
  <si>
    <t>Jan</t>
  </si>
  <si>
    <t>Years</t>
  </si>
  <si>
    <t>Share Price</t>
  </si>
  <si>
    <t>year/end</t>
  </si>
  <si>
    <t>Marketable Securities</t>
  </si>
  <si>
    <t>Operating Capital</t>
  </si>
  <si>
    <t>EVA</t>
  </si>
  <si>
    <t>Free Cash Flow</t>
  </si>
  <si>
    <t>Adjusted EBIT Margin</t>
  </si>
  <si>
    <t>Cost of Equity</t>
  </si>
  <si>
    <t>Spread</t>
  </si>
  <si>
    <t>Econ Perform 1</t>
  </si>
  <si>
    <t>Ecomomic Performance</t>
  </si>
  <si>
    <t>Weeks in Year</t>
  </si>
  <si>
    <t>Fuel Stations</t>
  </si>
  <si>
    <t>no.</t>
  </si>
  <si>
    <t>Sales (total revenue)</t>
  </si>
  <si>
    <t xml:space="preserve"> yoy </t>
  </si>
  <si>
    <t xml:space="preserve">    yoy %</t>
  </si>
  <si>
    <t>Sales per Store</t>
  </si>
  <si>
    <t>Sales per sqm</t>
  </si>
  <si>
    <t>Economic Profit (EVA )</t>
  </si>
  <si>
    <t>EVA margin %</t>
  </si>
  <si>
    <t>[EVA/Sales]</t>
  </si>
  <si>
    <t>EVA Margin % points change</t>
  </si>
  <si>
    <t>rounding?</t>
  </si>
  <si>
    <t xml:space="preserve">EVA Spread </t>
  </si>
  <si>
    <t>[EVA/Capital]</t>
  </si>
  <si>
    <t>Capital ave</t>
  </si>
  <si>
    <t>EVA Momentum</t>
  </si>
  <si>
    <t>[EVA change/</t>
  </si>
  <si>
    <t>Sales prior year]</t>
  </si>
  <si>
    <t>EVA per store</t>
  </si>
  <si>
    <t>EVA$ per sqm</t>
  </si>
  <si>
    <t>Capital per Store</t>
  </si>
  <si>
    <t>Capital year end</t>
  </si>
  <si>
    <t>NWC per Store</t>
  </si>
  <si>
    <t>NWC per sqm</t>
  </si>
  <si>
    <r>
      <t xml:space="preserve">Working Capital </t>
    </r>
    <r>
      <rPr>
        <sz val="8"/>
        <rFont val="Arial MT"/>
      </rPr>
      <t>(cost of sales basis)</t>
    </r>
  </si>
  <si>
    <t>Inventory DOH</t>
  </si>
  <si>
    <t>days</t>
  </si>
  <si>
    <t>Accounts Payable DOH</t>
  </si>
  <si>
    <t>EVA Margin change</t>
  </si>
  <si>
    <t>Sales growth rate</t>
  </si>
  <si>
    <t>Profitable Growth</t>
  </si>
  <si>
    <t>NWC to Sales</t>
  </si>
  <si>
    <t>NWC to Capital</t>
  </si>
  <si>
    <t>Econ Perform 2</t>
  </si>
  <si>
    <t>Stores</t>
  </si>
  <si>
    <t>Area</t>
  </si>
  <si>
    <r>
      <t>m</t>
    </r>
    <r>
      <rPr>
        <sz val="9"/>
        <rFont val="Calibri"/>
        <family val="2"/>
      </rPr>
      <t>₂</t>
    </r>
  </si>
  <si>
    <t>Store m^2</t>
  </si>
  <si>
    <t>Sales</t>
  </si>
  <si>
    <t>Sales growth rate pa</t>
  </si>
  <si>
    <t>Sales per store</t>
  </si>
  <si>
    <t>Sales per m^2</t>
  </si>
  <si>
    <t>Gross Margin</t>
  </si>
  <si>
    <t>GM change</t>
  </si>
  <si>
    <t>EVA change</t>
  </si>
  <si>
    <t>EVA per m^2</t>
  </si>
  <si>
    <t>EVA Margin</t>
  </si>
  <si>
    <t>Sales Prior Year</t>
  </si>
  <si>
    <t>EVA Improvement</t>
  </si>
  <si>
    <t>EVA Momentum pa</t>
  </si>
  <si>
    <t>Capital Operating</t>
  </si>
  <si>
    <t>Net Debt+Cap Leases-Mkt Sec</t>
  </si>
  <si>
    <t>Equity Adj.</t>
  </si>
  <si>
    <t>Debt to Capital BV</t>
  </si>
  <si>
    <t>Capital per store</t>
  </si>
  <si>
    <t>Capital per m^2</t>
  </si>
  <si>
    <t>Sales to Capital Operating</t>
  </si>
  <si>
    <t>Market Value</t>
  </si>
  <si>
    <t>MV per store</t>
  </si>
  <si>
    <t>MV per m^2</t>
  </si>
  <si>
    <t>MVA per store</t>
  </si>
  <si>
    <t>MVA per m^2</t>
  </si>
  <si>
    <t>Market Value to Capital Operating</t>
  </si>
  <si>
    <t>change NOPAT</t>
  </si>
  <si>
    <t>Capital Operating ave.</t>
  </si>
  <si>
    <t>Return on Capital (ave.)</t>
  </si>
  <si>
    <t>EVA Spread</t>
  </si>
  <si>
    <t>RoC/WACC</t>
  </si>
  <si>
    <t>Investment (net of Depreciation)</t>
  </si>
  <si>
    <t>Investment per store</t>
  </si>
  <si>
    <t>Accounting Expenses to Sales</t>
  </si>
  <si>
    <t>Wages, Salaries, etc.</t>
  </si>
  <si>
    <t>Lease/rental Expenses</t>
  </si>
  <si>
    <t>Other Expense</t>
  </si>
  <si>
    <t>Interest Expense Operating Leases</t>
  </si>
  <si>
    <t>Iincr) Employee Benefits</t>
  </si>
  <si>
    <t>(Incr) Impairments/Amortisation</t>
  </si>
  <si>
    <t>Incr) Inventory Reserve adj</t>
  </si>
  <si>
    <t>MVA to Sales</t>
  </si>
  <si>
    <t>NOPAT to Capital MV</t>
  </si>
  <si>
    <t>Multiple</t>
  </si>
  <si>
    <t>Adj. EBIT to Sales</t>
  </si>
  <si>
    <t>NOPAT per Store</t>
  </si>
  <si>
    <t>NWC</t>
  </si>
  <si>
    <t>Other Non-Operating</t>
  </si>
  <si>
    <t>Market Value Added 1</t>
  </si>
  <si>
    <t>MV Operating  Capital</t>
  </si>
  <si>
    <t>Market Value Operating Capital</t>
  </si>
  <si>
    <t>MVA</t>
  </si>
  <si>
    <t>MV Total Capital</t>
  </si>
  <si>
    <t>less Mkt Securituies</t>
  </si>
  <si>
    <t>less Non-operating Capital</t>
  </si>
  <si>
    <t>MV Operating Capital</t>
  </si>
  <si>
    <t>Operating Capital Average</t>
  </si>
  <si>
    <t>Market Value Added 2</t>
  </si>
  <si>
    <t>Adj. Book Value (Invested) per share</t>
  </si>
  <si>
    <t>Premium to Share Price</t>
  </si>
  <si>
    <t>Shares y/end</t>
  </si>
  <si>
    <t>Market Value Components</t>
  </si>
  <si>
    <t>Current Value Added</t>
  </si>
  <si>
    <t>(CVA)</t>
  </si>
  <si>
    <t>(CVA=EVA divided by CoC)</t>
  </si>
  <si>
    <t>CoC</t>
  </si>
  <si>
    <r>
      <t xml:space="preserve">Future Value Added </t>
    </r>
    <r>
      <rPr>
        <sz val="8"/>
        <rFont val="Arial MT"/>
      </rPr>
      <t>(FVA=MVA-CVA)</t>
    </r>
  </si>
  <si>
    <t>FVA</t>
  </si>
  <si>
    <t>CVA</t>
  </si>
  <si>
    <t>Per Store Analysis</t>
  </si>
  <si>
    <t>Number</t>
  </si>
  <si>
    <t>per store</t>
  </si>
  <si>
    <t>Future Growth Reliance (FGR)</t>
  </si>
  <si>
    <t>(FVA/MV)</t>
  </si>
  <si>
    <t>MV multiple of Operating Capital</t>
  </si>
  <si>
    <t>MVA Margin to Sales</t>
  </si>
  <si>
    <t>Yield</t>
  </si>
  <si>
    <t>Cost of Equity (for TSR)</t>
  </si>
  <si>
    <t>L=</t>
  </si>
  <si>
    <t>Share Price $</t>
  </si>
  <si>
    <t>annual</t>
  </si>
  <si>
    <t>each year</t>
  </si>
  <si>
    <t>per</t>
  </si>
  <si>
    <t>Share Price change</t>
  </si>
  <si>
    <t>annum</t>
  </si>
  <si>
    <t>1 year</t>
  </si>
  <si>
    <t>2 years</t>
  </si>
  <si>
    <t>3 years</t>
  </si>
  <si>
    <t>4 years</t>
  </si>
  <si>
    <t>5 years</t>
  </si>
  <si>
    <t>6 years</t>
  </si>
  <si>
    <t>7 years</t>
  </si>
  <si>
    <t>8 years</t>
  </si>
  <si>
    <t>9 years</t>
  </si>
  <si>
    <t>10 years</t>
  </si>
  <si>
    <t>Cumulative</t>
  </si>
  <si>
    <t xml:space="preserve">TSR less annual Cost of Equity </t>
  </si>
  <si>
    <t>2007-16</t>
  </si>
  <si>
    <t>Cost of Equity (beg).</t>
  </si>
  <si>
    <t>Excess Return</t>
  </si>
  <si>
    <t>BGR</t>
  </si>
  <si>
    <t>WHS</t>
  </si>
  <si>
    <t>BRG relative to WHS</t>
  </si>
  <si>
    <t>Production</t>
  </si>
  <si>
    <t>GWk</t>
  </si>
  <si>
    <t>Plant Availability</t>
  </si>
  <si>
    <t>Market Share</t>
  </si>
  <si>
    <t>Average spot market</t>
  </si>
  <si>
    <t>MWh</t>
  </si>
  <si>
    <t>Transmission costs</t>
  </si>
  <si>
    <t xml:space="preserve"> +$70m pa</t>
  </si>
  <si>
    <t>Store Analysis                                                                                                2016</t>
  </si>
  <si>
    <t xml:space="preserve"> -------&gt;</t>
  </si>
  <si>
    <t>unit</t>
  </si>
  <si>
    <t>Total number of stores</t>
  </si>
  <si>
    <t>+</t>
  </si>
  <si>
    <t>stores</t>
  </si>
  <si>
    <t>Average Area</t>
  </si>
  <si>
    <t>m^2</t>
  </si>
  <si>
    <t>$m^2</t>
  </si>
  <si>
    <t xml:space="preserve"> '000</t>
  </si>
  <si>
    <r>
      <t xml:space="preserve">Gross Margin </t>
    </r>
    <r>
      <rPr>
        <sz val="10"/>
        <rFont val="Arial MT"/>
      </rPr>
      <t>(BRG basis)</t>
    </r>
  </si>
  <si>
    <r>
      <t xml:space="preserve">Inventory Days </t>
    </r>
    <r>
      <rPr>
        <sz val="10"/>
        <rFont val="Arial MT"/>
      </rPr>
      <t>(CoS)</t>
    </r>
  </si>
  <si>
    <t>Accounts Payable Days</t>
  </si>
  <si>
    <t>Return on Capital (ave)</t>
  </si>
  <si>
    <t>MV Capital</t>
  </si>
  <si>
    <t>MV multiple of Capital Operating</t>
  </si>
  <si>
    <t>times</t>
  </si>
  <si>
    <r>
      <t xml:space="preserve">Share Price </t>
    </r>
    <r>
      <rPr>
        <sz val="10"/>
        <rFont val="Arial MT"/>
      </rPr>
      <t>(end January)</t>
    </r>
  </si>
  <si>
    <t>cents</t>
  </si>
  <si>
    <t>share price:</t>
  </si>
  <si>
    <t>now +</t>
  </si>
  <si>
    <t>share price</t>
  </si>
  <si>
    <t>52 weeks</t>
  </si>
  <si>
    <t>53 weeks</t>
  </si>
  <si>
    <t>54 weeks</t>
  </si>
  <si>
    <t>Briscoe</t>
  </si>
  <si>
    <t>The Warehouse</t>
  </si>
  <si>
    <t>no</t>
  </si>
  <si>
    <t>sales:</t>
  </si>
  <si>
    <t>per m^2</t>
  </si>
  <si>
    <t>7_Data -Adj</t>
  </si>
  <si>
    <t>3_Fin l686</t>
  </si>
  <si>
    <t>Write Off Acqua prior year Capex</t>
  </si>
  <si>
    <t>Impairment Held for Sale Assets</t>
  </si>
  <si>
    <t>2_Inc-Stat l278</t>
  </si>
  <si>
    <t>Impairments of Assets</t>
  </si>
  <si>
    <t>2006  A/R</t>
  </si>
  <si>
    <t>Impairment Held for Sale Assets (gain)</t>
  </si>
  <si>
    <t>Charts data</t>
  </si>
  <si>
    <t>Return on Capital(AVG)</t>
  </si>
  <si>
    <t>Ave Capital</t>
  </si>
  <si>
    <t>Sales/Ave Capital</t>
  </si>
  <si>
    <t>Operating Capital y/end</t>
  </si>
  <si>
    <t>Non-Operating Capital</t>
  </si>
  <si>
    <t>MVA/Sales</t>
  </si>
  <si>
    <t xml:space="preserve">CVA </t>
  </si>
  <si>
    <t>MV</t>
  </si>
  <si>
    <t>MVA/MV</t>
  </si>
  <si>
    <t>MVA/Capital</t>
  </si>
  <si>
    <t>TSR (y-to-y)</t>
  </si>
  <si>
    <t>TSR (last years)</t>
  </si>
  <si>
    <t>Sales/Capital</t>
  </si>
  <si>
    <t>NOPAT/MVA  multiple</t>
  </si>
  <si>
    <t>Gross Margin (Z)</t>
  </si>
  <si>
    <t>Operating Margin (Z)</t>
  </si>
  <si>
    <t>Area m^2 per Store</t>
  </si>
  <si>
    <t>Wages Salaries, etc/Sales</t>
  </si>
  <si>
    <t>NWC % Sales</t>
  </si>
  <si>
    <t>NWC per m^2</t>
  </si>
  <si>
    <t>Per Average Store Profile</t>
  </si>
  <si>
    <t>Investment per Store</t>
  </si>
  <si>
    <t xml:space="preserve">PP&amp;E </t>
  </si>
  <si>
    <t>EVA per Store</t>
  </si>
  <si>
    <t>EVA per $1 Sales</t>
  </si>
  <si>
    <t>16B</t>
  </si>
  <si>
    <t>Chart 1:</t>
  </si>
  <si>
    <t>Economic Value Added</t>
  </si>
  <si>
    <t>EVA profile</t>
  </si>
  <si>
    <t>MVA profile</t>
  </si>
  <si>
    <t>2008 to 2016 financial years</t>
  </si>
  <si>
    <t>Increasing EVA drives shareholder value</t>
  </si>
  <si>
    <t>MVA margin</t>
  </si>
  <si>
    <t xml:space="preserve">Two different Economic Profit profiles </t>
  </si>
  <si>
    <t xml:space="preserve">The Warehouse sum of EVA was half of that achieved by Briscoe Group. </t>
  </si>
  <si>
    <t>ROI</t>
  </si>
  <si>
    <t>ROI/WACC</t>
  </si>
  <si>
    <t>Briscoe Group has increased EVA every year since 2011.</t>
  </si>
  <si>
    <t>Last 4 years BRG EVA $103m and just $6m for WHS.</t>
  </si>
  <si>
    <t>Share price</t>
  </si>
  <si>
    <t>Over 9 years BRG EVA is $139m; WHS $77m</t>
  </si>
  <si>
    <t>Over last 4 years BRG EVA is $103m; WHS $6m</t>
  </si>
  <si>
    <t>TSR-COE</t>
  </si>
  <si>
    <t>Over last 3 years BRG EVA is $83m; WHS -$38m</t>
  </si>
  <si>
    <t>MV components</t>
  </si>
  <si>
    <t>Wages to Sales</t>
  </si>
  <si>
    <t>adj EBIT to Sales</t>
  </si>
  <si>
    <t>Chart 1: Data</t>
  </si>
  <si>
    <t>sum 9 yr</t>
  </si>
  <si>
    <t>sum last 3 yr</t>
  </si>
  <si>
    <t>sum last 4 yr</t>
  </si>
  <si>
    <t>Chart 2:</t>
  </si>
  <si>
    <t>Returns above cost of capital</t>
  </si>
  <si>
    <t>Z Energy</t>
  </si>
  <si>
    <t>Returns above Cost of Capital</t>
  </si>
  <si>
    <t>Briscoe Group has increased its return on capital evry year from 2011</t>
  </si>
  <si>
    <t>In 2016 the return exceeded the cost of capital by +12.3%</t>
  </si>
  <si>
    <t>Chart 2: Data</t>
  </si>
  <si>
    <t>Briscoe Group</t>
  </si>
  <si>
    <t>Return v Cost of Capital</t>
  </si>
  <si>
    <t>Excess Returns</t>
  </si>
  <si>
    <r>
      <rPr>
        <b/>
        <sz val="11"/>
        <color theme="3"/>
        <rFont val="Arial Narrow"/>
        <family val="2"/>
      </rPr>
      <t>Briscoe Group</t>
    </r>
    <r>
      <rPr>
        <b/>
        <sz val="11"/>
        <color rgb="FFC00000"/>
        <rFont val="Arial Narrow"/>
        <family val="2"/>
      </rPr>
      <t xml:space="preserve"> v Z Energy</t>
    </r>
  </si>
  <si>
    <t>2013-2018</t>
  </si>
  <si>
    <t>Returns are twice cost of capital: FIFO or LIFO</t>
  </si>
  <si>
    <t>Post Caltex Z outperforms Briscoe</t>
  </si>
  <si>
    <t>Corporate return on capital = NOPAT divided by Operating Capital</t>
  </si>
  <si>
    <t>Excess returns = corporate return less cost of capital (asset beta 0.8). FIFO basis</t>
  </si>
  <si>
    <t>Sources: company reports and announcements, IWA</t>
  </si>
  <si>
    <t>HC Return on Capital</t>
  </si>
  <si>
    <t>Z Return on Capital</t>
  </si>
  <si>
    <t>RC Return on Capital</t>
  </si>
  <si>
    <t>Briscoe Return on Capital</t>
  </si>
  <si>
    <t>Chart 3:</t>
  </si>
  <si>
    <t>Excess Profits</t>
  </si>
  <si>
    <t>Caltex acquisition scales up economic profits</t>
  </si>
  <si>
    <t>Millions of Dollars</t>
  </si>
  <si>
    <t>Economic profit = return x operating capital; no adjustments for synergy gains and 10 months Caltex; FIFO</t>
  </si>
  <si>
    <t>Chart 3: Data</t>
  </si>
  <si>
    <t>Economic value added</t>
  </si>
  <si>
    <t>Chart 6:</t>
  </si>
  <si>
    <t>Sales Growth</t>
  </si>
  <si>
    <t>The return has averaged +5.9% pa over the last 9 years.</t>
  </si>
  <si>
    <t>2013 affected by acquisitions</t>
  </si>
  <si>
    <t>Same store needed</t>
  </si>
  <si>
    <t>Chart 6: Data</t>
  </si>
  <si>
    <t>Chart ??: Capital</t>
  </si>
  <si>
    <t>growth rate</t>
  </si>
  <si>
    <t>NA</t>
  </si>
  <si>
    <t>Chart 7:</t>
  </si>
  <si>
    <t>Market Value Added swing $676m!</t>
  </si>
  <si>
    <t>Chart 7: Data</t>
  </si>
  <si>
    <t>estimate</t>
  </si>
  <si>
    <t xml:space="preserve">Market Value </t>
  </si>
  <si>
    <t>WHS less BRG</t>
  </si>
  <si>
    <t>swing</t>
  </si>
  <si>
    <t>Difference</t>
  </si>
  <si>
    <t>Chart 8:</t>
  </si>
  <si>
    <t>MVA and EVA</t>
  </si>
  <si>
    <t>EVA drives MVA</t>
  </si>
  <si>
    <t>Chart 8: Data</t>
  </si>
  <si>
    <t>Chart 9:</t>
  </si>
  <si>
    <t>Chart 9: Data</t>
  </si>
  <si>
    <t>Chart 10:</t>
  </si>
  <si>
    <t>Chart 10: Data</t>
  </si>
  <si>
    <t>years</t>
  </si>
  <si>
    <t>TSR pa ave.</t>
  </si>
  <si>
    <t>over x years</t>
  </si>
  <si>
    <t>financial years</t>
  </si>
  <si>
    <t>Chart 11</t>
  </si>
  <si>
    <t>Total Shareholder Returns</t>
  </si>
  <si>
    <t>Chart 12: Data</t>
  </si>
  <si>
    <t xml:space="preserve">Briscoe </t>
  </si>
  <si>
    <t xml:space="preserve">  TSR</t>
  </si>
  <si>
    <t xml:space="preserve">  Cost of Equity</t>
  </si>
  <si>
    <t xml:space="preserve">Chart 13: </t>
  </si>
  <si>
    <t>Sales and EVA over 9 Years</t>
  </si>
  <si>
    <t xml:space="preserve">9  years of Sales and EVA </t>
  </si>
  <si>
    <t>Sales sum 2008-2016</t>
  </si>
  <si>
    <t>EVA sum 2006-2016</t>
  </si>
  <si>
    <r>
      <rPr>
        <b/>
        <sz val="11"/>
        <rFont val="Arial Narrow"/>
        <family val="2"/>
      </rPr>
      <t>EVA Margin</t>
    </r>
    <r>
      <rPr>
        <sz val="11"/>
        <rFont val="Arial Narrow"/>
        <family val="2"/>
      </rPr>
      <t xml:space="preserve"> (9 year average)</t>
    </r>
  </si>
  <si>
    <t>Chart 14:</t>
  </si>
  <si>
    <t>Valuation Components</t>
  </si>
  <si>
    <t>Chart 14: Data</t>
  </si>
  <si>
    <t>Future Value Added</t>
  </si>
  <si>
    <t>Chart 15:</t>
  </si>
  <si>
    <t>Chart 15: Data</t>
  </si>
  <si>
    <t>Chart 16:</t>
  </si>
  <si>
    <t>Franchise Value (MVA)</t>
  </si>
  <si>
    <t>Franchise Value  (MVA) Metrics</t>
  </si>
  <si>
    <t>MVA % Market Value</t>
  </si>
  <si>
    <t>MVA % Sales</t>
  </si>
  <si>
    <t>Chart 17: WHS</t>
  </si>
  <si>
    <t>Market Value and Capital</t>
  </si>
  <si>
    <t>Chart 17: Data</t>
  </si>
  <si>
    <t>Chart 18: BRG</t>
  </si>
  <si>
    <t>Chart 18: Data</t>
  </si>
  <si>
    <t>Chart 19:</t>
  </si>
  <si>
    <t>Chart 19: Data</t>
  </si>
  <si>
    <t xml:space="preserve">MVA Margin </t>
  </si>
  <si>
    <t>BRG</t>
  </si>
  <si>
    <t>Chart 20:</t>
  </si>
  <si>
    <t>Wages, Salaries, etc. to Sales</t>
  </si>
  <si>
    <t>Chart 20: Data</t>
  </si>
  <si>
    <t>Chart 21:</t>
  </si>
  <si>
    <t>Adjusted EBIT to Sales</t>
  </si>
  <si>
    <t>Chart 21: Data</t>
  </si>
  <si>
    <t>Chart 22:</t>
  </si>
  <si>
    <t>Net Working Capital to Sales</t>
  </si>
  <si>
    <t>Chart 22 Data</t>
  </si>
  <si>
    <t>Chart 23:</t>
  </si>
  <si>
    <t>Net Working Capital to Capital</t>
  </si>
  <si>
    <t>Chart 23: Data</t>
  </si>
  <si>
    <t>Chart 24:</t>
  </si>
  <si>
    <t>Chart 24: Data</t>
  </si>
  <si>
    <t>Chart 25:</t>
  </si>
  <si>
    <t>Accounts Payables DOH</t>
  </si>
  <si>
    <t>Chart 25: Data</t>
  </si>
  <si>
    <t>Chart 26: WHS</t>
  </si>
  <si>
    <t>Operating Assets</t>
  </si>
  <si>
    <t>Chart 26: Data</t>
  </si>
  <si>
    <t>Chart 27: WHS</t>
  </si>
  <si>
    <t>Chart 27: Data</t>
  </si>
  <si>
    <t>percentage</t>
  </si>
  <si>
    <t>Chart 28: BRG</t>
  </si>
  <si>
    <t>Chart 28: Data</t>
  </si>
  <si>
    <t>Chart 29: BRG</t>
  </si>
  <si>
    <t>Chart 29: Data</t>
  </si>
  <si>
    <t>Chart 30: WHS and BRG</t>
  </si>
  <si>
    <t>Chart 30: Data</t>
  </si>
  <si>
    <t>ave.</t>
  </si>
  <si>
    <t>Chart X:</t>
  </si>
  <si>
    <t>spare</t>
  </si>
  <si>
    <t>Date stamp:</t>
  </si>
  <si>
    <t xml:space="preserve">Ireland, Wallace &amp; Associates </t>
  </si>
  <si>
    <t>Red</t>
  </si>
  <si>
    <t>Line</t>
  </si>
  <si>
    <t>2pts</t>
  </si>
  <si>
    <t>Date today:</t>
  </si>
  <si>
    <t>IWA</t>
  </si>
  <si>
    <t>230,0,25</t>
  </si>
  <si>
    <t>Background</t>
  </si>
  <si>
    <t>Source:</t>
  </si>
  <si>
    <t>Source: NZX</t>
  </si>
  <si>
    <t>Blue</t>
  </si>
  <si>
    <t>2008 to 2016</t>
  </si>
  <si>
    <t>The Warehouse v. Briscoe</t>
  </si>
  <si>
    <t>Financial years</t>
  </si>
  <si>
    <t>Thousand of Dollars</t>
  </si>
  <si>
    <t>Est. 2017</t>
  </si>
  <si>
    <t>Forecast</t>
  </si>
  <si>
    <t>M^2 per Store</t>
  </si>
  <si>
    <t>Sales per M^2</t>
  </si>
  <si>
    <t>Assets per Store</t>
  </si>
  <si>
    <t>EVA Margin per Store</t>
  </si>
  <si>
    <t>MV and MVA per Store</t>
  </si>
  <si>
    <t>Average Store Metrics</t>
  </si>
  <si>
    <t>and Group Capital Composition</t>
  </si>
  <si>
    <t>Per store</t>
  </si>
  <si>
    <t>$000</t>
  </si>
  <si>
    <t>Per m^2</t>
  </si>
  <si>
    <t>Fonts and Size</t>
  </si>
  <si>
    <t>Name</t>
  </si>
  <si>
    <t>Arial Narrow</t>
  </si>
  <si>
    <t>NZX Code</t>
  </si>
  <si>
    <t>0-90-158</t>
  </si>
  <si>
    <t>255-205-47</t>
  </si>
  <si>
    <t>Economist Chart Stlye</t>
  </si>
  <si>
    <t>R</t>
  </si>
  <si>
    <t>Font</t>
  </si>
  <si>
    <t>Ecotype</t>
  </si>
  <si>
    <t>Axis</t>
  </si>
  <si>
    <t>Marker</t>
  </si>
  <si>
    <t>Light blue</t>
  </si>
  <si>
    <t>Medium blue</t>
  </si>
  <si>
    <t>Dark blue</t>
  </si>
  <si>
    <t>Derivative Financial Inst.</t>
  </si>
  <si>
    <t>Minorities/Options Vested</t>
  </si>
  <si>
    <t>Adj. Accounting ex Reval.</t>
  </si>
  <si>
    <t>Derivative Operating (net)</t>
  </si>
  <si>
    <t>P&amp;P</t>
  </si>
  <si>
    <t>Revaluations actual</t>
  </si>
  <si>
    <t>Revaluations reversal</t>
  </si>
  <si>
    <t>Accum. Depreciation Revaluation</t>
  </si>
  <si>
    <t>Derivative Financial (net)</t>
  </si>
  <si>
    <t>Deferred Tax reversal</t>
  </si>
  <si>
    <t>Deferred Tax tax change 2007</t>
  </si>
  <si>
    <t>Deferred Tax tax change 2010</t>
  </si>
  <si>
    <t>Deferred Tax tax change 2011</t>
  </si>
  <si>
    <t>Deferred Tax Tekapo A&amp;B</t>
  </si>
  <si>
    <t>Revaluation Reserve adj 1999-05</t>
  </si>
  <si>
    <t>Revaluation Reserve adj 2006-10</t>
  </si>
  <si>
    <t>Revaluation Reserve adj tax change</t>
  </si>
  <si>
    <t>Revaluation Reserve adj other</t>
  </si>
  <si>
    <t>PP&amp;E with Revaluation</t>
  </si>
  <si>
    <t>PP&amp;E(incl Reval)</t>
  </si>
  <si>
    <t>PP&amp;E(excl Reval)</t>
  </si>
  <si>
    <t>PP&amp;E for FINANSEER</t>
  </si>
  <si>
    <t>Revaluation reversal</t>
  </si>
  <si>
    <t xml:space="preserve"> - accum Dep actual</t>
  </si>
  <si>
    <t xml:space="preserve"> + accum Dep reval</t>
  </si>
  <si>
    <t>NPP&amp;E</t>
  </si>
  <si>
    <t>Depreciation Revaluation Actual to 2007</t>
  </si>
  <si>
    <t>Depreciation Revaluation Imputed 2008-11</t>
  </si>
  <si>
    <t>Underlying Depreciation</t>
  </si>
  <si>
    <t>input</t>
  </si>
  <si>
    <t>cum Revaluation Depreciation</t>
  </si>
  <si>
    <r>
      <t xml:space="preserve">Underlying </t>
    </r>
    <r>
      <rPr>
        <i/>
        <sz val="10"/>
        <rFont val="Arial MT"/>
      </rPr>
      <t>Gross PP&amp;E</t>
    </r>
  </si>
  <si>
    <r>
      <t xml:space="preserve">Underlying Dep/Ave </t>
    </r>
    <r>
      <rPr>
        <i/>
        <sz val="10"/>
        <rFont val="Arial MT"/>
      </rPr>
      <t>Gross PP&amp;E</t>
    </r>
  </si>
  <si>
    <t>Depreciation Notes</t>
  </si>
  <si>
    <t>Income Approach</t>
  </si>
  <si>
    <t>ECNZ Book Value</t>
  </si>
  <si>
    <t>Revaluation from 1 April 1999</t>
  </si>
  <si>
    <t>Depreciated Revaluation component</t>
  </si>
  <si>
    <t>(gain)</t>
  </si>
  <si>
    <t>incremental %</t>
  </si>
  <si>
    <t>cum Revaluation</t>
  </si>
  <si>
    <t>Total Depreciation/Amortisation of Revaluation</t>
  </si>
  <si>
    <t>Revaluation from 30 June 2003</t>
  </si>
  <si>
    <t>Southern Hydro PP&amp;E</t>
  </si>
  <si>
    <t>Revaluation from 30 June 2006</t>
  </si>
  <si>
    <t>Revaluation from 30 June 2007</t>
  </si>
  <si>
    <t>Balance Sheet Approach</t>
  </si>
  <si>
    <t>Changes in Equity</t>
  </si>
  <si>
    <t>Beginning</t>
  </si>
  <si>
    <t>Profit a/tax Shareholders</t>
  </si>
  <si>
    <t>FEC's reclassified to P&amp;L</t>
  </si>
  <si>
    <t>Controlled Enities</t>
  </si>
  <si>
    <t>Corporate Tax Rate Deferred Tax</t>
  </si>
  <si>
    <t>Deferred Tax Tekapo A&amp;B Sale</t>
  </si>
  <si>
    <t>Shares Issued</t>
  </si>
  <si>
    <t>Income Tax Comprehensive Inc.</t>
  </si>
  <si>
    <t>Share Options</t>
  </si>
  <si>
    <t>End of Year</t>
  </si>
  <si>
    <t>Changes in Deferred Tax</t>
  </si>
  <si>
    <t>Deferred Tax Detail</t>
  </si>
  <si>
    <t>Opening Balance</t>
  </si>
  <si>
    <t>Disposal Subsidiary</t>
  </si>
  <si>
    <t>unusual</t>
  </si>
  <si>
    <t>Closing</t>
  </si>
  <si>
    <t>Post IFRS Opening</t>
  </si>
  <si>
    <t>Acquistion of Subsidiary</t>
  </si>
  <si>
    <t>Tekapo A&amp;B Sale Effect</t>
  </si>
  <si>
    <t>Revaluation Reserve Tax Rate adj</t>
  </si>
  <si>
    <t xml:space="preserve">Deferred Tax Asset offset Note 21 2008  </t>
  </si>
  <si>
    <t>Tax Depreciation change</t>
  </si>
  <si>
    <t>reduce tax and reduce Capital Def T to normalise</t>
  </si>
  <si>
    <t>IFRS adjustment</t>
  </si>
  <si>
    <t>note 21 2008</t>
  </si>
  <si>
    <t>Deferred Tax &amp; Equity excl. Reval</t>
  </si>
  <si>
    <t>actual</t>
  </si>
  <si>
    <t>Non-operating Deferred Tax</t>
  </si>
  <si>
    <t>Adj Deferred Tax Operating</t>
  </si>
  <si>
    <t>Deferred Tax Non-operating</t>
  </si>
  <si>
    <t>Deferred Tax Operating</t>
  </si>
  <si>
    <t>Delta DT Operating</t>
  </si>
  <si>
    <t>Revaluation Reserves</t>
  </si>
  <si>
    <t>Total DF+Revaluation Reserve</t>
  </si>
  <si>
    <t>Deferred Tax actual/Revaluation Reserves</t>
  </si>
  <si>
    <t>Deferred Tax actual/PP&amp;E Revaluations</t>
  </si>
  <si>
    <t>Nominal Tax rate, say</t>
  </si>
  <si>
    <t>Inferred Deferred Tax at nominal tax rate</t>
  </si>
  <si>
    <t>Non-revaluation related Deferred Tax</t>
  </si>
  <si>
    <t>Current Tax rate, say</t>
  </si>
  <si>
    <t>Inferred Deferred Tax at current tax rate</t>
  </si>
  <si>
    <t>Deferred Tax adj change in corporate rate</t>
  </si>
  <si>
    <t>Revaluation Analysis</t>
  </si>
  <si>
    <t xml:space="preserve"> 1-July-06</t>
  </si>
  <si>
    <t>change 2007</t>
  </si>
  <si>
    <t>Note 7</t>
  </si>
  <si>
    <t>Corp tax rate ch</t>
  </si>
  <si>
    <t>Reval</t>
  </si>
  <si>
    <t>Dtax</t>
  </si>
  <si>
    <t>chge 06-07</t>
  </si>
  <si>
    <t>Equity residual</t>
  </si>
  <si>
    <t>Revaluation Reversals</t>
  </si>
  <si>
    <t>Effective Tax rate valuation, say</t>
  </si>
  <si>
    <t>PP&amp;E Valuations reversed</t>
  </si>
  <si>
    <t>assets</t>
  </si>
  <si>
    <t>Reserve Revaluations reversed</t>
  </si>
  <si>
    <t>equity</t>
  </si>
  <si>
    <t>deferred tax</t>
  </si>
  <si>
    <t>rate</t>
  </si>
  <si>
    <t>Deferred T</t>
  </si>
  <si>
    <t>tax rates</t>
  </si>
  <si>
    <t>Res Reval</t>
  </si>
  <si>
    <t>Deferred Tax Reversal</t>
  </si>
  <si>
    <t>Adjusted Deferred Tax</t>
  </si>
  <si>
    <t>reverse</t>
  </si>
  <si>
    <t>change before tax changes</t>
  </si>
  <si>
    <t>Deferred Tax as per accts</t>
  </si>
  <si>
    <t>Deferred tax 1-7-2006 as at 2005 y/e</t>
  </si>
  <si>
    <t>2007 IFRS Transition effect</t>
  </si>
  <si>
    <t>Residual Deferred Tax</t>
  </si>
  <si>
    <t>Change in Deferred Tax</t>
  </si>
  <si>
    <t>33% to 30%</t>
  </si>
  <si>
    <t>30% to 28%</t>
  </si>
  <si>
    <t>Add back tax rate adjust. 2007</t>
  </si>
  <si>
    <t>Add back tax rate adjust. 2010</t>
  </si>
  <si>
    <t>Add back tax rate adjust. 2011</t>
  </si>
  <si>
    <t>Unadjusted Deferred Tax 33%</t>
  </si>
  <si>
    <t>Restate Deferred Tax at 28%</t>
  </si>
  <si>
    <t>Total adj Deferred Tax</t>
  </si>
  <si>
    <t>Change in adj Deferred Tax</t>
  </si>
  <si>
    <t>IS Notes</t>
  </si>
  <si>
    <t>Deferred Tax tax change 2012</t>
  </si>
  <si>
    <t>Deferred Tax tax change 2013</t>
  </si>
  <si>
    <t>Gross PP&amp;E(incl Reval)</t>
  </si>
  <si>
    <t>PP&amp;E Historic Cost basis</t>
  </si>
  <si>
    <t>Depreciation Revaluation Imputed 2008-13</t>
  </si>
  <si>
    <t>Unused Tax Losses</t>
  </si>
  <si>
    <t>Deferred Tax Liabilities actual</t>
  </si>
  <si>
    <t>Depreciation/amortisation</t>
  </si>
  <si>
    <t>Other Payables/receivables</t>
  </si>
  <si>
    <t>Revaluation Reserve Movements</t>
  </si>
  <si>
    <t>Made up of:</t>
  </si>
  <si>
    <r>
      <t xml:space="preserve">Stephen and Rod shootout 2008 to 2017: </t>
    </r>
    <r>
      <rPr>
        <i/>
        <sz val="20"/>
        <rFont val="Franklin Gothic Demi Cond"/>
        <family val="2"/>
      </rPr>
      <t>the winner is...</t>
    </r>
  </si>
  <si>
    <t>Chart 1</t>
  </si>
  <si>
    <t>Chart 2</t>
  </si>
  <si>
    <t>Chart 3</t>
  </si>
  <si>
    <t>Chart 4</t>
  </si>
  <si>
    <t>Chart 5</t>
  </si>
  <si>
    <t>Chart 6</t>
  </si>
  <si>
    <t>Chart 7</t>
  </si>
  <si>
    <t>Chart 8</t>
  </si>
  <si>
    <t>Chart 9</t>
  </si>
  <si>
    <t>Chart 10</t>
  </si>
  <si>
    <t>Chart 12</t>
  </si>
  <si>
    <t>Chart 13</t>
  </si>
  <si>
    <t>Chart 14</t>
  </si>
  <si>
    <t>The Warehouse Group      xx</t>
  </si>
  <si>
    <t>Metrics</t>
  </si>
  <si>
    <t>Market Value (Enterprise)</t>
  </si>
  <si>
    <t xml:space="preserve">   change MVA</t>
  </si>
  <si>
    <t xml:space="preserve">   MVA Spread</t>
  </si>
  <si>
    <t xml:space="preserve">   MV/Capital Ratio</t>
  </si>
  <si>
    <t xml:space="preserve">   Capital average</t>
  </si>
  <si>
    <t xml:space="preserve">   Economic Profit Spread</t>
  </si>
  <si>
    <t>last 3 years</t>
  </si>
  <si>
    <t xml:space="preserve">   Return on Capital (ROI)</t>
  </si>
  <si>
    <t xml:space="preserve">   WACC</t>
  </si>
  <si>
    <t>Capital Charge</t>
  </si>
  <si>
    <t xml:space="preserve">   Investment</t>
  </si>
  <si>
    <t xml:space="preserve">   FCF</t>
  </si>
  <si>
    <t xml:space="preserve">   FCF Generation</t>
  </si>
  <si>
    <t xml:space="preserve">Future Growth Reliance (FGR) </t>
  </si>
  <si>
    <t>Value Added Split</t>
  </si>
  <si>
    <t>Total Market Value</t>
  </si>
  <si>
    <t>absent FX adj</t>
  </si>
  <si>
    <t>$NZ</t>
  </si>
  <si>
    <t>FX NZ US</t>
  </si>
  <si>
    <t>Avg/sum</t>
  </si>
  <si>
    <t>A simple example:</t>
  </si>
  <si>
    <t>Economic Profit (EVA)</t>
  </si>
  <si>
    <t>Operating costs</t>
  </si>
  <si>
    <t>Capital charge</t>
  </si>
  <si>
    <t>ROIC</t>
  </si>
  <si>
    <t>EVA profit</t>
  </si>
  <si>
    <t>Cost of debt a/tax</t>
  </si>
  <si>
    <t>Derived accounting profit</t>
  </si>
  <si>
    <t>Return on equity</t>
  </si>
  <si>
    <t>Interest</t>
  </si>
  <si>
    <t>EBT</t>
  </si>
  <si>
    <t>Return on Enterprise Value</t>
  </si>
  <si>
    <t>EAT</t>
  </si>
  <si>
    <t>ROACE</t>
  </si>
  <si>
    <t>Briscoe Group Limited</t>
  </si>
  <si>
    <t>2015 Briscoe Data Sheet_8.xlsx</t>
  </si>
  <si>
    <t xml:space="preserve">EVA MVA Charts </t>
  </si>
  <si>
    <t>Ebay</t>
  </si>
  <si>
    <t>Trade Me</t>
  </si>
  <si>
    <t>Kathmandu</t>
  </si>
  <si>
    <t>Wal-Mart</t>
  </si>
  <si>
    <t>Amazon</t>
  </si>
  <si>
    <t>SuperValu</t>
  </si>
  <si>
    <t>Whole Foods</t>
  </si>
  <si>
    <t>Koninklijke Ahold</t>
  </si>
  <si>
    <t>Tesco</t>
  </si>
  <si>
    <t>Target</t>
  </si>
  <si>
    <t>Wesfarmers</t>
  </si>
  <si>
    <t>Woolworths</t>
  </si>
  <si>
    <t>Harvey Norman</t>
  </si>
  <si>
    <t>Fletcher Building</t>
  </si>
  <si>
    <t>Best Buy</t>
  </si>
  <si>
    <t>JB Hi-Fi</t>
  </si>
  <si>
    <t>Staples</t>
  </si>
  <si>
    <t>United Stationers</t>
  </si>
  <si>
    <t>Michael Hill</t>
  </si>
  <si>
    <t>Tiffany</t>
  </si>
  <si>
    <t>Walgrees Boots</t>
  </si>
  <si>
    <t>in 2007 accts</t>
  </si>
  <si>
    <t>in 2008 accts</t>
  </si>
  <si>
    <t>K168</t>
  </si>
  <si>
    <t>K163</t>
  </si>
  <si>
    <t>was</t>
  </si>
  <si>
    <t>now</t>
  </si>
  <si>
    <t>2006 GAAP restatements</t>
  </si>
  <si>
    <t>page 79</t>
  </si>
  <si>
    <t>page 77</t>
  </si>
  <si>
    <t>Effect of Exchange Rate Changes on Net Cash</t>
  </si>
  <si>
    <t>Purchase of Investments</t>
  </si>
  <si>
    <t>Government Grant</t>
  </si>
  <si>
    <t>Sale of Intangible Assets</t>
  </si>
  <si>
    <t>Australian Stamp Duty Paid</t>
  </si>
  <si>
    <t>Receipts from Customers</t>
  </si>
  <si>
    <t>Sale of Other Assets</t>
  </si>
  <si>
    <t>Cash Transferred to Assts held for Resale</t>
  </si>
  <si>
    <t>Cash Removed on Sale of Subsidiary</t>
  </si>
  <si>
    <t>Advance Associate</t>
  </si>
  <si>
    <t>Consumer Acquisition Costs</t>
  </si>
  <si>
    <t>Acquisition of Controlled Entity</t>
  </si>
  <si>
    <t>Acquisition of ECNZ Assets</t>
  </si>
  <si>
    <t>Share Issuance</t>
  </si>
  <si>
    <t>ECNZ Loan</t>
  </si>
  <si>
    <t>Customer Contracts</t>
  </si>
  <si>
    <t>Source: Annual Reports         $'000</t>
  </si>
  <si>
    <r>
      <rPr>
        <b/>
        <i/>
        <sz val="8"/>
        <rFont val="Arial MT"/>
      </rPr>
      <t>change</t>
    </r>
    <r>
      <rPr>
        <b/>
        <sz val="8"/>
        <rFont val="Arial MT"/>
      </rPr>
      <t xml:space="preserve"> Historic Cost NBV</t>
    </r>
  </si>
  <si>
    <t>In-Business Capex</t>
  </si>
  <si>
    <t>Revaluation to Income Statement (- decrease)</t>
  </si>
  <si>
    <t>Presentation changed</t>
  </si>
  <si>
    <t>Credit Loss/Bad Debts Reserves</t>
  </si>
  <si>
    <t>Transition to IFRS adjustments</t>
  </si>
  <si>
    <t>Asset Impairments</t>
  </si>
  <si>
    <t xml:space="preserve">Depreciation Expense </t>
  </si>
  <si>
    <t>GS&amp;P</t>
  </si>
  <si>
    <t>[sources: 2009-2021 OCI;</t>
  </si>
  <si>
    <t>1999-2008 Notes PP&amp;E and movements in Equity]</t>
  </si>
  <si>
    <t>Revaluations Summary</t>
  </si>
  <si>
    <t>Taken to R Reserve</t>
  </si>
  <si>
    <t>Taken to Income Stat.</t>
  </si>
  <si>
    <t>CWIP</t>
  </si>
  <si>
    <t>Income Statements and Related Data</t>
  </si>
  <si>
    <t>Reconciliation of NPAT &amp; Operating Cash Flows: Non-cash Flow Items</t>
  </si>
  <si>
    <t>Income Statements and Other Expense Breakdown</t>
  </si>
  <si>
    <t>Transition from GAAP to IFRS Rules 2006 and 2007</t>
  </si>
  <si>
    <t>In-business Capex</t>
  </si>
  <si>
    <t>Financial</t>
  </si>
  <si>
    <t>Accounting</t>
  </si>
  <si>
    <t>By Category</t>
  </si>
  <si>
    <t>Lease Expense Commitments</t>
  </si>
  <si>
    <t>Sale or Purchase Transactions</t>
  </si>
  <si>
    <t>Financial performance summary and data summaries.</t>
  </si>
  <si>
    <t>Balance Sheets and Related Data</t>
  </si>
  <si>
    <t>Income Statement Fair Value Movement</t>
  </si>
  <si>
    <t>Income/GST Paid</t>
  </si>
  <si>
    <t>Source: 2008 Annual Report</t>
  </si>
  <si>
    <t>Total Taxation/Hedge Instruments alone</t>
  </si>
  <si>
    <t>Total Taxation/Hedge Instruments +Assets</t>
  </si>
  <si>
    <t>not material</t>
  </si>
  <si>
    <t>Change Deferred Tax Liability</t>
  </si>
  <si>
    <t xml:space="preserve"> Deferred  Liabilities</t>
  </si>
  <si>
    <t>Total Deferred Tax Liabilities</t>
  </si>
  <si>
    <t>Deferred Liabilities-Total Generation Deferred Liabilities</t>
  </si>
  <si>
    <t>Objective is to:</t>
  </si>
  <si>
    <t>FINANSEER chart of Accounts</t>
  </si>
  <si>
    <t>Selected adjustments have been identified:</t>
  </si>
  <si>
    <t>Operating Cash Tax is defined as, Income Taxation less increases in Deferred Taxes (plus other adjustments mainly related to non-operating one-off Deferred Tax effects).</t>
  </si>
  <si>
    <t>Tax assumption: neutral</t>
  </si>
  <si>
    <t>Movement in Temp Diff. to Equity</t>
  </si>
  <si>
    <t>Revaluation Depreciation</t>
  </si>
  <si>
    <t xml:space="preserve">The adjustments are designed to separate operating performance from financing decisions ultimately presenting the returns generated from an all equity funded business. </t>
  </si>
  <si>
    <t xml:space="preserve">the returns generated from an all equity funded business on a cash rather than accrual basis reflecting aggregate cash investment and distinguishing non-operating items. </t>
  </si>
  <si>
    <t xml:space="preserve">The reserves are a provision against anticipated future bad debts and as such changes in the provision are a non-cash charge against operating profits.  </t>
  </si>
  <si>
    <t xml:space="preserve">Reversal of the provision is necessary to ensure that operating profit reflects underlying cash flow.  The adjustment is consistent with the derivation of free cash flow in NPV or DCF models. </t>
  </si>
  <si>
    <t>NOPAT increases (decreases) and Capital increases (decreases) when adjustments are made for an increase (decrease) in the provision.</t>
  </si>
  <si>
    <t>Tax assumption: changes to cash tax is captured in deferred tax, otherwise assumed to be zero</t>
  </si>
  <si>
    <t>Materiality: very low for MEL</t>
  </si>
  <si>
    <t xml:space="preserve">The reserves are a provision against anticipated future write-offs and as such changes in the provision are a non-cash charge against operating profits.  </t>
  </si>
  <si>
    <t>NOPAT increases (decreases) and Capital increases (decreases) when adjustments are made for an increase (decrease) in the provision</t>
  </si>
  <si>
    <t>Non-recurring losses (gains) after tax are aggregated and added back to (deducted from) Capital</t>
  </si>
  <si>
    <t>after tax</t>
  </si>
  <si>
    <t>NOPAT excludes any Unusual Loss (Gain) including in the Income Statement</t>
  </si>
  <si>
    <t>Tax assumption: no consequences for cash tax as the after tax amount of the non-recurring loss (gain) is excluded from NOPAT</t>
  </si>
  <si>
    <t>Materiality: high for MEL</t>
  </si>
  <si>
    <t>Establishment/Asset Sale Costs</t>
  </si>
  <si>
    <t>Tax assumption: no consequences for cash tax as the after tax amount of the non-recurring cost is excluded from NOPAT</t>
  </si>
  <si>
    <t>Materiality: low for MEL</t>
  </si>
  <si>
    <t xml:space="preserve">Leases are a financing mechanism with the lease payment comprising depreciation, recovery of lessor operating costs (if any) and a financing component.  </t>
  </si>
  <si>
    <t xml:space="preserve">The financing component of the lease expense is not an operating cost with the after-tax cost excluded from NOPAT.  </t>
  </si>
  <si>
    <t xml:space="preserve">IWA has imputed the annual financing component of lease expenditure and adopted a capitalisation rate consistent with prevailing interest rates to enable consistent treatment of lease expenditures from 1999 through 2019. </t>
  </si>
  <si>
    <t>Tax assumption: the marginal corporate tax rate is applied to determine the after-tax cost of the lease financing component</t>
  </si>
  <si>
    <t>Asset impairments, write-offs, etc, that don't affect cash flow are reversed to re-establish the accounting book value and hence reflect the cash invested in the business.</t>
  </si>
  <si>
    <t xml:space="preserve">NOPAT will increase by the amount of any annual impairment charge and Capital will increase by the cumulative impairment charges. </t>
  </si>
  <si>
    <t>Materiality: medium for MEL</t>
  </si>
  <si>
    <t xml:space="preserve">For financial reporting Annual Depreciation Expense includes Depreciation based on normal Historic Cost and Depreciation on the revaluation component of PP&amp;E.  </t>
  </si>
  <si>
    <t>Revaluations are excluded from operating income and therefore the depreciation component of the revaluation needs to be removed from the annual depreciation provision.</t>
  </si>
  <si>
    <t xml:space="preserve">To determine the excess Depreciation as a consequence of reversing Revaluation a ratio of PP&amp;E at Net Book Value excluding Revaluations to Net PP&amp;E including Revaluations was used to allocate Total Depreciation.  </t>
  </si>
  <si>
    <t>The accumulated excess depreciation is added to capital to restore equity to historic cost.</t>
  </si>
  <si>
    <t xml:space="preserve">Under Meridian Energy's accounting policies a re-revaluation which results in a reduced valuation increment is posted to the Income Statement.  </t>
  </si>
  <si>
    <t>Revaluations are excluded from NOPAT and Capital and therefore the charge against NOPAT and the carrying value of PPE needs to be offset.</t>
  </si>
  <si>
    <t xml:space="preserve">NOPAT is increased by reversing the annual re-revaluation increment. Capital includes the net cumulative value of annual re-revaluations. </t>
  </si>
  <si>
    <t>Tax assumption: no consequences for cash tax</t>
  </si>
  <si>
    <t xml:space="preserve">Treasury Hedges are financing arrangements and are carried on the balance sheet.  They are revalued annually with changes in value taken to the Income Statement.   </t>
  </si>
  <si>
    <t>The cumulative net Treasury Hedge Gains (Losses) are restored to Capital (balance sheet Hedges in this case) and the historic cost is restored.</t>
  </si>
  <si>
    <t xml:space="preserve">For financial reporting Generation PP&amp;E Revaluations are taken straight to the balance sheet other than in instances of re-revalutions.  Depreciation is provided for on the reassessed carrying value and charged to the P&amp;L.  </t>
  </si>
  <si>
    <t>The cumulative revaluations are reversed to reflect Historic Cost with Capital reduced accordingly.</t>
  </si>
  <si>
    <t xml:space="preserve">Cash Tax relates to the continuing operating business so the deferred tax provision needs to reflect economic adjustments.  The deferred tax provision with respect to revaluations is the single biggest adjustment required.  </t>
  </si>
  <si>
    <t>Treasury Hedge Adjustment</t>
  </si>
  <si>
    <t>Energy Hedge Adjustment</t>
  </si>
  <si>
    <t>Asset Revaluations Adjustment</t>
  </si>
  <si>
    <t>Revaluation Increment to</t>
  </si>
  <si>
    <t>Deferred Tax Effects</t>
  </si>
  <si>
    <t xml:space="preserve"> of Adjustments </t>
  </si>
  <si>
    <t>Cash Tax</t>
  </si>
  <si>
    <t xml:space="preserve">restate reported financial information in an economic framework by adjusting the raw accounting data to reflect underlying economic performance.  </t>
  </si>
  <si>
    <t>Asset Sale/Unusual Loss (Gain)</t>
  </si>
  <si>
    <t>Non-recurring costs after tax are aggregated and added back to Capital</t>
  </si>
  <si>
    <t>NOPAT excludes any Unusual Costs</t>
  </si>
  <si>
    <t>From 2020, following a change in accounting standard, the treatment of lease expenditure in financial reporting is designed to reflect the economic framework.</t>
  </si>
  <si>
    <t>Accordingly, Treasury Hedge Gains (Losses) have been excluded from NOPAT as they are considered financing.</t>
  </si>
  <si>
    <t xml:space="preserve"> NOPAT effects including a related Deprecation adjustment and re-revaluation adjustment are addressed separately.</t>
  </si>
  <si>
    <t>The Deferred Tax related to Revaluations is reversed in the Cash Tax calculation leaving Deferred Tax related to Term Payables, Financial Instruments, Consumer Contracts and Other Payables/Recievables.</t>
  </si>
  <si>
    <t>Accounting Data</t>
  </si>
  <si>
    <t>Net Other Lease/PP&amp;E</t>
  </si>
  <si>
    <t xml:space="preserve">Annual Reports - 1999 to 2021 </t>
  </si>
  <si>
    <t>Base Model 2021</t>
  </si>
  <si>
    <t>(Gain)/loss on Sale of Assets</t>
  </si>
  <si>
    <t>Leases</t>
  </si>
  <si>
    <t>Less Deferred Tax Assets</t>
  </si>
  <si>
    <t>difference L30?</t>
  </si>
  <si>
    <t>Changes &amp; Corrections to 29 July Version</t>
  </si>
  <si>
    <t>IWA has adopted an economic analysis based on the asset being leased will be refinanced. Otherwise, a "forecast" must adjust downwards as there is no asset to generate revenue</t>
  </si>
  <si>
    <t>at the lease expiration.</t>
  </si>
  <si>
    <t>MEL included leases for 2020 and 2021 under PP&amp;E and Financing based on IFRS 16. The accounting basis is the present value of contractual costs.</t>
  </si>
  <si>
    <t xml:space="preserve">The doubling up is not material as the lease cost is less than $10m of which half is an imputed financing. </t>
  </si>
  <si>
    <t>IWA failed to copy across data from 2015 in the "Data Adjustment" worksheet. This has been corrected.</t>
  </si>
  <si>
    <t>Minor changes were made by MEL. Except for changing Revaluation Reserve corrections in 2020 has been ignored.</t>
  </si>
  <si>
    <t>The three components: impairments, non-cash energy hedge and revaluation depreciation have been analysed cumulative and by annual change. The various source data has been reconciled.</t>
  </si>
  <si>
    <t>It can be argued that the Deferred Tax is too variable over time and can be ignored. The average change in non-revaluation Deferred Tax is about $1,000 over 14 years.</t>
  </si>
  <si>
    <t>Disclaimer</t>
  </si>
  <si>
    <t>Disclaimer Statement:</t>
  </si>
  <si>
    <t>Ireland, Wallace &amp; Associates Limited ("IWA")</t>
  </si>
  <si>
    <t xml:space="preserve">This data collection and policy analysis by a financial analyst. It draws together conventional methodologies commonly applied in the investment </t>
  </si>
  <si>
    <t xml:space="preserve">and securities markets research and the author’s experience and judgement. </t>
  </si>
  <si>
    <t xml:space="preserve">This is not investment advice. Nobody is authorised to rely on it for investment decisions. It makes no recommendation to anyone </t>
  </si>
  <si>
    <t>other than to the Major Energy Users' Group ("MEUG") which has instructed IWA.</t>
  </si>
  <si>
    <t xml:space="preserve">The author accepts no liability to anyone for anything in theworksheetsor  review  for any action or inaction connected with it, whether or </t>
  </si>
  <si>
    <t>not the person has relied on it. It should not be copied or circulated other than in its entirety.</t>
  </si>
  <si>
    <t>The author has exercised care in producing it but only as far as he considers necessary for reputational purposes.</t>
  </si>
  <si>
    <t>The worksheets summarise Meridian Energy Limited's ("MEL") accounting statements and notes since separation from the</t>
  </si>
  <si>
    <t xml:space="preserve">Electricity Corporation of New Zealand Limited in 1999. Some data collected and their reconciliations are incomplete. </t>
  </si>
  <si>
    <t>The reader should verify data by reference to the source annual report (and related restatements, etc.)</t>
  </si>
  <si>
    <t xml:space="preserve">The data analysis will be updated or revised as new information emerges. There is no obligation on IWA or MEUG </t>
  </si>
  <si>
    <t>to notify anyone of revisions.</t>
  </si>
  <si>
    <t>amount, type, classification, or data is not reconciled or explained, etc., Some issues are material and some not.</t>
  </si>
  <si>
    <t>The worksheets collates, organises and summarises MEL data from annual reports.</t>
  </si>
  <si>
    <t xml:space="preserve">     as at 15 September 2021</t>
  </si>
  <si>
    <t xml:space="preserve"> 15 Sept 2021</t>
  </si>
  <si>
    <t>"2021 Meridian 15 Sept Base.xls"</t>
  </si>
  <si>
    <t xml:space="preserve">of estimated annual lease expenditure. </t>
  </si>
  <si>
    <t xml:space="preserve">Where the financing cost is not explicit an imputed finance cost of the lease expenditure is assessed.   The debt equivalent value of the lease is determined by capitalising the finance component </t>
  </si>
  <si>
    <t xml:space="preserve">The debt equivalent is added to Capital. </t>
  </si>
  <si>
    <t>Sufficient information is not available to emulate Meridian's 2020 and 2021 methods.</t>
  </si>
  <si>
    <t>Tax assumption: changes to cash tax is captured in deferred tax, otherwise assumed to be zero.</t>
  </si>
  <si>
    <t>Tax assumption: no consequences for cash tax.</t>
  </si>
  <si>
    <t xml:space="preserve">The current version is dated 15 September 2021. Bold/shaded cells flag uncertainties about </t>
  </si>
  <si>
    <t>Data Adjustments</t>
  </si>
  <si>
    <t xml:space="preserve">Prepared by Garth Ireland of Ireland, Wallace &amp; Associates Limited for The Major Electricity Users' Group. </t>
  </si>
  <si>
    <r>
      <t xml:space="preserve">A </t>
    </r>
    <r>
      <rPr>
        <u/>
        <sz val="11"/>
        <rFont val="Arial MT"/>
      </rPr>
      <t>Disclaimer Statemen</t>
    </r>
    <r>
      <rPr>
        <sz val="11"/>
        <rFont val="Arial MT"/>
      </rPr>
      <t>t is set out on the following page.</t>
    </r>
  </si>
  <si>
    <t>Financial Performance</t>
  </si>
  <si>
    <t>[Land &amp; Buildings from 2010]</t>
  </si>
  <si>
    <t>[including corrections/amendments]</t>
  </si>
  <si>
    <r>
      <t xml:space="preserve">3160 </t>
    </r>
    <r>
      <rPr>
        <b/>
        <sz val="12"/>
        <rFont val="Arial MT"/>
      </rPr>
      <t>NOPAT &amp; Capital</t>
    </r>
  </si>
  <si>
    <r>
      <t xml:space="preserve">3180 </t>
    </r>
    <r>
      <rPr>
        <b/>
        <sz val="12"/>
        <rFont val="Arial MT"/>
      </rPr>
      <t>Revaluation Increment to Income Statemen</t>
    </r>
    <r>
      <rPr>
        <sz val="12"/>
        <rFont val="Arial MT"/>
      </rPr>
      <t>t should have been accumulated for FINANSEER input. The annual amounts were wrongly included. This has been corrected.</t>
    </r>
  </si>
  <si>
    <r>
      <rPr>
        <b/>
        <sz val="12"/>
        <rFont val="Arial MT"/>
      </rPr>
      <t>Deferred Tax by Category</t>
    </r>
    <r>
      <rPr>
        <sz val="12"/>
        <rFont val="Arial MT"/>
      </rPr>
      <t xml:space="preserve"> has been detailed for information purposes. </t>
    </r>
  </si>
  <si>
    <r>
      <t xml:space="preserve">The </t>
    </r>
    <r>
      <rPr>
        <b/>
        <sz val="12"/>
        <rFont val="Arial MT"/>
      </rPr>
      <t>market risk premium</t>
    </r>
    <r>
      <rPr>
        <sz val="12"/>
        <rFont val="Arial MT"/>
      </rPr>
      <t xml:space="preserve"> has been increased for 2021 to 7.5% following the Commerce Commssion precedent.</t>
    </r>
  </si>
  <si>
    <r>
      <t xml:space="preserve">2020 </t>
    </r>
    <r>
      <rPr>
        <b/>
        <sz val="12"/>
        <rFont val="Arial MT"/>
      </rPr>
      <t>Restatements by MEL</t>
    </r>
  </si>
  <si>
    <r>
      <t>The resulting performance measure should better reflect the "cash return" on "cash invested" in operations. The derived Net Operating Profit after Tax (</t>
    </r>
    <r>
      <rPr>
        <b/>
        <sz val="11"/>
        <rFont val="Arial"/>
        <family val="2"/>
      </rPr>
      <t>"NOPAT")</t>
    </r>
    <r>
      <rPr>
        <sz val="11"/>
        <rFont val="Arial"/>
        <family val="2"/>
      </rPr>
      <t xml:space="preserve">  is the economic profit </t>
    </r>
  </si>
  <si>
    <r>
      <t>of an all equity funded business and the Operating Capital Employed (</t>
    </r>
    <r>
      <rPr>
        <b/>
        <sz val="11"/>
        <rFont val="Arial"/>
        <family val="2"/>
      </rPr>
      <t>"Capital"</t>
    </r>
    <r>
      <rPr>
        <sz val="11"/>
        <rFont val="Arial"/>
        <family val="2"/>
      </rPr>
      <t>) is the cash and cash-equivalent investment in operations.</t>
    </r>
  </si>
  <si>
    <t xml:space="preserve">Cumulative Energy Hedge Gains (Losses) are excluded from Capital. </t>
  </si>
  <si>
    <t>For financial reporting Energy Hedges, including Option Premiums are carried on the balance sheet. They are revalued annually with changes in value taken to the Income Statement.</t>
  </si>
  <si>
    <t>See "Depreciation Fair Value Effects" and "Revaluation Increment  to Income".</t>
  </si>
  <si>
    <t>In 2020 and 2021 the deferred tax changes relating to Enegy Hedges are  significant.</t>
  </si>
  <si>
    <t>Contents/Disclaimer/changes&amp; corrections</t>
  </si>
  <si>
    <t>Data Adjustments Notes</t>
  </si>
  <si>
    <t>Expenses 1999 - 2006</t>
  </si>
  <si>
    <t>PUBLIC Version</t>
  </si>
  <si>
    <t xml:space="preserve">Generally, unusual or one-off changes to Deferred Tax and reductions such as related to Building Tax Depreciation and Corporate Tax changes have yet to be addressed.  </t>
  </si>
  <si>
    <t>The deferred tax related to the one-off Tekapo sale may already be included in the Asset Revaluation Adjustment above. No specific adjustments have been made here.</t>
  </si>
  <si>
    <t xml:space="preserve">Currently, incorrectly both applications have been included in EVA calculations. The MEL treatment should be reversed leaving the IWA economic treatment.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</si>
</sst>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8" formatCode="&quot;$&quot;#,##0.00;[Red]\-&quot;$&quot;#,##0.00"/>
    <numFmt numFmtId="42" formatCode="_-&quot;$&quot;* #,##0_-;\-&quot;$&quot;* #,##0_-;_-&quot;$&quot;* &quot;-&quot;_-;_-@_-"/>
    <numFmt numFmtId="44" formatCode="_-&quot;$&quot;* #,##0.00_-;\-&quot;$&quot;* #,##0.00_-;_-&quot;$&quot;* &quot;-&quot;??_-;_-@_-"/>
    <numFmt numFmtId="43" formatCode="_-* #,##0.00_-;\-* #,##0.00_-;_-* &quot;-&quot;??_-;_-@_-"/>
    <numFmt numFmtId="164" formatCode="_(* #,##0.00_);_(* \(#,##0.00\);_(* &quot;-&quot;??_);_(@_)"/>
    <numFmt numFmtId="165" formatCode="0.0%"/>
    <numFmt numFmtId="166" formatCode="_(* #,##0_);_(* \(#,##0\);_(* &quot;-&quot;??_);_(@_)"/>
    <numFmt numFmtId="167" formatCode="_-* #,##0_-;\-* #,##0_-;_-* &quot;-&quot;??_-;_-@_-"/>
    <numFmt numFmtId="168" formatCode="_(* #,##0.0_);_(* \(#,##0.0\);_(* &quot;-&quot;??_);_(@_)"/>
    <numFmt numFmtId="169" formatCode="0.0"/>
    <numFmt numFmtId="170" formatCode="mmm"/>
    <numFmt numFmtId="171" formatCode="#,##0_);\(#,##0\);0_);@"/>
    <numFmt numFmtId="172" formatCode="#,##0_);\(#,##0\);0_)"/>
    <numFmt numFmtId="173" formatCode="* _(#,##0.0_);* \(#,##0.0\);* _(0.0_);* @_)"/>
    <numFmt numFmtId="174" formatCode="&quot;$&quot;#,##0_);&quot;$&quot;\(#,##0\);&quot;$&quot;0_);@"/>
    <numFmt numFmtId="175" formatCode="_(#,##0.00\ \x_);\(#,##0.00\ \x\);0.00\ \x_)"/>
    <numFmt numFmtId="176" formatCode="#,##0.00_);\(#,##0.00\);0.00_)"/>
    <numFmt numFmtId="177" formatCode="[$-F800]dddd\,\ mmmm\ dd\,\ yyyy"/>
    <numFmt numFmtId="178" formatCode="_-* #,##0_-;\-* #,##0_-;_-* &quot;-&quot;?_-;_-@_-"/>
    <numFmt numFmtId="179" formatCode="_-* #,##0.00_-;\-* #,##0.00_-;_-* &quot;-&quot;?_-;_-@_-"/>
    <numFmt numFmtId="180" formatCode="_(* #,##0.0000_);_(* \(#,##0.0000\);_(* &quot;-&quot;??_);_(@_)"/>
    <numFmt numFmtId="181" formatCode="_-* #,##0.0_-;\-* #,##0.0_-;_-* &quot;-&quot;??_-;_-@_-"/>
    <numFmt numFmtId="182" formatCode="_-&quot;$&quot;* #,##0_-;\-&quot;$&quot;* #,##0_-;_-&quot;$&quot;* &quot;-&quot;??_-;_-@_-"/>
    <numFmt numFmtId="183" formatCode="0.0E+00"/>
    <numFmt numFmtId="184" formatCode="[$-F400]h:mm:ss\ AM/PM"/>
    <numFmt numFmtId="185" formatCode="d/mm/yy;@"/>
  </numFmts>
  <fonts count="150">
    <font>
      <sz val="10"/>
      <name val="Arial MT"/>
    </font>
    <font>
      <sz val="10"/>
      <name val="Arial"/>
      <family val="2"/>
    </font>
    <font>
      <sz val="8"/>
      <name val="Arial MT"/>
    </font>
    <font>
      <sz val="10"/>
      <name val="Arial MT"/>
    </font>
    <font>
      <b/>
      <sz val="10"/>
      <name val="Century"/>
      <family val="1"/>
    </font>
    <font>
      <b/>
      <sz val="10"/>
      <name val="Arial MT"/>
    </font>
    <font>
      <sz val="9"/>
      <name val="Times New Roman"/>
      <family val="1"/>
    </font>
    <font>
      <b/>
      <sz val="9"/>
      <name val="Times New Roman"/>
      <family val="1"/>
    </font>
    <font>
      <sz val="9"/>
      <name val="Arial MT"/>
    </font>
    <font>
      <sz val="10"/>
      <name val="Arial"/>
      <family val="2"/>
    </font>
    <font>
      <b/>
      <sz val="11"/>
      <name val="Arial"/>
      <family val="2"/>
    </font>
    <font>
      <sz val="11"/>
      <name val="Arial"/>
      <family val="2"/>
    </font>
    <font>
      <sz val="11"/>
      <name val="Arial MT"/>
    </font>
    <font>
      <b/>
      <sz val="10"/>
      <name val="Arial"/>
      <family val="2"/>
    </font>
    <font>
      <i/>
      <sz val="10"/>
      <name val="Arial MT"/>
    </font>
    <font>
      <sz val="10"/>
      <name val="MS Sans Serif"/>
      <family val="2"/>
    </font>
    <font>
      <sz val="10"/>
      <color theme="0"/>
      <name val="Arial MT"/>
    </font>
    <font>
      <b/>
      <sz val="10"/>
      <color theme="0"/>
      <name val="Arial MT"/>
    </font>
    <font>
      <b/>
      <sz val="10"/>
      <color theme="0"/>
      <name val="Century"/>
      <family val="1"/>
    </font>
    <font>
      <u val="singleAccounting"/>
      <sz val="9"/>
      <name val="Times New Roman"/>
      <family val="1"/>
    </font>
    <font>
      <u val="doubleAccounting"/>
      <sz val="9"/>
      <name val="Times New Roman"/>
      <family val="1"/>
    </font>
    <font>
      <b/>
      <sz val="11"/>
      <color theme="1"/>
      <name val="Calibri"/>
      <family val="2"/>
      <scheme val="minor"/>
    </font>
    <font>
      <b/>
      <sz val="11"/>
      <name val="Arial MT"/>
    </font>
    <font>
      <i/>
      <sz val="9"/>
      <name val="Arial MT"/>
    </font>
    <font>
      <b/>
      <sz val="9"/>
      <name val="Arial MT"/>
    </font>
    <font>
      <b/>
      <sz val="11"/>
      <color theme="1"/>
      <name val="Arial"/>
      <family val="2"/>
    </font>
    <font>
      <sz val="11"/>
      <color theme="1"/>
      <name val="Arial"/>
      <family val="2"/>
    </font>
    <font>
      <b/>
      <sz val="11"/>
      <color theme="0"/>
      <name val="Arial"/>
      <family val="2"/>
    </font>
    <font>
      <i/>
      <sz val="11"/>
      <color theme="1"/>
      <name val="Arial"/>
      <family val="2"/>
    </font>
    <font>
      <sz val="9"/>
      <color theme="1"/>
      <name val="Arial"/>
      <family val="2"/>
    </font>
    <font>
      <b/>
      <sz val="8"/>
      <name val="Arial MT"/>
    </font>
    <font>
      <sz val="9"/>
      <color indexed="81"/>
      <name val="Tahoma"/>
      <family val="2"/>
    </font>
    <font>
      <b/>
      <i/>
      <sz val="10"/>
      <name val="Arial MT"/>
    </font>
    <font>
      <b/>
      <sz val="10"/>
      <color theme="1"/>
      <name val="Arial MT"/>
    </font>
    <font>
      <b/>
      <sz val="10"/>
      <name val="Arial Rounded MT Bold"/>
      <family val="2"/>
    </font>
    <font>
      <b/>
      <sz val="10"/>
      <color theme="0"/>
      <name val="Arial Rounded MT Bold"/>
      <family val="2"/>
    </font>
    <font>
      <b/>
      <sz val="12"/>
      <color theme="0"/>
      <name val="Arial MT"/>
    </font>
    <font>
      <b/>
      <sz val="12"/>
      <name val="Arial MT"/>
    </font>
    <font>
      <sz val="9"/>
      <name val="Calibri"/>
      <family val="2"/>
    </font>
    <font>
      <sz val="9"/>
      <name val="Arial"/>
      <family val="2"/>
    </font>
    <font>
      <sz val="9"/>
      <color theme="0"/>
      <name val="Arial MT"/>
    </font>
    <font>
      <i/>
      <sz val="8"/>
      <name val="Arial MT"/>
    </font>
    <font>
      <b/>
      <sz val="10"/>
      <color theme="1"/>
      <name val="Arial Rounded MT Bold"/>
      <family val="2"/>
    </font>
    <font>
      <b/>
      <sz val="12"/>
      <color theme="1"/>
      <name val="Arial MT"/>
    </font>
    <font>
      <b/>
      <sz val="11"/>
      <name val="Calibri"/>
      <family val="2"/>
      <scheme val="minor"/>
    </font>
    <font>
      <sz val="10"/>
      <name val="Arial Narrow"/>
      <family val="2"/>
    </font>
    <font>
      <sz val="8"/>
      <name val="Arial Narrow"/>
      <family val="2"/>
    </font>
    <font>
      <sz val="9"/>
      <name val="Arial Narrow"/>
      <family val="2"/>
    </font>
    <font>
      <sz val="11"/>
      <name val="Arial Narrow"/>
      <family val="2"/>
    </font>
    <font>
      <b/>
      <sz val="10"/>
      <color rgb="FFFF0000"/>
      <name val="Arial MT"/>
    </font>
    <font>
      <sz val="10"/>
      <color theme="0"/>
      <name val="Arial Narrow"/>
      <family val="2"/>
    </font>
    <font>
      <sz val="10"/>
      <color theme="3" tint="-0.249977111117893"/>
      <name val="Arial MT"/>
    </font>
    <font>
      <sz val="14"/>
      <name val="Franklin Gothic Demi"/>
      <family val="2"/>
    </font>
    <font>
      <b/>
      <sz val="11"/>
      <name val="Arial Narrow"/>
      <family val="2"/>
    </font>
    <font>
      <sz val="14"/>
      <name val="Arial MT"/>
    </font>
    <font>
      <b/>
      <sz val="14"/>
      <name val="Franklin Gothic Demi Cond"/>
      <family val="2"/>
    </font>
    <font>
      <b/>
      <sz val="14"/>
      <name val="Franklin Gothic Demi"/>
      <family val="2"/>
    </font>
    <font>
      <sz val="20"/>
      <name val="Franklin Gothic Demi Cond"/>
      <family val="2"/>
    </font>
    <font>
      <sz val="20"/>
      <name val="Arial MT"/>
    </font>
    <font>
      <i/>
      <sz val="20"/>
      <name val="Franklin Gothic Demi Cond"/>
      <family val="2"/>
    </font>
    <font>
      <b/>
      <sz val="11"/>
      <color rgb="FF000000"/>
      <name val="Calibri"/>
      <family val="2"/>
    </font>
    <font>
      <sz val="11"/>
      <color rgb="FF000000"/>
      <name val="Calibri"/>
      <family val="2"/>
    </font>
    <font>
      <b/>
      <sz val="8"/>
      <color theme="1"/>
      <name val="Calibri"/>
      <family val="2"/>
      <scheme val="minor"/>
    </font>
    <font>
      <b/>
      <sz val="10"/>
      <name val="Arial Narrow"/>
      <family val="2"/>
    </font>
    <font>
      <b/>
      <sz val="11"/>
      <color theme="1"/>
      <name val="Arial Narrow"/>
      <family val="2"/>
    </font>
    <font>
      <b/>
      <sz val="9"/>
      <name val="Arial Narrow"/>
      <family val="2"/>
    </font>
    <font>
      <b/>
      <sz val="10"/>
      <color rgb="FF0070C0"/>
      <name val="Arial MT"/>
    </font>
    <font>
      <b/>
      <sz val="10"/>
      <color theme="1"/>
      <name val="Arial Narrow"/>
      <family val="2"/>
    </font>
    <font>
      <i/>
      <sz val="10"/>
      <name val="Arial Narrow"/>
      <family val="2"/>
    </font>
    <font>
      <sz val="10"/>
      <color theme="1"/>
      <name val="Arial Narrow"/>
      <family val="2"/>
    </font>
    <font>
      <b/>
      <sz val="9"/>
      <color theme="0"/>
      <name val="Arial MT"/>
    </font>
    <font>
      <sz val="10"/>
      <color theme="1"/>
      <name val="Arial Rounded MT Bold"/>
      <family val="2"/>
    </font>
    <font>
      <sz val="10"/>
      <color theme="0"/>
      <name val="Arial Rounded MT Bold"/>
      <family val="2"/>
    </font>
    <font>
      <b/>
      <sz val="9"/>
      <color indexed="81"/>
      <name val="Tahoma"/>
      <family val="2"/>
    </font>
    <font>
      <b/>
      <sz val="11"/>
      <color rgb="FFFF0000"/>
      <name val="Arial Narrow"/>
      <family val="2"/>
    </font>
    <font>
      <sz val="11"/>
      <name val="Calibri"/>
      <family val="2"/>
      <scheme val="minor"/>
    </font>
    <font>
      <b/>
      <sz val="14"/>
      <name val="Arial MT"/>
    </font>
    <font>
      <sz val="8"/>
      <color theme="1"/>
      <name val="Calibri"/>
      <family val="2"/>
      <scheme val="minor"/>
    </font>
    <font>
      <b/>
      <sz val="11"/>
      <color rgb="FFC00000"/>
      <name val="Arial Narrow"/>
      <family val="2"/>
    </font>
    <font>
      <b/>
      <sz val="11"/>
      <color theme="3"/>
      <name val="Arial Narrow"/>
      <family val="2"/>
    </font>
    <font>
      <sz val="11"/>
      <color rgb="FF006100"/>
      <name val="Calibri"/>
      <family val="2"/>
      <scheme val="minor"/>
    </font>
    <font>
      <b/>
      <sz val="10"/>
      <color indexed="9"/>
      <name val="Arial MT"/>
    </font>
    <font>
      <sz val="10"/>
      <color indexed="9"/>
      <name val="Arial MT"/>
    </font>
    <font>
      <sz val="10"/>
      <name val="Century"/>
      <family val="1"/>
    </font>
    <font>
      <b/>
      <sz val="8"/>
      <name val="Arial"/>
      <family val="2"/>
    </font>
    <font>
      <sz val="8"/>
      <name val="Arial"/>
      <family val="2"/>
    </font>
    <font>
      <b/>
      <sz val="10"/>
      <color theme="0"/>
      <name val="Arial"/>
      <family val="2"/>
    </font>
    <font>
      <b/>
      <sz val="12"/>
      <name val="Arial"/>
      <family val="2"/>
    </font>
    <font>
      <b/>
      <sz val="12"/>
      <color theme="0"/>
      <name val="Arial"/>
      <family val="2"/>
    </font>
    <font>
      <b/>
      <sz val="14"/>
      <color theme="0"/>
      <name val="Arial"/>
      <family val="2"/>
    </font>
    <font>
      <b/>
      <sz val="10"/>
      <color indexed="9"/>
      <name val="Arial Rounded MT Bold"/>
      <family val="2"/>
    </font>
    <font>
      <sz val="10"/>
      <color indexed="9"/>
      <name val="Arial Rounded MT Bold"/>
      <family val="2"/>
    </font>
    <font>
      <b/>
      <sz val="14"/>
      <color theme="0"/>
      <name val="Arial Rounded MT Bold"/>
      <family val="2"/>
    </font>
    <font>
      <sz val="14"/>
      <color theme="0"/>
      <name val="Arial Rounded MT Bold"/>
      <family val="2"/>
    </font>
    <font>
      <b/>
      <i/>
      <sz val="10"/>
      <color theme="2"/>
      <name val="Century"/>
      <family val="1"/>
    </font>
    <font>
      <sz val="10"/>
      <color theme="0"/>
      <name val="Century"/>
      <family val="1"/>
    </font>
    <font>
      <b/>
      <sz val="10"/>
      <color theme="2"/>
      <name val="Century"/>
      <family val="1"/>
    </font>
    <font>
      <b/>
      <sz val="10"/>
      <color theme="2"/>
      <name val="Arial MT"/>
    </font>
    <font>
      <sz val="12"/>
      <name val="Arial MT"/>
    </font>
    <font>
      <b/>
      <sz val="9"/>
      <color theme="0"/>
      <name val="Arial"/>
      <family val="2"/>
    </font>
    <font>
      <b/>
      <i/>
      <sz val="12"/>
      <name val="Arial MT"/>
    </font>
    <font>
      <b/>
      <sz val="14"/>
      <name val="Arial"/>
      <family val="2"/>
    </font>
    <font>
      <b/>
      <sz val="9"/>
      <color theme="0"/>
      <name val="Arial Rounded MT Bold"/>
      <family val="2"/>
    </font>
    <font>
      <b/>
      <sz val="9"/>
      <name val="Courier New"/>
      <family val="3"/>
    </font>
    <font>
      <b/>
      <sz val="8"/>
      <name val="Courier New"/>
      <family val="3"/>
    </font>
    <font>
      <sz val="8"/>
      <color rgb="FFFF0000"/>
      <name val="Arial MT"/>
    </font>
    <font>
      <b/>
      <i/>
      <sz val="8"/>
      <name val="Arial MT"/>
    </font>
    <font>
      <b/>
      <sz val="8"/>
      <color theme="0"/>
      <name val="Arial"/>
      <family val="2"/>
    </font>
    <font>
      <b/>
      <sz val="8"/>
      <color theme="0"/>
      <name val="Arial Rounded MT Bold"/>
      <family val="2"/>
    </font>
    <font>
      <b/>
      <sz val="8"/>
      <name val="Arial Rounded MT Bold"/>
      <family val="2"/>
    </font>
    <font>
      <b/>
      <i/>
      <sz val="9"/>
      <name val="Arial MT"/>
    </font>
    <font>
      <b/>
      <sz val="8"/>
      <color theme="0"/>
      <name val="Arial MT"/>
    </font>
    <font>
      <sz val="8"/>
      <color theme="0"/>
      <name val="Arial MT"/>
    </font>
    <font>
      <sz val="9"/>
      <color theme="0"/>
      <name val="Arial Rounded MT Bold"/>
      <family val="2"/>
    </font>
    <font>
      <sz val="8"/>
      <color indexed="9"/>
      <name val="Arial MT"/>
    </font>
    <font>
      <i/>
      <sz val="12"/>
      <name val="Arial MT"/>
    </font>
    <font>
      <sz val="9"/>
      <color indexed="9"/>
      <name val="Arial MT"/>
    </font>
    <font>
      <sz val="8"/>
      <name val="Century"/>
      <family val="1"/>
    </font>
    <font>
      <b/>
      <sz val="9"/>
      <color indexed="9"/>
      <name val="Arial"/>
      <family val="2"/>
    </font>
    <font>
      <b/>
      <sz val="9"/>
      <color indexed="9"/>
      <name val="Arial Rounded MT Bold"/>
      <family val="2"/>
    </font>
    <font>
      <sz val="9"/>
      <color indexed="9"/>
      <name val="Arial Rounded MT Bold"/>
      <family val="2"/>
    </font>
    <font>
      <sz val="12"/>
      <name val="Arial"/>
      <family val="2"/>
    </font>
    <font>
      <b/>
      <sz val="8"/>
      <color theme="1"/>
      <name val="Arial MT"/>
    </font>
    <font>
      <sz val="8"/>
      <color indexed="8"/>
      <name val="Century Gothic"/>
      <family val="2"/>
    </font>
    <font>
      <sz val="8"/>
      <color theme="1"/>
      <name val="Century Gothic"/>
      <family val="2"/>
    </font>
    <font>
      <b/>
      <sz val="8"/>
      <color rgb="FFF26522"/>
      <name val="Century Gothic"/>
      <family val="2"/>
    </font>
    <font>
      <b/>
      <sz val="8"/>
      <color rgb="FF1E196A"/>
      <name val="Century Gothic"/>
      <family val="2"/>
    </font>
    <font>
      <sz val="8"/>
      <color theme="0"/>
      <name val="Arial Narrow"/>
      <family val="2"/>
    </font>
    <font>
      <sz val="8"/>
      <color rgb="FFFF0000"/>
      <name val="Arial Narrow"/>
      <family val="2"/>
    </font>
    <font>
      <sz val="8"/>
      <name val="Franklin Gothic Demi Cond"/>
      <family val="2"/>
    </font>
    <font>
      <b/>
      <sz val="8"/>
      <name val="Arial Narrow"/>
      <family val="2"/>
    </font>
    <font>
      <b/>
      <sz val="8"/>
      <name val="Franklin Gothic Demi"/>
      <family val="2"/>
    </font>
    <font>
      <b/>
      <i/>
      <u/>
      <sz val="8"/>
      <name val="Arial MT"/>
    </font>
    <font>
      <sz val="8"/>
      <name val="Courier New"/>
      <family val="3"/>
    </font>
    <font>
      <b/>
      <i/>
      <sz val="11"/>
      <name val="Arial MT"/>
    </font>
    <font>
      <u/>
      <sz val="10"/>
      <color theme="10"/>
      <name val="Arial MT"/>
    </font>
    <font>
      <b/>
      <sz val="7"/>
      <name val="Arial MT"/>
    </font>
    <font>
      <sz val="7"/>
      <name val="Arial MT"/>
    </font>
    <font>
      <b/>
      <sz val="20"/>
      <name val="Arial"/>
      <family val="2"/>
    </font>
    <font>
      <b/>
      <sz val="18"/>
      <name val="Arial MT"/>
    </font>
    <font>
      <b/>
      <i/>
      <sz val="18"/>
      <name val="Arial MT"/>
    </font>
    <font>
      <b/>
      <sz val="10"/>
      <color theme="1"/>
      <name val="Arial"/>
      <family val="2"/>
    </font>
    <font>
      <b/>
      <sz val="14"/>
      <color theme="1"/>
      <name val="Arial"/>
      <family val="2"/>
    </font>
    <font>
      <b/>
      <sz val="14"/>
      <color theme="10"/>
      <name val="Arial MT"/>
    </font>
    <font>
      <sz val="8"/>
      <color rgb="FFFF0000"/>
      <name val="Arial"/>
      <family val="2"/>
    </font>
    <font>
      <b/>
      <i/>
      <sz val="14"/>
      <name val="Arial MT"/>
    </font>
    <font>
      <u/>
      <sz val="11"/>
      <name val="Arial MT"/>
    </font>
    <font>
      <b/>
      <sz val="11"/>
      <color theme="0"/>
      <name val="Arial MT"/>
    </font>
    <font>
      <sz val="11"/>
      <name val="Courier New"/>
      <family val="3"/>
    </font>
    <font>
      <sz val="10"/>
      <name val="Times New Roman"/>
      <family val="1"/>
    </font>
  </fonts>
  <fills count="41">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0"/>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rgb="FFFFC000"/>
        <bgColor indexed="64"/>
      </patternFill>
    </fill>
    <fill>
      <patternFill patternType="solid">
        <fgColor rgb="FFFF0000"/>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rgb="FF0070C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92D050"/>
        <bgColor indexed="64"/>
      </patternFill>
    </fill>
    <fill>
      <patternFill patternType="solid">
        <fgColor rgb="FF23262A"/>
        <bgColor indexed="64"/>
      </patternFill>
    </fill>
    <fill>
      <patternFill patternType="solid">
        <fgColor rgb="FF5FC6F5"/>
        <bgColor indexed="64"/>
      </patternFill>
    </fill>
    <fill>
      <patternFill patternType="solid">
        <fgColor rgb="FF1293D4"/>
        <bgColor indexed="64"/>
      </patternFill>
    </fill>
    <fill>
      <patternFill patternType="solid">
        <fgColor rgb="FF083F5A"/>
        <bgColor indexed="64"/>
      </patternFill>
    </fill>
    <fill>
      <patternFill patternType="solid">
        <fgColor rgb="FFFFCD2F"/>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5" tint="0.79998168889431442"/>
        <bgColor rgb="FF000000"/>
      </patternFill>
    </fill>
    <fill>
      <patternFill patternType="solid">
        <fgColor rgb="FFC00000"/>
        <bgColor indexed="64"/>
      </patternFill>
    </fill>
    <fill>
      <patternFill patternType="solid">
        <fgColor theme="4" tint="-0.249977111117893"/>
        <bgColor indexed="64"/>
      </patternFill>
    </fill>
    <fill>
      <patternFill patternType="solid">
        <fgColor theme="0" tint="-0.499984740745262"/>
        <bgColor indexed="64"/>
      </patternFill>
    </fill>
    <fill>
      <patternFill patternType="solid">
        <fgColor rgb="FFC6EFCE"/>
      </patternFill>
    </fill>
    <fill>
      <patternFill patternType="solid">
        <fgColor theme="2" tint="-9.9978637043366805E-2"/>
        <bgColor indexed="64"/>
      </patternFill>
    </fill>
    <fill>
      <patternFill patternType="solid">
        <fgColor theme="2"/>
        <bgColor indexed="64"/>
      </patternFill>
    </fill>
    <fill>
      <patternFill patternType="solid">
        <fgColor indexed="8"/>
        <bgColor indexed="64"/>
      </patternFill>
    </fill>
    <fill>
      <patternFill patternType="solid">
        <fgColor theme="8"/>
        <bgColor indexed="64"/>
      </patternFill>
    </fill>
    <fill>
      <patternFill patternType="solid">
        <fgColor rgb="FF0067B4"/>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indexed="13"/>
        <bgColor indexed="64"/>
      </patternFill>
    </fill>
  </fills>
  <borders count="31">
    <border>
      <left/>
      <right/>
      <top/>
      <bottom/>
      <diagonal/>
    </border>
    <border>
      <left/>
      <right/>
      <top/>
      <bottom style="thin">
        <color indexed="64"/>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bottom/>
      <diagonal/>
    </border>
    <border>
      <left/>
      <right/>
      <top style="double">
        <color indexed="64"/>
      </top>
      <bottom/>
      <diagonal/>
    </border>
    <border>
      <left/>
      <right/>
      <top style="medium">
        <color indexed="64"/>
      </top>
      <bottom style="thin">
        <color indexed="64"/>
      </bottom>
      <diagonal/>
    </border>
    <border>
      <left/>
      <right/>
      <top/>
      <bottom style="thin">
        <color rgb="FF000000"/>
      </bottom>
      <diagonal/>
    </border>
    <border>
      <left style="thin">
        <color indexed="64"/>
      </left>
      <right/>
      <top style="medium">
        <color indexed="64"/>
      </top>
      <bottom/>
      <diagonal/>
    </border>
    <border>
      <left/>
      <right/>
      <top style="medium">
        <color indexed="64"/>
      </top>
      <bottom/>
      <diagonal/>
    </border>
    <border>
      <left/>
      <right/>
      <top style="thin">
        <color rgb="FF000000"/>
      </top>
      <bottom/>
      <diagonal/>
    </border>
    <border>
      <left/>
      <right/>
      <top style="double">
        <color indexed="64"/>
      </top>
      <bottom style="thin">
        <color indexed="64"/>
      </bottom>
      <diagonal/>
    </border>
    <border>
      <left style="thin">
        <color indexed="64"/>
      </left>
      <right/>
      <top style="thin">
        <color rgb="FF000000"/>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20">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170" fontId="15" fillId="0" borderId="0"/>
    <xf numFmtId="171" fontId="6" fillId="0" borderId="0" applyBorder="0" applyAlignment="0">
      <alignment horizontal="right"/>
    </xf>
    <xf numFmtId="0" fontId="19" fillId="0" borderId="0" applyFill="0" applyBorder="0">
      <alignment horizontal="right"/>
    </xf>
    <xf numFmtId="172" fontId="7" fillId="0" borderId="0" applyFill="0" applyAlignment="0">
      <alignment horizontal="right"/>
    </xf>
    <xf numFmtId="173" fontId="20" fillId="0" borderId="0" applyNumberFormat="0" applyFill="0" applyBorder="0" applyAlignment="0">
      <alignment horizontal="right"/>
    </xf>
    <xf numFmtId="174" fontId="6" fillId="0" borderId="0" applyFill="0" applyBorder="0" applyAlignment="0" applyProtection="0">
      <alignment horizontal="right"/>
    </xf>
    <xf numFmtId="175" fontId="6" fillId="0" borderId="0" applyFill="0" applyBorder="0" applyAlignment="0">
      <alignment horizontal="right"/>
    </xf>
    <xf numFmtId="176" fontId="6" fillId="0" borderId="0" applyFill="0" applyBorder="0" applyAlignment="0">
      <alignment horizontal="right"/>
    </xf>
    <xf numFmtId="44" fontId="3" fillId="0" borderId="0" applyFont="0" applyFill="0" applyBorder="0" applyAlignment="0" applyProtection="0"/>
    <xf numFmtId="0" fontId="1" fillId="0" borderId="0"/>
    <xf numFmtId="9" fontId="1" fillId="0" borderId="0" applyFont="0" applyFill="0" applyBorder="0" applyAlignment="0" applyProtection="0"/>
    <xf numFmtId="0" fontId="80" fillId="32" borderId="0" applyNumberFormat="0" applyBorder="0" applyAlignment="0" applyProtection="0"/>
    <xf numFmtId="43" fontId="1" fillId="0" borderId="0" applyFont="0" applyFill="0" applyBorder="0" applyAlignment="0" applyProtection="0"/>
    <xf numFmtId="0" fontId="1" fillId="0" borderId="0"/>
    <xf numFmtId="44" fontId="3" fillId="0" borderId="0" applyFont="0" applyFill="0" applyBorder="0" applyAlignment="0" applyProtection="0"/>
    <xf numFmtId="0" fontId="135" fillId="0" borderId="0" applyNumberFormat="0" applyFill="0" applyBorder="0" applyAlignment="0" applyProtection="0"/>
  </cellStyleXfs>
  <cellXfs count="1513">
    <xf numFmtId="0" fontId="0" fillId="0" borderId="0" xfId="0"/>
    <xf numFmtId="0" fontId="5" fillId="0" borderId="0" xfId="0" applyFont="1"/>
    <xf numFmtId="166" fontId="0" fillId="0" borderId="0" xfId="1" applyNumberFormat="1" applyFont="1" applyBorder="1"/>
    <xf numFmtId="0" fontId="0" fillId="0" borderId="0" xfId="0" applyAlignment="1">
      <alignment horizontal="right"/>
    </xf>
    <xf numFmtId="0" fontId="0" fillId="0" borderId="1" xfId="0" applyBorder="1"/>
    <xf numFmtId="165" fontId="0" fillId="0" borderId="0" xfId="2" applyNumberFormat="1" applyFont="1"/>
    <xf numFmtId="0" fontId="8" fillId="0" borderId="0" xfId="0" applyFont="1" applyBorder="1"/>
    <xf numFmtId="0" fontId="8" fillId="0" borderId="0" xfId="0" applyFont="1"/>
    <xf numFmtId="169" fontId="0" fillId="0" borderId="0" xfId="0" applyNumberFormat="1"/>
    <xf numFmtId="167" fontId="0" fillId="0" borderId="0" xfId="0" applyNumberFormat="1"/>
    <xf numFmtId="0" fontId="0" fillId="0" borderId="0" xfId="0" applyBorder="1"/>
    <xf numFmtId="166" fontId="0" fillId="0" borderId="0" xfId="1" applyNumberFormat="1" applyFont="1" applyFill="1" applyBorder="1"/>
    <xf numFmtId="166" fontId="0" fillId="0" borderId="1" xfId="1" applyNumberFormat="1" applyFont="1" applyFill="1" applyBorder="1"/>
    <xf numFmtId="0" fontId="0" fillId="0" borderId="0" xfId="0" applyFill="1"/>
    <xf numFmtId="0" fontId="11" fillId="0" borderId="1" xfId="0" applyFont="1" applyBorder="1"/>
    <xf numFmtId="0" fontId="11" fillId="0" borderId="0" xfId="0" applyFont="1"/>
    <xf numFmtId="0" fontId="5" fillId="0" borderId="1" xfId="0" applyFont="1" applyBorder="1"/>
    <xf numFmtId="166" fontId="0" fillId="0" borderId="0" xfId="0" applyNumberFormat="1"/>
    <xf numFmtId="166" fontId="0" fillId="0" borderId="0" xfId="0" applyNumberFormat="1" applyBorder="1"/>
    <xf numFmtId="0" fontId="12" fillId="0" borderId="0" xfId="0" applyFont="1"/>
    <xf numFmtId="166" fontId="0" fillId="0" borderId="0" xfId="0" applyNumberFormat="1" applyFill="1"/>
    <xf numFmtId="166" fontId="0" fillId="0" borderId="0" xfId="0" applyNumberFormat="1" applyFill="1" applyBorder="1"/>
    <xf numFmtId="0" fontId="0" fillId="0" borderId="1" xfId="0" applyFill="1" applyBorder="1"/>
    <xf numFmtId="0" fontId="0" fillId="0" borderId="0" xfId="0" applyFill="1" applyBorder="1"/>
    <xf numFmtId="0" fontId="14" fillId="0" borderId="0" xfId="0" applyFont="1"/>
    <xf numFmtId="10" fontId="0" fillId="0" borderId="0" xfId="2" applyNumberFormat="1" applyFont="1"/>
    <xf numFmtId="0" fontId="5" fillId="0" borderId="1" xfId="0" applyFont="1" applyFill="1" applyBorder="1"/>
    <xf numFmtId="166" fontId="0" fillId="0" borderId="1" xfId="0" applyNumberFormat="1" applyBorder="1"/>
    <xf numFmtId="165" fontId="0" fillId="0" borderId="0" xfId="2" applyNumberFormat="1" applyFont="1" applyFill="1" applyBorder="1"/>
    <xf numFmtId="166" fontId="0" fillId="0" borderId="1" xfId="0" applyNumberFormat="1" applyFill="1" applyBorder="1"/>
    <xf numFmtId="0" fontId="5" fillId="0" borderId="0" xfId="0" applyFont="1" applyFill="1" applyBorder="1"/>
    <xf numFmtId="165" fontId="0" fillId="0" borderId="0" xfId="2" applyNumberFormat="1" applyFont="1" applyFill="1"/>
    <xf numFmtId="0" fontId="0" fillId="0" borderId="0" xfId="0" applyFill="1" applyAlignment="1">
      <alignment horizontal="right"/>
    </xf>
    <xf numFmtId="166" fontId="0" fillId="0" borderId="0" xfId="1" applyNumberFormat="1" applyFont="1" applyFill="1" applyBorder="1" applyAlignment="1">
      <alignment horizontal="right"/>
    </xf>
    <xf numFmtId="0" fontId="0" fillId="0" borderId="0" xfId="0" applyAlignment="1">
      <alignment horizontal="left" indent="1"/>
    </xf>
    <xf numFmtId="165" fontId="0" fillId="0" borderId="0" xfId="2" applyNumberFormat="1" applyFont="1" applyBorder="1"/>
    <xf numFmtId="9" fontId="0" fillId="0" borderId="0" xfId="2" applyFont="1"/>
    <xf numFmtId="0" fontId="0" fillId="0" borderId="0" xfId="0" applyFont="1" applyFill="1"/>
    <xf numFmtId="0" fontId="0" fillId="0" borderId="7" xfId="0" applyBorder="1"/>
    <xf numFmtId="0" fontId="0" fillId="0" borderId="0" xfId="0" applyFont="1" applyFill="1" applyBorder="1"/>
    <xf numFmtId="166" fontId="0" fillId="0" borderId="2" xfId="1" applyNumberFormat="1" applyFont="1" applyFill="1" applyBorder="1"/>
    <xf numFmtId="0" fontId="0" fillId="0" borderId="0" xfId="0" applyFont="1" applyBorder="1"/>
    <xf numFmtId="0" fontId="1" fillId="0" borderId="0" xfId="0" applyFont="1" applyBorder="1"/>
    <xf numFmtId="0" fontId="0" fillId="0" borderId="1" xfId="0" applyFont="1" applyFill="1" applyBorder="1"/>
    <xf numFmtId="0" fontId="0" fillId="2" borderId="0" xfId="0" applyFill="1"/>
    <xf numFmtId="166" fontId="5" fillId="0" borderId="0" xfId="1" applyNumberFormat="1" applyFont="1" applyFill="1" applyBorder="1"/>
    <xf numFmtId="0" fontId="0" fillId="0" borderId="0" xfId="0" applyFont="1" applyAlignment="1">
      <alignment horizontal="right"/>
    </xf>
    <xf numFmtId="0" fontId="18" fillId="4" borderId="6" xfId="0" applyFont="1" applyFill="1" applyBorder="1"/>
    <xf numFmtId="0" fontId="0" fillId="0" borderId="4" xfId="0" applyBorder="1"/>
    <xf numFmtId="0" fontId="0" fillId="0" borderId="1" xfId="0" applyBorder="1" applyAlignment="1">
      <alignment horizontal="right"/>
    </xf>
    <xf numFmtId="167" fontId="0" fillId="0" borderId="0" xfId="1" applyNumberFormat="1" applyFont="1" applyFill="1" applyBorder="1"/>
    <xf numFmtId="0" fontId="5" fillId="0" borderId="0" xfId="0" applyFont="1" applyBorder="1"/>
    <xf numFmtId="0" fontId="2" fillId="0" borderId="0" xfId="0" applyFont="1"/>
    <xf numFmtId="165" fontId="11" fillId="0" borderId="0" xfId="2" applyNumberFormat="1" applyFont="1"/>
    <xf numFmtId="166" fontId="0" fillId="5" borderId="0" xfId="0" applyNumberFormat="1" applyFill="1"/>
    <xf numFmtId="0" fontId="0" fillId="0" borderId="0" xfId="0"/>
    <xf numFmtId="0" fontId="0" fillId="0" borderId="0" xfId="0" applyBorder="1" applyAlignment="1">
      <alignment horizontal="right"/>
    </xf>
    <xf numFmtId="0" fontId="5" fillId="0" borderId="0" xfId="0" applyFont="1" applyAlignment="1">
      <alignment horizontal="right"/>
    </xf>
    <xf numFmtId="0" fontId="0" fillId="0" borderId="0" xfId="0"/>
    <xf numFmtId="0" fontId="0" fillId="0" borderId="0" xfId="0"/>
    <xf numFmtId="0" fontId="8" fillId="0" borderId="0" xfId="0" applyFont="1" applyAlignment="1">
      <alignment horizontal="right"/>
    </xf>
    <xf numFmtId="177" fontId="17" fillId="4" borderId="0" xfId="0" applyNumberFormat="1" applyFont="1" applyFill="1" applyAlignment="1">
      <alignment horizontal="left"/>
    </xf>
    <xf numFmtId="0" fontId="5" fillId="2" borderId="0" xfId="0" applyFont="1" applyFill="1"/>
    <xf numFmtId="165" fontId="0" fillId="0" borderId="0" xfId="0" applyNumberFormat="1" applyFill="1"/>
    <xf numFmtId="166" fontId="8" fillId="0" borderId="0" xfId="0" applyNumberFormat="1" applyFont="1" applyFill="1" applyBorder="1"/>
    <xf numFmtId="0" fontId="0" fillId="0" borderId="0" xfId="0" applyFill="1" applyAlignment="1">
      <alignment horizontal="left" indent="1"/>
    </xf>
    <xf numFmtId="0" fontId="0" fillId="0" borderId="0" xfId="0"/>
    <xf numFmtId="0" fontId="2" fillId="0" borderId="1" xfId="0" applyFont="1" applyBorder="1"/>
    <xf numFmtId="0" fontId="17" fillId="0" borderId="0" xfId="0" applyFont="1" applyFill="1" applyBorder="1"/>
    <xf numFmtId="0" fontId="2" fillId="0" borderId="0" xfId="0" applyFont="1" applyBorder="1"/>
    <xf numFmtId="166" fontId="2" fillId="0" borderId="0" xfId="0" applyNumberFormat="1" applyFont="1"/>
    <xf numFmtId="166" fontId="2" fillId="0" borderId="0" xfId="0" applyNumberFormat="1" applyFont="1" applyBorder="1"/>
    <xf numFmtId="0" fontId="2" fillId="0" borderId="0" xfId="0" applyFont="1" applyBorder="1" applyAlignment="1">
      <alignment horizontal="right"/>
    </xf>
    <xf numFmtId="0" fontId="2" fillId="0" borderId="0" xfId="0" applyFont="1" applyFill="1" applyBorder="1"/>
    <xf numFmtId="0" fontId="2" fillId="0" borderId="1" xfId="0" applyFont="1" applyFill="1" applyBorder="1"/>
    <xf numFmtId="9" fontId="0" fillId="0" borderId="0" xfId="2" applyFont="1" applyFill="1" applyBorder="1"/>
    <xf numFmtId="165" fontId="0" fillId="0" borderId="1" xfId="2" applyNumberFormat="1" applyFont="1" applyFill="1" applyBorder="1"/>
    <xf numFmtId="0" fontId="0" fillId="0" borderId="0" xfId="0"/>
    <xf numFmtId="165" fontId="2" fillId="0" borderId="0" xfId="2" applyNumberFormat="1" applyFont="1"/>
    <xf numFmtId="0" fontId="0" fillId="0" borderId="0" xfId="0"/>
    <xf numFmtId="0" fontId="0" fillId="0" borderId="0" xfId="0" applyFont="1"/>
    <xf numFmtId="166" fontId="8" fillId="0" borderId="0" xfId="1" applyNumberFormat="1" applyFont="1" applyFill="1" applyBorder="1"/>
    <xf numFmtId="165" fontId="8" fillId="0" borderId="0" xfId="2" applyNumberFormat="1" applyFont="1" applyFill="1" applyBorder="1"/>
    <xf numFmtId="168" fontId="0" fillId="0" borderId="0" xfId="1" applyNumberFormat="1" applyFont="1" applyFill="1" applyBorder="1"/>
    <xf numFmtId="9" fontId="0" fillId="0" borderId="0" xfId="2" applyFont="1" applyBorder="1"/>
    <xf numFmtId="165" fontId="0" fillId="0" borderId="0" xfId="0" applyNumberFormat="1"/>
    <xf numFmtId="0" fontId="25" fillId="0" borderId="0" xfId="0" applyFont="1" applyBorder="1"/>
    <xf numFmtId="165" fontId="26" fillId="0" borderId="1" xfId="0" applyNumberFormat="1" applyFont="1" applyFill="1" applyBorder="1" applyAlignment="1">
      <alignment horizontal="right"/>
    </xf>
    <xf numFmtId="0" fontId="27" fillId="4" borderId="0" xfId="0" applyFont="1" applyFill="1" applyAlignment="1"/>
    <xf numFmtId="0" fontId="26" fillId="0" borderId="0" xfId="0" applyFont="1"/>
    <xf numFmtId="0" fontId="26" fillId="0" borderId="0" xfId="0" applyFont="1" applyFill="1" applyAlignment="1">
      <alignment horizontal="right"/>
    </xf>
    <xf numFmtId="0" fontId="25" fillId="0" borderId="1" xfId="0" applyFont="1" applyFill="1" applyBorder="1"/>
    <xf numFmtId="0" fontId="25" fillId="0" borderId="1" xfId="0" applyFont="1" applyBorder="1"/>
    <xf numFmtId="0" fontId="26" fillId="0" borderId="0" xfId="0" applyFont="1" applyAlignment="1">
      <alignment horizontal="right"/>
    </xf>
    <xf numFmtId="0" fontId="26" fillId="0" borderId="0" xfId="0" applyFont="1" applyFill="1"/>
    <xf numFmtId="166" fontId="26" fillId="0" borderId="0" xfId="0" applyNumberFormat="1" applyFont="1" applyFill="1" applyBorder="1"/>
    <xf numFmtId="166" fontId="26" fillId="0" borderId="1" xfId="0" applyNumberFormat="1" applyFont="1" applyFill="1" applyBorder="1"/>
    <xf numFmtId="0" fontId="25" fillId="0" borderId="0" xfId="0" applyFont="1" applyFill="1"/>
    <xf numFmtId="166" fontId="25" fillId="0" borderId="0" xfId="0" applyNumberFormat="1" applyFont="1" applyFill="1" applyBorder="1"/>
    <xf numFmtId="9" fontId="26" fillId="0" borderId="0" xfId="2" applyNumberFormat="1" applyFont="1" applyFill="1"/>
    <xf numFmtId="2" fontId="26" fillId="0" borderId="0" xfId="0" applyNumberFormat="1" applyFont="1" applyFill="1"/>
    <xf numFmtId="0" fontId="26" fillId="0" borderId="1" xfId="0" applyFont="1" applyFill="1" applyBorder="1" applyAlignment="1">
      <alignment horizontal="right"/>
    </xf>
    <xf numFmtId="165" fontId="26" fillId="0" borderId="0" xfId="2" applyNumberFormat="1" applyFont="1" applyFill="1" applyAlignment="1">
      <alignment horizontal="right"/>
    </xf>
    <xf numFmtId="165" fontId="26" fillId="0" borderId="1" xfId="2" applyNumberFormat="1" applyFont="1" applyFill="1" applyBorder="1" applyAlignment="1">
      <alignment horizontal="right"/>
    </xf>
    <xf numFmtId="165" fontId="26" fillId="0" borderId="0" xfId="0" applyNumberFormat="1" applyFont="1" applyFill="1" applyAlignment="1">
      <alignment horizontal="right"/>
    </xf>
    <xf numFmtId="166" fontId="26" fillId="0" borderId="0" xfId="0" applyNumberFormat="1" applyFont="1" applyFill="1" applyBorder="1" applyAlignment="1">
      <alignment horizontal="right"/>
    </xf>
    <xf numFmtId="166" fontId="26" fillId="0" borderId="1" xfId="0" applyNumberFormat="1" applyFont="1" applyFill="1" applyBorder="1" applyAlignment="1">
      <alignment horizontal="right"/>
    </xf>
    <xf numFmtId="0" fontId="26" fillId="0" borderId="1" xfId="0" applyFont="1" applyFill="1" applyBorder="1"/>
    <xf numFmtId="0" fontId="26" fillId="0" borderId="1" xfId="0" applyFont="1" applyBorder="1"/>
    <xf numFmtId="178" fontId="0" fillId="0" borderId="0" xfId="0" applyNumberFormat="1"/>
    <xf numFmtId="166" fontId="0" fillId="2" borderId="0" xfId="1" applyNumberFormat="1" applyFont="1" applyFill="1" applyBorder="1"/>
    <xf numFmtId="178" fontId="11" fillId="0" borderId="0" xfId="0" applyNumberFormat="1" applyFont="1"/>
    <xf numFmtId="0" fontId="0" fillId="0" borderId="0" xfId="0"/>
    <xf numFmtId="0" fontId="18" fillId="7" borderId="0" xfId="0" applyFont="1" applyFill="1" applyBorder="1"/>
    <xf numFmtId="179" fontId="11" fillId="0" borderId="0" xfId="0" applyNumberFormat="1" applyFont="1"/>
    <xf numFmtId="180" fontId="0" fillId="0" borderId="0" xfId="0" applyNumberFormat="1"/>
    <xf numFmtId="0" fontId="2" fillId="0" borderId="7" xfId="0" applyFont="1" applyBorder="1" applyAlignment="1">
      <alignment horizontal="right"/>
    </xf>
    <xf numFmtId="0" fontId="0" fillId="0" borderId="0" xfId="0"/>
    <xf numFmtId="0" fontId="0" fillId="0" borderId="0" xfId="0"/>
    <xf numFmtId="178" fontId="11" fillId="0" borderId="1" xfId="0" applyNumberFormat="1" applyFont="1" applyBorder="1"/>
    <xf numFmtId="0" fontId="8" fillId="0" borderId="1" xfId="0" applyFont="1" applyBorder="1"/>
    <xf numFmtId="0" fontId="5" fillId="0" borderId="0" xfId="0" applyFont="1" applyAlignment="1"/>
    <xf numFmtId="0" fontId="0" fillId="0" borderId="0" xfId="0"/>
    <xf numFmtId="0" fontId="0" fillId="0" borderId="0" xfId="0"/>
    <xf numFmtId="0" fontId="0" fillId="0" borderId="0" xfId="0"/>
    <xf numFmtId="9" fontId="0" fillId="0" borderId="1" xfId="2" applyFont="1" applyBorder="1"/>
    <xf numFmtId="14" fontId="0" fillId="0" borderId="0" xfId="0" applyNumberFormat="1"/>
    <xf numFmtId="0" fontId="0" fillId="6" borderId="0" xfId="0" applyFill="1"/>
    <xf numFmtId="0" fontId="5" fillId="9" borderId="1" xfId="0" applyFont="1" applyFill="1" applyBorder="1"/>
    <xf numFmtId="0" fontId="0" fillId="9" borderId="0" xfId="0" applyFill="1"/>
    <xf numFmtId="0" fontId="0" fillId="9" borderId="1" xfId="0" applyFill="1" applyBorder="1"/>
    <xf numFmtId="165" fontId="0" fillId="9" borderId="0" xfId="0" applyNumberFormat="1" applyFill="1"/>
    <xf numFmtId="0" fontId="0" fillId="0" borderId="0" xfId="0"/>
    <xf numFmtId="0" fontId="16" fillId="4" borderId="0" xfId="0" applyFont="1" applyFill="1"/>
    <xf numFmtId="165" fontId="26" fillId="0" borderId="0" xfId="0" applyNumberFormat="1" applyFont="1" applyFill="1" applyBorder="1" applyAlignment="1">
      <alignment horizontal="right"/>
    </xf>
    <xf numFmtId="0" fontId="16" fillId="7" borderId="10" xfId="0" applyFont="1" applyFill="1" applyBorder="1" applyAlignment="1">
      <alignment horizontal="right"/>
    </xf>
    <xf numFmtId="0" fontId="16" fillId="12" borderId="7" xfId="0" applyFont="1" applyFill="1" applyBorder="1" applyAlignment="1">
      <alignment horizontal="right"/>
    </xf>
    <xf numFmtId="166" fontId="5" fillId="6" borderId="8" xfId="0" applyNumberFormat="1" applyFont="1" applyFill="1" applyBorder="1"/>
    <xf numFmtId="0" fontId="5" fillId="6" borderId="0" xfId="0" applyFont="1" applyFill="1" applyBorder="1"/>
    <xf numFmtId="166" fontId="5" fillId="6" borderId="8" xfId="1" applyNumberFormat="1" applyFont="1" applyFill="1" applyBorder="1"/>
    <xf numFmtId="166" fontId="5" fillId="6" borderId="0" xfId="1" applyNumberFormat="1" applyFont="1" applyFill="1" applyBorder="1"/>
    <xf numFmtId="166" fontId="5" fillId="8" borderId="0" xfId="1" applyNumberFormat="1" applyFont="1" applyFill="1" applyBorder="1"/>
    <xf numFmtId="166" fontId="5" fillId="6" borderId="1" xfId="1" applyNumberFormat="1" applyFont="1" applyFill="1" applyBorder="1"/>
    <xf numFmtId="182" fontId="5" fillId="6" borderId="8" xfId="12" applyNumberFormat="1" applyFont="1" applyFill="1" applyBorder="1"/>
    <xf numFmtId="182" fontId="5" fillId="6" borderId="9" xfId="12" applyNumberFormat="1" applyFont="1" applyFill="1" applyBorder="1"/>
    <xf numFmtId="0" fontId="10" fillId="0" borderId="0" xfId="0" applyFont="1"/>
    <xf numFmtId="166" fontId="0" fillId="0" borderId="1" xfId="1" applyNumberFormat="1" applyFont="1" applyFill="1" applyBorder="1" applyAlignment="1">
      <alignment horizontal="right"/>
    </xf>
    <xf numFmtId="0" fontId="0" fillId="8" borderId="0" xfId="0" applyFill="1" applyBorder="1"/>
    <xf numFmtId="0" fontId="14" fillId="8" borderId="0" xfId="0" applyFont="1" applyFill="1" applyBorder="1" applyAlignment="1">
      <alignment horizontal="right"/>
    </xf>
    <xf numFmtId="0" fontId="0" fillId="0" borderId="0" xfId="0" applyBorder="1" applyAlignment="1">
      <alignment horizontal="center"/>
    </xf>
    <xf numFmtId="0" fontId="0" fillId="0" borderId="0" xfId="0" applyFill="1" applyBorder="1" applyAlignment="1">
      <alignment horizontal="center"/>
    </xf>
    <xf numFmtId="0" fontId="0" fillId="0" borderId="1" xfId="0" applyBorder="1" applyAlignment="1">
      <alignment horizontal="center"/>
    </xf>
    <xf numFmtId="0" fontId="0" fillId="8" borderId="0" xfId="0" applyFill="1"/>
    <xf numFmtId="166" fontId="0" fillId="8" borderId="0" xfId="1" applyNumberFormat="1" applyFont="1" applyFill="1" applyBorder="1" applyAlignment="1">
      <alignment horizontal="right"/>
    </xf>
    <xf numFmtId="0" fontId="26" fillId="0" borderId="0" xfId="0" applyFont="1" applyAlignment="1">
      <alignment horizontal="center"/>
    </xf>
    <xf numFmtId="0" fontId="25" fillId="0" borderId="1" xfId="0" applyFont="1" applyBorder="1" applyAlignment="1">
      <alignment horizontal="center"/>
    </xf>
    <xf numFmtId="0" fontId="25" fillId="0" borderId="0" xfId="0" applyFont="1" applyBorder="1" applyAlignment="1">
      <alignment horizontal="center"/>
    </xf>
    <xf numFmtId="0" fontId="10" fillId="0" borderId="0" xfId="0" applyFont="1" applyAlignment="1">
      <alignment horizontal="center"/>
    </xf>
    <xf numFmtId="0" fontId="11" fillId="0" borderId="1" xfId="0" applyFont="1" applyBorder="1" applyAlignment="1">
      <alignment horizontal="center"/>
    </xf>
    <xf numFmtId="0" fontId="11" fillId="0" borderId="0" xfId="0" applyFont="1" applyAlignment="1">
      <alignment horizontal="center"/>
    </xf>
    <xf numFmtId="0" fontId="0" fillId="0" borderId="0" xfId="0"/>
    <xf numFmtId="0" fontId="0" fillId="0" borderId="0" xfId="0"/>
    <xf numFmtId="0" fontId="4" fillId="13" borderId="1" xfId="0" applyFont="1" applyFill="1" applyBorder="1"/>
    <xf numFmtId="0" fontId="4" fillId="13" borderId="4" xfId="0" applyFont="1" applyFill="1" applyBorder="1"/>
    <xf numFmtId="0" fontId="0" fillId="13" borderId="0" xfId="0" applyFill="1"/>
    <xf numFmtId="0" fontId="25" fillId="13" borderId="1" xfId="0" applyFont="1" applyFill="1" applyBorder="1"/>
    <xf numFmtId="0" fontId="26" fillId="13" borderId="0" xfId="0" applyFont="1" applyFill="1" applyAlignment="1">
      <alignment horizontal="right"/>
    </xf>
    <xf numFmtId="0" fontId="0" fillId="0" borderId="0" xfId="0"/>
    <xf numFmtId="0" fontId="0" fillId="0" borderId="0" xfId="0"/>
    <xf numFmtId="166" fontId="3" fillId="0" borderId="0" xfId="1" applyNumberFormat="1" applyFont="1" applyFill="1" applyBorder="1"/>
    <xf numFmtId="0" fontId="0" fillId="5" borderId="0" xfId="0" applyFill="1"/>
    <xf numFmtId="0" fontId="0" fillId="5" borderId="0" xfId="0" applyFill="1" applyBorder="1"/>
    <xf numFmtId="0" fontId="5" fillId="0" borderId="0" xfId="0" applyFont="1" applyFill="1"/>
    <xf numFmtId="166" fontId="2" fillId="0" borderId="0" xfId="0" applyNumberFormat="1" applyFont="1" applyFill="1" applyBorder="1"/>
    <xf numFmtId="0" fontId="0" fillId="0" borderId="0" xfId="0"/>
    <xf numFmtId="0" fontId="0" fillId="0" borderId="0" xfId="0"/>
    <xf numFmtId="0" fontId="17" fillId="4" borderId="1" xfId="0" applyFont="1" applyFill="1" applyBorder="1" applyAlignment="1"/>
    <xf numFmtId="0" fontId="17" fillId="7" borderId="1" xfId="0" applyFont="1" applyFill="1" applyBorder="1" applyAlignment="1"/>
    <xf numFmtId="0" fontId="8" fillId="0" borderId="0" xfId="0" applyFont="1" applyFill="1" applyAlignment="1">
      <alignment horizontal="right"/>
    </xf>
    <xf numFmtId="165" fontId="5" fillId="0" borderId="0" xfId="2" applyNumberFormat="1" applyFont="1" applyFill="1" applyBorder="1"/>
    <xf numFmtId="10" fontId="0" fillId="0" borderId="0" xfId="2" applyNumberFormat="1" applyFont="1" applyFill="1" applyBorder="1"/>
    <xf numFmtId="10" fontId="0" fillId="0" borderId="0" xfId="0" applyNumberFormat="1" applyFill="1"/>
    <xf numFmtId="0" fontId="12" fillId="0" borderId="0" xfId="0" applyFont="1" applyBorder="1"/>
    <xf numFmtId="0" fontId="1" fillId="0" borderId="0" xfId="0" applyFont="1"/>
    <xf numFmtId="166" fontId="1" fillId="0" borderId="0" xfId="0" applyNumberFormat="1" applyFont="1"/>
    <xf numFmtId="164" fontId="2" fillId="0" borderId="0" xfId="0" applyNumberFormat="1" applyFont="1" applyBorder="1"/>
    <xf numFmtId="166" fontId="30" fillId="0" borderId="0" xfId="0" applyNumberFormat="1" applyFont="1" applyFill="1" applyBorder="1"/>
    <xf numFmtId="0" fontId="0" fillId="0" borderId="0" xfId="0"/>
    <xf numFmtId="9" fontId="2" fillId="0" borderId="0" xfId="2" applyFont="1" applyFill="1" applyBorder="1"/>
    <xf numFmtId="0" fontId="0" fillId="0" borderId="0" xfId="0"/>
    <xf numFmtId="164" fontId="2" fillId="0" borderId="0" xfId="0" applyNumberFormat="1" applyFont="1" applyFill="1" applyBorder="1"/>
    <xf numFmtId="0" fontId="25" fillId="5" borderId="1" xfId="0" applyFont="1" applyFill="1" applyBorder="1"/>
    <xf numFmtId="166" fontId="26" fillId="5" borderId="0" xfId="0" applyNumberFormat="1" applyFont="1" applyFill="1" applyBorder="1"/>
    <xf numFmtId="166" fontId="26" fillId="5" borderId="1" xfId="0" applyNumberFormat="1" applyFont="1" applyFill="1" applyBorder="1"/>
    <xf numFmtId="166" fontId="25" fillId="5" borderId="0" xfId="0" applyNumberFormat="1" applyFont="1" applyFill="1" applyBorder="1"/>
    <xf numFmtId="166" fontId="26" fillId="5" borderId="0" xfId="0" applyNumberFormat="1" applyFont="1" applyFill="1"/>
    <xf numFmtId="0" fontId="26" fillId="5" borderId="0" xfId="0" applyFont="1" applyFill="1"/>
    <xf numFmtId="9" fontId="26" fillId="5" borderId="0" xfId="2" applyNumberFormat="1" applyFont="1" applyFill="1"/>
    <xf numFmtId="9" fontId="26" fillId="5" borderId="8" xfId="0" applyNumberFormat="1" applyFont="1" applyFill="1" applyBorder="1"/>
    <xf numFmtId="2" fontId="26" fillId="5" borderId="0" xfId="0" applyNumberFormat="1" applyFont="1" applyFill="1"/>
    <xf numFmtId="43" fontId="26" fillId="5" borderId="8" xfId="1" applyFont="1" applyFill="1" applyBorder="1"/>
    <xf numFmtId="0" fontId="26" fillId="5" borderId="8" xfId="0" applyFont="1" applyFill="1" applyBorder="1"/>
    <xf numFmtId="166" fontId="25" fillId="5" borderId="8" xfId="0" applyNumberFormat="1" applyFont="1" applyFill="1" applyBorder="1"/>
    <xf numFmtId="165" fontId="26" fillId="5" borderId="0" xfId="2" applyNumberFormat="1" applyFont="1" applyFill="1"/>
    <xf numFmtId="165" fontId="26" fillId="5" borderId="8" xfId="0" applyNumberFormat="1" applyFont="1" applyFill="1" applyBorder="1"/>
    <xf numFmtId="0" fontId="28" fillId="5" borderId="0" xfId="0" applyFont="1" applyFill="1" applyAlignment="1">
      <alignment horizontal="center"/>
    </xf>
    <xf numFmtId="165" fontId="25" fillId="5" borderId="0" xfId="0" applyNumberFormat="1" applyFont="1" applyFill="1"/>
    <xf numFmtId="165" fontId="25" fillId="5" borderId="8" xfId="0" applyNumberFormat="1" applyFont="1" applyFill="1" applyBorder="1"/>
    <xf numFmtId="165" fontId="26" fillId="5" borderId="1" xfId="2" applyNumberFormat="1" applyFont="1" applyFill="1" applyBorder="1"/>
    <xf numFmtId="165" fontId="26" fillId="5" borderId="9" xfId="0" applyNumberFormat="1" applyFont="1" applyFill="1" applyBorder="1"/>
    <xf numFmtId="165" fontId="26" fillId="5" borderId="0" xfId="0" applyNumberFormat="1" applyFont="1" applyFill="1"/>
    <xf numFmtId="166" fontId="25" fillId="5" borderId="0" xfId="0" applyNumberFormat="1" applyFont="1" applyFill="1"/>
    <xf numFmtId="166" fontId="26" fillId="5" borderId="8" xfId="0" applyNumberFormat="1" applyFont="1" applyFill="1" applyBorder="1"/>
    <xf numFmtId="166" fontId="26" fillId="5" borderId="9" xfId="0" applyNumberFormat="1" applyFont="1" applyFill="1" applyBorder="1"/>
    <xf numFmtId="165" fontId="26" fillId="5" borderId="1" xfId="0" applyNumberFormat="1" applyFont="1" applyFill="1" applyBorder="1"/>
    <xf numFmtId="167" fontId="26" fillId="5" borderId="1" xfId="1" applyNumberFormat="1" applyFont="1" applyFill="1" applyBorder="1"/>
    <xf numFmtId="167" fontId="29" fillId="5" borderId="1" xfId="1" applyNumberFormat="1" applyFont="1" applyFill="1" applyBorder="1"/>
    <xf numFmtId="165" fontId="26" fillId="5" borderId="0" xfId="0" applyNumberFormat="1" applyFont="1" applyFill="1" applyBorder="1"/>
    <xf numFmtId="9" fontId="26" fillId="5" borderId="0" xfId="2" applyFont="1" applyFill="1" applyBorder="1"/>
    <xf numFmtId="167" fontId="26" fillId="5" borderId="0" xfId="1" applyNumberFormat="1" applyFont="1" applyFill="1" applyBorder="1"/>
    <xf numFmtId="167" fontId="29" fillId="5" borderId="0" xfId="1" applyNumberFormat="1" applyFont="1" applyFill="1" applyBorder="1"/>
    <xf numFmtId="166" fontId="0" fillId="5" borderId="0" xfId="0" applyNumberFormat="1" applyFill="1" applyBorder="1"/>
    <xf numFmtId="178" fontId="0" fillId="5" borderId="0" xfId="0" applyNumberFormat="1" applyFill="1"/>
    <xf numFmtId="166" fontId="0" fillId="5" borderId="1" xfId="0" applyNumberFormat="1" applyFill="1" applyBorder="1"/>
    <xf numFmtId="9" fontId="0" fillId="5" borderId="0" xfId="0" applyNumberFormat="1" applyFill="1" applyBorder="1"/>
    <xf numFmtId="9" fontId="0" fillId="5" borderId="0" xfId="2" applyFont="1" applyFill="1"/>
    <xf numFmtId="9" fontId="0" fillId="5" borderId="1" xfId="0" applyNumberFormat="1" applyFill="1" applyBorder="1"/>
    <xf numFmtId="9" fontId="0" fillId="5" borderId="0" xfId="0" applyNumberFormat="1" applyFill="1"/>
    <xf numFmtId="0" fontId="0" fillId="5" borderId="1" xfId="0" applyFill="1" applyBorder="1"/>
    <xf numFmtId="0" fontId="11" fillId="5" borderId="0" xfId="0" applyFont="1" applyFill="1"/>
    <xf numFmtId="169" fontId="11" fillId="5" borderId="0" xfId="0" applyNumberFormat="1" applyFont="1" applyFill="1"/>
    <xf numFmtId="0" fontId="11" fillId="5" borderId="1" xfId="0" applyFont="1" applyFill="1" applyBorder="1"/>
    <xf numFmtId="9" fontId="5" fillId="0" borderId="0" xfId="2" applyFont="1" applyFill="1" applyBorder="1"/>
    <xf numFmtId="0" fontId="0" fillId="0" borderId="0" xfId="0"/>
    <xf numFmtId="0" fontId="34" fillId="0" borderId="0" xfId="0" applyFont="1" applyFill="1" applyBorder="1"/>
    <xf numFmtId="0" fontId="34" fillId="3" borderId="1" xfId="0" applyFont="1" applyFill="1" applyBorder="1"/>
    <xf numFmtId="0" fontId="34" fillId="3" borderId="4" xfId="0" applyFont="1" applyFill="1" applyBorder="1"/>
    <xf numFmtId="0" fontId="17" fillId="0" borderId="7" xfId="0" applyFont="1" applyFill="1" applyBorder="1" applyAlignment="1"/>
    <xf numFmtId="0" fontId="0" fillId="0" borderId="0" xfId="0"/>
    <xf numFmtId="0" fontId="0" fillId="0" borderId="0" xfId="0"/>
    <xf numFmtId="0" fontId="17" fillId="0" borderId="0" xfId="0" applyFont="1" applyFill="1" applyBorder="1" applyAlignment="1"/>
    <xf numFmtId="166" fontId="2" fillId="0" borderId="0" xfId="0" applyNumberFormat="1" applyFont="1" applyFill="1"/>
    <xf numFmtId="0" fontId="2" fillId="0" borderId="0" xfId="0" applyFont="1" applyFill="1"/>
    <xf numFmtId="165" fontId="0" fillId="0" borderId="0" xfId="0" applyNumberFormat="1" applyFill="1" applyBorder="1"/>
    <xf numFmtId="166" fontId="8" fillId="0" borderId="0" xfId="1" applyNumberFormat="1" applyFont="1" applyFill="1" applyBorder="1" applyAlignment="1">
      <alignment horizontal="right"/>
    </xf>
    <xf numFmtId="166" fontId="8" fillId="0" borderId="1" xfId="1" applyNumberFormat="1" applyFont="1" applyFill="1" applyBorder="1"/>
    <xf numFmtId="0" fontId="8" fillId="0" borderId="0" xfId="0" applyFont="1" applyBorder="1" applyAlignment="1">
      <alignment horizontal="right"/>
    </xf>
    <xf numFmtId="0" fontId="8" fillId="0" borderId="0" xfId="0" applyFont="1" applyAlignment="1">
      <alignment horizontal="left"/>
    </xf>
    <xf numFmtId="0" fontId="36" fillId="0" borderId="0" xfId="0" applyFont="1" applyFill="1" applyAlignment="1"/>
    <xf numFmtId="0" fontId="36" fillId="0" borderId="0" xfId="0" applyFont="1" applyFill="1" applyBorder="1" applyAlignment="1"/>
    <xf numFmtId="0" fontId="37" fillId="0" borderId="0" xfId="0" applyFont="1" applyFill="1" applyBorder="1" applyAlignment="1"/>
    <xf numFmtId="0" fontId="37" fillId="0" borderId="0" xfId="0" applyFont="1" applyFill="1" applyBorder="1" applyAlignment="1">
      <alignment horizontal="center"/>
    </xf>
    <xf numFmtId="0" fontId="0" fillId="0" borderId="0" xfId="0"/>
    <xf numFmtId="44" fontId="0" fillId="0" borderId="0" xfId="0" applyNumberFormat="1"/>
    <xf numFmtId="168" fontId="5" fillId="0" borderId="0" xfId="1" applyNumberFormat="1" applyFont="1" applyFill="1" applyBorder="1"/>
    <xf numFmtId="0" fontId="37" fillId="0" borderId="7" xfId="0" applyFont="1" applyFill="1" applyBorder="1" applyAlignment="1">
      <alignment horizontal="center"/>
    </xf>
    <xf numFmtId="165" fontId="2" fillId="0" borderId="0" xfId="2" applyNumberFormat="1" applyFont="1" applyFill="1"/>
    <xf numFmtId="166" fontId="0" fillId="0" borderId="13" xfId="1" applyNumberFormat="1" applyFont="1" applyFill="1" applyBorder="1"/>
    <xf numFmtId="166" fontId="0" fillId="0" borderId="12" xfId="1" applyNumberFormat="1" applyFont="1" applyFill="1" applyBorder="1"/>
    <xf numFmtId="166" fontId="5" fillId="0" borderId="13" xfId="1" applyNumberFormat="1" applyFont="1" applyFill="1" applyBorder="1"/>
    <xf numFmtId="0" fontId="0" fillId="0" borderId="13" xfId="0" applyBorder="1"/>
    <xf numFmtId="0" fontId="5" fillId="0" borderId="13" xfId="0" applyFont="1" applyFill="1" applyBorder="1"/>
    <xf numFmtId="9" fontId="5" fillId="0" borderId="13" xfId="2" applyFont="1" applyFill="1" applyBorder="1"/>
    <xf numFmtId="9" fontId="2" fillId="0" borderId="13" xfId="2" applyFont="1" applyFill="1" applyBorder="1"/>
    <xf numFmtId="0" fontId="0" fillId="0" borderId="13" xfId="0" applyFill="1" applyBorder="1"/>
    <xf numFmtId="0" fontId="0" fillId="0" borderId="0" xfId="0"/>
    <xf numFmtId="0" fontId="41" fillId="0" borderId="0" xfId="0" applyFont="1" applyFill="1" applyBorder="1" applyAlignment="1">
      <alignment horizontal="right"/>
    </xf>
    <xf numFmtId="14" fontId="2" fillId="0" borderId="0" xfId="0" applyNumberFormat="1" applyFont="1" applyFill="1"/>
    <xf numFmtId="0" fontId="0" fillId="0" borderId="0" xfId="0"/>
    <xf numFmtId="165" fontId="8" fillId="0" borderId="13" xfId="2" applyNumberFormat="1" applyFont="1" applyFill="1" applyBorder="1"/>
    <xf numFmtId="165" fontId="0" fillId="0" borderId="13" xfId="2" applyNumberFormat="1" applyFont="1" applyFill="1" applyBorder="1"/>
    <xf numFmtId="9" fontId="0" fillId="0" borderId="13" xfId="2" applyFont="1" applyFill="1" applyBorder="1"/>
    <xf numFmtId="168" fontId="0" fillId="0" borderId="13" xfId="1" applyNumberFormat="1" applyFont="1" applyFill="1" applyBorder="1"/>
    <xf numFmtId="165" fontId="0" fillId="0" borderId="12" xfId="2" applyNumberFormat="1" applyFont="1" applyFill="1" applyBorder="1"/>
    <xf numFmtId="0" fontId="0" fillId="0" borderId="0" xfId="0"/>
    <xf numFmtId="0" fontId="0" fillId="0" borderId="0" xfId="0"/>
    <xf numFmtId="44" fontId="2" fillId="0" borderId="0" xfId="12" applyFont="1" applyFill="1" applyBorder="1"/>
    <xf numFmtId="182" fontId="5" fillId="0" borderId="0" xfId="12" applyNumberFormat="1" applyFont="1" applyFill="1" applyBorder="1"/>
    <xf numFmtId="10" fontId="5" fillId="0" borderId="0" xfId="2" applyNumberFormat="1" applyFont="1" applyFill="1" applyBorder="1"/>
    <xf numFmtId="0" fontId="0" fillId="0" borderId="15" xfId="0" applyBorder="1"/>
    <xf numFmtId="0" fontId="0" fillId="0" borderId="0" xfId="0"/>
    <xf numFmtId="0" fontId="0" fillId="0" borderId="0" xfId="0"/>
    <xf numFmtId="165" fontId="0" fillId="0" borderId="0" xfId="2" applyNumberFormat="1" applyFont="1" applyFill="1" applyBorder="1" applyAlignment="1">
      <alignment horizontal="right"/>
    </xf>
    <xf numFmtId="9" fontId="0" fillId="0" borderId="0" xfId="2" applyNumberFormat="1" applyFont="1" applyFill="1" applyBorder="1" applyAlignment="1">
      <alignment horizontal="right"/>
    </xf>
    <xf numFmtId="168" fontId="0" fillId="0" borderId="0" xfId="1" applyNumberFormat="1" applyFont="1" applyFill="1" applyBorder="1" applyAlignment="1">
      <alignment horizontal="right"/>
    </xf>
    <xf numFmtId="0" fontId="32" fillId="0" borderId="1" xfId="0" applyFont="1" applyBorder="1" applyAlignment="1">
      <alignment horizontal="center"/>
    </xf>
    <xf numFmtId="0" fontId="8" fillId="0" borderId="0" xfId="0" quotePrefix="1" applyFont="1" applyAlignment="1">
      <alignment horizontal="right"/>
    </xf>
    <xf numFmtId="182" fontId="5" fillId="9" borderId="0" xfId="12" applyNumberFormat="1" applyFont="1" applyFill="1" applyBorder="1"/>
    <xf numFmtId="0" fontId="5" fillId="9" borderId="0" xfId="0" applyFont="1" applyFill="1"/>
    <xf numFmtId="168" fontId="5" fillId="9" borderId="0" xfId="1" applyNumberFormat="1" applyFont="1" applyFill="1" applyBorder="1"/>
    <xf numFmtId="165" fontId="5" fillId="6" borderId="0" xfId="2" applyNumberFormat="1" applyFont="1" applyFill="1" applyBorder="1"/>
    <xf numFmtId="165" fontId="5" fillId="6" borderId="1" xfId="2" applyNumberFormat="1" applyFont="1" applyFill="1" applyBorder="1"/>
    <xf numFmtId="166" fontId="17" fillId="0" borderId="0" xfId="1" applyNumberFormat="1" applyFont="1" applyFill="1" applyBorder="1" applyAlignment="1">
      <alignment horizontal="right"/>
    </xf>
    <xf numFmtId="166" fontId="17" fillId="4" borderId="1" xfId="1" applyNumberFormat="1" applyFont="1" applyFill="1" applyBorder="1" applyAlignment="1">
      <alignment horizontal="center"/>
    </xf>
    <xf numFmtId="44" fontId="5" fillId="0" borderId="0" xfId="12" applyFont="1" applyFill="1" applyBorder="1"/>
    <xf numFmtId="44" fontId="5" fillId="6" borderId="0" xfId="12" applyFont="1" applyFill="1" applyBorder="1"/>
    <xf numFmtId="166" fontId="17" fillId="0" borderId="0" xfId="1" applyNumberFormat="1" applyFont="1" applyFill="1" applyBorder="1" applyAlignment="1">
      <alignment horizontal="center"/>
    </xf>
    <xf numFmtId="166" fontId="5" fillId="0" borderId="13" xfId="1" applyNumberFormat="1" applyFont="1" applyFill="1" applyBorder="1" applyAlignment="1">
      <alignment horizontal="center"/>
    </xf>
    <xf numFmtId="166" fontId="17" fillId="0" borderId="13" xfId="1" applyNumberFormat="1" applyFont="1" applyFill="1" applyBorder="1" applyAlignment="1">
      <alignment horizontal="right"/>
    </xf>
    <xf numFmtId="10" fontId="5" fillId="0" borderId="13" xfId="2" applyNumberFormat="1" applyFont="1" applyFill="1" applyBorder="1"/>
    <xf numFmtId="165" fontId="5" fillId="0" borderId="13" xfId="2" applyNumberFormat="1" applyFont="1" applyFill="1" applyBorder="1"/>
    <xf numFmtId="44" fontId="5" fillId="0" borderId="13" xfId="12" applyFont="1" applyFill="1" applyBorder="1"/>
    <xf numFmtId="44" fontId="5" fillId="0" borderId="1" xfId="12" applyFont="1" applyBorder="1"/>
    <xf numFmtId="167" fontId="0" fillId="0" borderId="0" xfId="1" applyNumberFormat="1" applyFont="1"/>
    <xf numFmtId="167" fontId="0" fillId="0" borderId="1" xfId="1" applyNumberFormat="1" applyFont="1" applyBorder="1"/>
    <xf numFmtId="0" fontId="0" fillId="0" borderId="0" xfId="0"/>
    <xf numFmtId="166" fontId="5" fillId="0" borderId="0" xfId="1" applyNumberFormat="1" applyFont="1" applyFill="1" applyBorder="1" applyAlignment="1">
      <alignment horizontal="center"/>
    </xf>
    <xf numFmtId="0" fontId="32" fillId="0" borderId="5" xfId="0" applyFont="1" applyBorder="1" applyAlignment="1">
      <alignment horizontal="center"/>
    </xf>
    <xf numFmtId="166" fontId="5" fillId="0" borderId="15" xfId="0" applyNumberFormat="1" applyFont="1" applyBorder="1"/>
    <xf numFmtId="166" fontId="5" fillId="0" borderId="15" xfId="0" applyNumberFormat="1" applyFont="1" applyFill="1" applyBorder="1"/>
    <xf numFmtId="42" fontId="5" fillId="9" borderId="15" xfId="12" applyNumberFormat="1" applyFont="1" applyFill="1" applyBorder="1"/>
    <xf numFmtId="166" fontId="17" fillId="4" borderId="14" xfId="1" applyNumberFormat="1" applyFont="1" applyFill="1" applyBorder="1" applyAlignment="1">
      <alignment horizontal="center"/>
    </xf>
    <xf numFmtId="0" fontId="5" fillId="0" borderId="15" xfId="0" applyFont="1" applyFill="1" applyBorder="1"/>
    <xf numFmtId="0" fontId="5" fillId="9" borderId="15" xfId="0" applyFont="1" applyFill="1" applyBorder="1"/>
    <xf numFmtId="0" fontId="5" fillId="0" borderId="15" xfId="0" applyFont="1" applyBorder="1"/>
    <xf numFmtId="182" fontId="5" fillId="9" borderId="15" xfId="12" applyNumberFormat="1" applyFont="1" applyFill="1" applyBorder="1"/>
    <xf numFmtId="10" fontId="5" fillId="6" borderId="15" xfId="0" applyNumberFormat="1" applyFont="1" applyFill="1" applyBorder="1"/>
    <xf numFmtId="165" fontId="5" fillId="6" borderId="15" xfId="0" applyNumberFormat="1" applyFont="1" applyFill="1" applyBorder="1"/>
    <xf numFmtId="165" fontId="5" fillId="6" borderId="14" xfId="0" applyNumberFormat="1" applyFont="1" applyFill="1" applyBorder="1"/>
    <xf numFmtId="44" fontId="5" fillId="6" borderId="14" xfId="0" applyNumberFormat="1" applyFont="1" applyFill="1" applyBorder="1"/>
    <xf numFmtId="0" fontId="35" fillId="4" borderId="9" xfId="0" applyFont="1" applyFill="1" applyBorder="1"/>
    <xf numFmtId="0" fontId="35" fillId="4" borderId="1" xfId="0" applyFont="1" applyFill="1" applyBorder="1"/>
    <xf numFmtId="0" fontId="35" fillId="4" borderId="12" xfId="0" applyFont="1" applyFill="1" applyBorder="1"/>
    <xf numFmtId="0" fontId="43" fillId="2" borderId="0" xfId="0" applyFont="1" applyFill="1" applyBorder="1" applyAlignment="1"/>
    <xf numFmtId="0" fontId="5" fillId="9" borderId="1" xfId="0" applyFont="1" applyFill="1" applyBorder="1" applyAlignment="1">
      <alignment horizontal="center"/>
    </xf>
    <xf numFmtId="0" fontId="5" fillId="0" borderId="1" xfId="0" applyFont="1" applyFill="1" applyBorder="1" applyAlignment="1">
      <alignment horizontal="center"/>
    </xf>
    <xf numFmtId="166" fontId="17" fillId="0" borderId="1" xfId="1" applyNumberFormat="1" applyFont="1" applyFill="1" applyBorder="1" applyAlignment="1">
      <alignment horizontal="center"/>
    </xf>
    <xf numFmtId="166" fontId="5" fillId="6" borderId="1" xfId="1" applyNumberFormat="1" applyFont="1" applyFill="1" applyBorder="1" applyAlignment="1">
      <alignment horizontal="center"/>
    </xf>
    <xf numFmtId="0" fontId="0" fillId="0" borderId="14" xfId="0" applyBorder="1"/>
    <xf numFmtId="44" fontId="33" fillId="0" borderId="5" xfId="0" applyNumberFormat="1" applyFont="1" applyBorder="1"/>
    <xf numFmtId="44" fontId="2" fillId="0" borderId="13" xfId="12" applyFont="1" applyFill="1" applyBorder="1"/>
    <xf numFmtId="0" fontId="32" fillId="0" borderId="0" xfId="0" applyFont="1" applyBorder="1"/>
    <xf numFmtId="0" fontId="0" fillId="0" borderId="8" xfId="0" applyBorder="1"/>
    <xf numFmtId="0" fontId="35" fillId="0" borderId="0" xfId="0" applyFont="1" applyFill="1" applyBorder="1"/>
    <xf numFmtId="0" fontId="14" fillId="0" borderId="0" xfId="0" applyFont="1" applyFill="1" applyBorder="1"/>
    <xf numFmtId="0" fontId="0" fillId="2" borderId="0" xfId="0" applyFill="1" applyBorder="1"/>
    <xf numFmtId="0" fontId="21" fillId="0" borderId="1" xfId="0" applyNumberFormat="1" applyFont="1" applyBorder="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167" fontId="0" fillId="0" borderId="0" xfId="1" applyNumberFormat="1" applyFont="1" applyBorder="1"/>
    <xf numFmtId="182" fontId="0" fillId="0" borderId="0" xfId="0" applyNumberFormat="1"/>
    <xf numFmtId="14" fontId="8" fillId="2" borderId="1" xfId="0" applyNumberFormat="1" applyFont="1" applyFill="1" applyBorder="1"/>
    <xf numFmtId="9" fontId="2" fillId="0" borderId="0" xfId="0" applyNumberFormat="1" applyFont="1"/>
    <xf numFmtId="165" fontId="0" fillId="2" borderId="1" xfId="2" applyNumberFormat="1" applyFont="1" applyFill="1" applyBorder="1"/>
    <xf numFmtId="9" fontId="0" fillId="0" borderId="0" xfId="0" applyNumberFormat="1" applyFont="1"/>
    <xf numFmtId="9" fontId="0" fillId="0" borderId="1" xfId="0" applyNumberFormat="1" applyFont="1" applyBorder="1"/>
    <xf numFmtId="9" fontId="30" fillId="13" borderId="0" xfId="2" applyFont="1" applyFill="1" applyBorder="1"/>
    <xf numFmtId="0" fontId="8" fillId="0" borderId="1" xfId="0" applyFont="1" applyBorder="1" applyAlignment="1">
      <alignment horizontal="right"/>
    </xf>
    <xf numFmtId="0" fontId="0" fillId="0" borderId="0" xfId="0"/>
    <xf numFmtId="0" fontId="0" fillId="0" borderId="0" xfId="0"/>
    <xf numFmtId="0" fontId="0" fillId="0" borderId="0" xfId="0"/>
    <xf numFmtId="165" fontId="5" fillId="0" borderId="0" xfId="1" applyNumberFormat="1" applyFont="1" applyFill="1" applyBorder="1"/>
    <xf numFmtId="165" fontId="5" fillId="0" borderId="0" xfId="0" applyNumberFormat="1" applyFont="1" applyFill="1"/>
    <xf numFmtId="165" fontId="5" fillId="6" borderId="15" xfId="0" applyNumberFormat="1" applyFont="1" applyFill="1" applyBorder="1" applyAlignment="1">
      <alignment horizontal="right"/>
    </xf>
    <xf numFmtId="181" fontId="5" fillId="9" borderId="15" xfId="0" applyNumberFormat="1" applyFont="1" applyFill="1" applyBorder="1"/>
    <xf numFmtId="165" fontId="5" fillId="0" borderId="15" xfId="0" applyNumberFormat="1" applyFont="1" applyFill="1" applyBorder="1"/>
    <xf numFmtId="9" fontId="0" fillId="2" borderId="0" xfId="2" applyFont="1" applyFill="1" applyBorder="1"/>
    <xf numFmtId="0" fontId="0" fillId="0" borderId="0" xfId="0"/>
    <xf numFmtId="9" fontId="0" fillId="0" borderId="0" xfId="0" applyNumberFormat="1" applyFont="1" applyBorder="1"/>
    <xf numFmtId="9" fontId="0" fillId="2" borderId="0" xfId="0" applyNumberFormat="1" applyFont="1" applyFill="1"/>
    <xf numFmtId="9" fontId="0" fillId="2" borderId="0" xfId="0" applyNumberFormat="1" applyFont="1" applyFill="1" applyBorder="1"/>
    <xf numFmtId="9" fontId="0" fillId="2" borderId="1" xfId="0" applyNumberFormat="1" applyFont="1" applyFill="1" applyBorder="1"/>
    <xf numFmtId="9" fontId="0" fillId="2" borderId="1" xfId="2" applyFont="1" applyFill="1" applyBorder="1"/>
    <xf numFmtId="9" fontId="0" fillId="0" borderId="0" xfId="0" applyNumberFormat="1" applyFont="1" applyFill="1" applyBorder="1"/>
    <xf numFmtId="0" fontId="0" fillId="0" borderId="0" xfId="0" applyAlignment="1">
      <alignment horizontal="center"/>
    </xf>
    <xf numFmtId="0" fontId="0" fillId="0" borderId="0" xfId="0"/>
    <xf numFmtId="0" fontId="14" fillId="0" borderId="0" xfId="0" applyFont="1" applyAlignment="1">
      <alignment horizontal="right"/>
    </xf>
    <xf numFmtId="0" fontId="0" fillId="0" borderId="0" xfId="0"/>
    <xf numFmtId="0" fontId="0" fillId="14" borderId="0" xfId="0" applyFill="1"/>
    <xf numFmtId="0" fontId="2" fillId="14" borderId="0" xfId="0" applyFont="1" applyFill="1" applyAlignment="1">
      <alignment horizontal="right"/>
    </xf>
    <xf numFmtId="182" fontId="5" fillId="0" borderId="1" xfId="12" applyNumberFormat="1" applyFont="1" applyFill="1" applyBorder="1"/>
    <xf numFmtId="165" fontId="5" fillId="0" borderId="1" xfId="2" applyNumberFormat="1" applyFont="1" applyFill="1" applyBorder="1"/>
    <xf numFmtId="9" fontId="5" fillId="0" borderId="12" xfId="2" applyFont="1" applyFill="1" applyBorder="1"/>
    <xf numFmtId="9" fontId="5" fillId="0" borderId="1" xfId="2" applyFont="1" applyFill="1" applyBorder="1"/>
    <xf numFmtId="165" fontId="5" fillId="0" borderId="14" xfId="0" applyNumberFormat="1" applyFont="1" applyFill="1" applyBorder="1"/>
    <xf numFmtId="165" fontId="5" fillId="0" borderId="12" xfId="2" applyNumberFormat="1" applyFont="1" applyFill="1" applyBorder="1"/>
    <xf numFmtId="182" fontId="14" fillId="0" borderId="0" xfId="12" applyNumberFormat="1" applyFont="1" applyFill="1" applyBorder="1"/>
    <xf numFmtId="0" fontId="0" fillId="0" borderId="0" xfId="0"/>
    <xf numFmtId="0" fontId="21" fillId="9" borderId="1" xfId="0" applyNumberFormat="1" applyFont="1" applyFill="1" applyBorder="1"/>
    <xf numFmtId="0" fontId="0" fillId="9" borderId="0" xfId="0" applyFont="1" applyFill="1"/>
    <xf numFmtId="165" fontId="0" fillId="9" borderId="0" xfId="2" applyNumberFormat="1" applyFont="1" applyFill="1"/>
    <xf numFmtId="165" fontId="0" fillId="9" borderId="1" xfId="2" applyNumberFormat="1" applyFont="1" applyFill="1" applyBorder="1"/>
    <xf numFmtId="0" fontId="21" fillId="14" borderId="1" xfId="0" applyNumberFormat="1" applyFont="1" applyFill="1" applyBorder="1"/>
    <xf numFmtId="0" fontId="0" fillId="0" borderId="9" xfId="0" applyBorder="1"/>
    <xf numFmtId="0" fontId="5" fillId="0" borderId="12" xfId="0" applyFont="1" applyFill="1" applyBorder="1"/>
    <xf numFmtId="0" fontId="5" fillId="0" borderId="10" xfId="0" applyFont="1" applyBorder="1"/>
    <xf numFmtId="0" fontId="2" fillId="0" borderId="7" xfId="0" applyFont="1" applyBorder="1"/>
    <xf numFmtId="0" fontId="2" fillId="0" borderId="8" xfId="0" applyFont="1" applyBorder="1" applyAlignment="1">
      <alignment horizontal="right"/>
    </xf>
    <xf numFmtId="0" fontId="0" fillId="0" borderId="10" xfId="0" applyBorder="1"/>
    <xf numFmtId="0" fontId="21" fillId="0" borderId="4" xfId="0" applyNumberFormat="1" applyFont="1" applyBorder="1"/>
    <xf numFmtId="9" fontId="2" fillId="0" borderId="0" xfId="0" applyNumberFormat="1" applyFont="1" applyBorder="1"/>
    <xf numFmtId="167" fontId="0" fillId="0" borderId="0" xfId="1" applyNumberFormat="1" applyFont="1" applyBorder="1" applyAlignment="1">
      <alignment horizontal="left"/>
    </xf>
    <xf numFmtId="9" fontId="2" fillId="9" borderId="0" xfId="0" applyNumberFormat="1" applyFont="1" applyFill="1"/>
    <xf numFmtId="182" fontId="0" fillId="0" borderId="0" xfId="0" applyNumberFormat="1" applyBorder="1" applyAlignment="1">
      <alignment horizontal="right"/>
    </xf>
    <xf numFmtId="0" fontId="5" fillId="6" borderId="0" xfId="0" applyFont="1" applyFill="1"/>
    <xf numFmtId="0" fontId="5" fillId="0" borderId="3" xfId="0" applyFont="1" applyFill="1" applyBorder="1"/>
    <xf numFmtId="9" fontId="2" fillId="0" borderId="0" xfId="0" applyNumberFormat="1" applyFont="1" applyFill="1"/>
    <xf numFmtId="182" fontId="8" fillId="0" borderId="0" xfId="0" applyNumberFormat="1" applyFont="1"/>
    <xf numFmtId="165" fontId="0" fillId="0" borderId="16" xfId="0" applyNumberFormat="1" applyBorder="1"/>
    <xf numFmtId="165" fontId="0" fillId="0" borderId="14" xfId="0" applyNumberFormat="1" applyBorder="1"/>
    <xf numFmtId="167" fontId="0" fillId="0" borderId="15" xfId="0" applyNumberFormat="1" applyBorder="1"/>
    <xf numFmtId="167" fontId="0" fillId="0" borderId="14" xfId="0" applyNumberFormat="1" applyBorder="1"/>
    <xf numFmtId="165" fontId="0" fillId="6" borderId="0" xfId="2" applyNumberFormat="1" applyFont="1" applyFill="1"/>
    <xf numFmtId="0" fontId="0" fillId="0" borderId="0" xfId="0"/>
    <xf numFmtId="0" fontId="0" fillId="0" borderId="0" xfId="0"/>
    <xf numFmtId="0" fontId="0" fillId="0" borderId="0" xfId="0"/>
    <xf numFmtId="0" fontId="45" fillId="6" borderId="0" xfId="0" applyFont="1" applyFill="1"/>
    <xf numFmtId="0" fontId="46" fillId="6" borderId="0" xfId="0" applyFont="1" applyFill="1"/>
    <xf numFmtId="0" fontId="47" fillId="6" borderId="0" xfId="0" applyFont="1" applyFill="1"/>
    <xf numFmtId="0" fontId="48" fillId="6" borderId="0" xfId="0" applyFont="1" applyFill="1"/>
    <xf numFmtId="0" fontId="47" fillId="0" borderId="0" xfId="0" applyFont="1"/>
    <xf numFmtId="166" fontId="0" fillId="0" borderId="15" xfId="0" applyNumberFormat="1" applyBorder="1"/>
    <xf numFmtId="166" fontId="0" fillId="0" borderId="14" xfId="0" applyNumberFormat="1" applyBorder="1"/>
    <xf numFmtId="0" fontId="0" fillId="0" borderId="0" xfId="0"/>
    <xf numFmtId="167" fontId="0" fillId="6" borderId="0" xfId="1" applyNumberFormat="1" applyFont="1" applyFill="1" applyBorder="1"/>
    <xf numFmtId="0" fontId="22" fillId="0" borderId="0" xfId="0" applyFont="1" applyBorder="1"/>
    <xf numFmtId="0" fontId="48" fillId="0" borderId="0" xfId="0" applyFont="1" applyFill="1"/>
    <xf numFmtId="0" fontId="46" fillId="0" borderId="0" xfId="0" applyFont="1" applyFill="1"/>
    <xf numFmtId="0" fontId="45" fillId="0" borderId="0" xfId="0" applyFont="1"/>
    <xf numFmtId="0" fontId="48" fillId="0" borderId="0" xfId="0" applyFont="1" applyBorder="1"/>
    <xf numFmtId="0" fontId="0" fillId="0" borderId="0" xfId="0"/>
    <xf numFmtId="167" fontId="0" fillId="5" borderId="0" xfId="1" applyNumberFormat="1" applyFont="1" applyFill="1"/>
    <xf numFmtId="0" fontId="0" fillId="0" borderId="0" xfId="0"/>
    <xf numFmtId="0" fontId="48" fillId="0" borderId="0" xfId="0" applyFont="1"/>
    <xf numFmtId="0" fontId="49" fillId="0" borderId="0" xfId="0" applyFont="1"/>
    <xf numFmtId="0" fontId="46" fillId="0" borderId="1" xfId="0" applyFont="1" applyFill="1" applyBorder="1"/>
    <xf numFmtId="0" fontId="0" fillId="0" borderId="0" xfId="0"/>
    <xf numFmtId="0" fontId="45" fillId="0" borderId="1" xfId="0" applyFont="1" applyBorder="1"/>
    <xf numFmtId="0" fontId="47" fillId="0" borderId="0" xfId="0" applyFont="1" applyFill="1"/>
    <xf numFmtId="0" fontId="51" fillId="0" borderId="0" xfId="0" applyFont="1"/>
    <xf numFmtId="0" fontId="52" fillId="6" borderId="0" xfId="0" applyFont="1" applyFill="1"/>
    <xf numFmtId="0" fontId="45" fillId="0" borderId="0" xfId="0" applyFont="1" applyBorder="1"/>
    <xf numFmtId="43" fontId="0" fillId="0" borderId="0" xfId="1" applyFont="1" applyFill="1" applyBorder="1"/>
    <xf numFmtId="0" fontId="54" fillId="6" borderId="0" xfId="0" applyFont="1" applyFill="1"/>
    <xf numFmtId="0" fontId="55" fillId="0" borderId="0" xfId="0" applyFont="1"/>
    <xf numFmtId="167" fontId="0" fillId="5" borderId="0" xfId="1" applyNumberFormat="1" applyFont="1" applyFill="1" applyBorder="1"/>
    <xf numFmtId="0" fontId="22" fillId="0" borderId="0" xfId="0" applyFont="1" applyFill="1" applyBorder="1"/>
    <xf numFmtId="0" fontId="57" fillId="0" borderId="1" xfId="0" applyFont="1" applyBorder="1"/>
    <xf numFmtId="0" fontId="58" fillId="0" borderId="1" xfId="0" applyFont="1" applyBorder="1"/>
    <xf numFmtId="0" fontId="0" fillId="0" borderId="0" xfId="0"/>
    <xf numFmtId="9" fontId="0" fillId="0" borderId="0" xfId="2" applyNumberFormat="1" applyFont="1"/>
    <xf numFmtId="0" fontId="0" fillId="0" borderId="0" xfId="0"/>
    <xf numFmtId="165" fontId="45" fillId="6" borderId="0" xfId="2" applyNumberFormat="1" applyFont="1" applyFill="1"/>
    <xf numFmtId="165" fontId="47" fillId="6" borderId="0" xfId="2" applyNumberFormat="1" applyFont="1" applyFill="1"/>
    <xf numFmtId="0" fontId="56" fillId="6" borderId="0" xfId="0" applyFont="1" applyFill="1"/>
    <xf numFmtId="10" fontId="0" fillId="6" borderId="0" xfId="0" applyNumberFormat="1" applyFill="1"/>
    <xf numFmtId="0" fontId="45" fillId="0" borderId="0" xfId="0" applyFont="1" applyFill="1" applyBorder="1"/>
    <xf numFmtId="165" fontId="0" fillId="0" borderId="0" xfId="0" applyNumberFormat="1" applyBorder="1"/>
    <xf numFmtId="2" fontId="0" fillId="0" borderId="0" xfId="0" applyNumberFormat="1" applyBorder="1"/>
    <xf numFmtId="2" fontId="0" fillId="0" borderId="0" xfId="0" applyNumberFormat="1" applyFont="1" applyBorder="1"/>
    <xf numFmtId="2" fontId="0" fillId="0" borderId="0" xfId="0" applyNumberFormat="1" applyFont="1" applyFill="1" applyBorder="1"/>
    <xf numFmtId="168" fontId="0" fillId="14" borderId="0" xfId="0" applyNumberFormat="1" applyFill="1"/>
    <xf numFmtId="0" fontId="0" fillId="0" borderId="0" xfId="0"/>
    <xf numFmtId="0" fontId="0" fillId="0" borderId="0" xfId="0"/>
    <xf numFmtId="165" fontId="0" fillId="12" borderId="0" xfId="2" applyNumberFormat="1" applyFont="1" applyFill="1" applyAlignment="1"/>
    <xf numFmtId="165" fontId="0" fillId="7" borderId="0" xfId="2" applyNumberFormat="1" applyFont="1" applyFill="1" applyAlignment="1"/>
    <xf numFmtId="165" fontId="47" fillId="7" borderId="0" xfId="2" applyNumberFormat="1" applyFont="1" applyFill="1" applyAlignment="1">
      <alignment horizontal="right"/>
    </xf>
    <xf numFmtId="0" fontId="30" fillId="0" borderId="10" xfId="0" applyFont="1" applyBorder="1"/>
    <xf numFmtId="0" fontId="62" fillId="0" borderId="4" xfId="0" applyNumberFormat="1" applyFont="1" applyFill="1" applyBorder="1"/>
    <xf numFmtId="0" fontId="62" fillId="0" borderId="3" xfId="0" applyNumberFormat="1" applyFont="1" applyFill="1" applyBorder="1"/>
    <xf numFmtId="0" fontId="2" fillId="0" borderId="8" xfId="0" applyFont="1" applyBorder="1"/>
    <xf numFmtId="167" fontId="2" fillId="0" borderId="0" xfId="1" applyNumberFormat="1" applyFont="1" applyBorder="1"/>
    <xf numFmtId="165" fontId="41" fillId="0" borderId="0" xfId="2" applyNumberFormat="1" applyFont="1" applyBorder="1"/>
    <xf numFmtId="165" fontId="41" fillId="0" borderId="1" xfId="2" applyNumberFormat="1" applyFont="1" applyBorder="1"/>
    <xf numFmtId="0" fontId="62" fillId="0" borderId="0" xfId="0" applyNumberFormat="1" applyFont="1" applyBorder="1"/>
    <xf numFmtId="0" fontId="30" fillId="3" borderId="1" xfId="0" applyFont="1" applyFill="1" applyBorder="1"/>
    <xf numFmtId="167" fontId="2" fillId="0" borderId="0" xfId="1" applyNumberFormat="1" applyFont="1"/>
    <xf numFmtId="0" fontId="2" fillId="3" borderId="1" xfId="0" applyFont="1" applyFill="1" applyBorder="1"/>
    <xf numFmtId="0" fontId="30" fillId="0" borderId="8" xfId="0" applyFont="1" applyBorder="1" applyAlignment="1">
      <alignment horizontal="center"/>
    </xf>
    <xf numFmtId="0" fontId="62" fillId="0" borderId="1" xfId="0" applyNumberFormat="1" applyFont="1" applyFill="1" applyBorder="1"/>
    <xf numFmtId="167" fontId="52" fillId="6" borderId="0" xfId="1" applyNumberFormat="1" applyFont="1" applyFill="1"/>
    <xf numFmtId="167" fontId="0" fillId="6" borderId="0" xfId="1" applyNumberFormat="1" applyFont="1" applyFill="1"/>
    <xf numFmtId="167" fontId="48" fillId="6" borderId="0" xfId="1" applyNumberFormat="1" applyFont="1" applyFill="1"/>
    <xf numFmtId="0" fontId="47" fillId="6" borderId="0" xfId="0" applyFont="1" applyFill="1" applyAlignment="1">
      <alignment horizontal="right"/>
    </xf>
    <xf numFmtId="10" fontId="41" fillId="2" borderId="0" xfId="0" applyNumberFormat="1" applyFont="1" applyFill="1" applyBorder="1"/>
    <xf numFmtId="10" fontId="41" fillId="2" borderId="1" xfId="0" applyNumberFormat="1" applyFont="1" applyFill="1" applyBorder="1"/>
    <xf numFmtId="0" fontId="22" fillId="2" borderId="0" xfId="0" applyFont="1" applyFill="1" applyBorder="1"/>
    <xf numFmtId="167" fontId="0" fillId="2" borderId="0" xfId="1" applyNumberFormat="1" applyFont="1" applyFill="1"/>
    <xf numFmtId="0" fontId="63" fillId="0" borderId="0" xfId="0" applyFont="1"/>
    <xf numFmtId="166" fontId="0" fillId="2" borderId="11" xfId="1" applyNumberFormat="1" applyFont="1" applyFill="1" applyBorder="1"/>
    <xf numFmtId="166" fontId="0" fillId="2" borderId="12" xfId="1" applyNumberFormat="1" applyFont="1" applyFill="1" applyBorder="1"/>
    <xf numFmtId="0" fontId="45" fillId="0" borderId="0" xfId="0" applyFont="1" applyFill="1"/>
    <xf numFmtId="0" fontId="64" fillId="0" borderId="1" xfId="0" applyNumberFormat="1" applyFont="1" applyBorder="1"/>
    <xf numFmtId="0" fontId="64" fillId="0" borderId="1" xfId="0" applyNumberFormat="1" applyFont="1" applyBorder="1" applyAlignment="1">
      <alignment horizontal="right"/>
    </xf>
    <xf numFmtId="0" fontId="46" fillId="0" borderId="0" xfId="0" applyFont="1"/>
    <xf numFmtId="0" fontId="53" fillId="0" borderId="1" xfId="0" applyFont="1" applyFill="1" applyBorder="1"/>
    <xf numFmtId="0" fontId="48" fillId="0" borderId="1" xfId="0" applyFont="1" applyBorder="1"/>
    <xf numFmtId="0" fontId="48" fillId="0" borderId="0" xfId="0" applyFont="1" applyAlignment="1">
      <alignment horizontal="right"/>
    </xf>
    <xf numFmtId="182" fontId="48" fillId="0" borderId="0" xfId="0" applyNumberFormat="1" applyFont="1"/>
    <xf numFmtId="165" fontId="48" fillId="0" borderId="0" xfId="2" applyNumberFormat="1" applyFont="1"/>
    <xf numFmtId="0" fontId="48" fillId="0" borderId="1" xfId="0" applyFont="1" applyFill="1" applyBorder="1"/>
    <xf numFmtId="182" fontId="48" fillId="0" borderId="1" xfId="0" applyNumberFormat="1" applyFont="1" applyBorder="1"/>
    <xf numFmtId="0" fontId="63" fillId="0" borderId="0" xfId="0" applyFont="1" applyFill="1"/>
    <xf numFmtId="0" fontId="65" fillId="2" borderId="1" xfId="0" applyFont="1" applyFill="1" applyBorder="1"/>
    <xf numFmtId="9" fontId="46" fillId="0" borderId="0" xfId="0" applyNumberFormat="1" applyFont="1"/>
    <xf numFmtId="9" fontId="46" fillId="0" borderId="1" xfId="0" applyNumberFormat="1" applyFont="1" applyBorder="1"/>
    <xf numFmtId="0" fontId="47" fillId="2" borderId="1" xfId="0" applyFont="1" applyFill="1" applyBorder="1"/>
    <xf numFmtId="167" fontId="45" fillId="2" borderId="1" xfId="1" applyNumberFormat="1" applyFont="1" applyFill="1" applyBorder="1" applyAlignment="1">
      <alignment horizontal="right"/>
    </xf>
    <xf numFmtId="167" fontId="45" fillId="2" borderId="0" xfId="0" applyNumberFormat="1" applyFont="1" applyFill="1"/>
    <xf numFmtId="167" fontId="45" fillId="2" borderId="1" xfId="1" applyNumberFormat="1" applyFont="1" applyFill="1" applyBorder="1"/>
    <xf numFmtId="0" fontId="0" fillId="0" borderId="5" xfId="0" applyBorder="1" applyAlignment="1">
      <alignment horizontal="right"/>
    </xf>
    <xf numFmtId="165" fontId="47" fillId="0" borderId="0" xfId="2" applyNumberFormat="1" applyFont="1" applyFill="1"/>
    <xf numFmtId="14" fontId="2" fillId="6" borderId="0" xfId="0" applyNumberFormat="1" applyFont="1" applyFill="1"/>
    <xf numFmtId="0" fontId="2" fillId="5" borderId="13" xfId="0" applyFont="1" applyFill="1" applyBorder="1" applyAlignment="1">
      <alignment horizontal="right"/>
    </xf>
    <xf numFmtId="166" fontId="45" fillId="0" borderId="0" xfId="1" applyNumberFormat="1" applyFont="1" applyFill="1" applyBorder="1"/>
    <xf numFmtId="0" fontId="45" fillId="0" borderId="6" xfId="0" applyFont="1" applyBorder="1"/>
    <xf numFmtId="0" fontId="45" fillId="0" borderId="4" xfId="0" applyFont="1" applyBorder="1"/>
    <xf numFmtId="0" fontId="45" fillId="0" borderId="7" xfId="0" applyFont="1" applyBorder="1"/>
    <xf numFmtId="0" fontId="45" fillId="0" borderId="11" xfId="0" applyFont="1" applyFill="1" applyBorder="1" applyAlignment="1">
      <alignment horizontal="right"/>
    </xf>
    <xf numFmtId="0" fontId="45" fillId="0" borderId="8" xfId="0" applyFont="1" applyBorder="1"/>
    <xf numFmtId="0" fontId="45" fillId="0" borderId="0" xfId="0" applyFont="1" applyBorder="1" applyAlignment="1">
      <alignment horizontal="right"/>
    </xf>
    <xf numFmtId="0" fontId="67" fillId="0" borderId="1" xfId="0" applyNumberFormat="1" applyFont="1" applyBorder="1"/>
    <xf numFmtId="0" fontId="67" fillId="0" borderId="12" xfId="0" applyNumberFormat="1" applyFont="1" applyBorder="1"/>
    <xf numFmtId="0" fontId="45" fillId="0" borderId="9" xfId="0" applyFont="1" applyBorder="1"/>
    <xf numFmtId="0" fontId="45" fillId="0" borderId="1" xfId="0" applyFont="1" applyBorder="1" applyAlignment="1">
      <alignment horizontal="right"/>
    </xf>
    <xf numFmtId="0" fontId="50" fillId="0" borderId="13" xfId="0" applyFont="1" applyFill="1" applyBorder="1"/>
    <xf numFmtId="0" fontId="63" fillId="0" borderId="12" xfId="0" applyFont="1" applyFill="1" applyBorder="1"/>
    <xf numFmtId="166" fontId="45" fillId="0" borderId="1" xfId="1" applyNumberFormat="1" applyFont="1" applyFill="1" applyBorder="1"/>
    <xf numFmtId="166" fontId="45" fillId="0" borderId="13" xfId="1" applyNumberFormat="1" applyFont="1" applyFill="1" applyBorder="1"/>
    <xf numFmtId="166" fontId="45" fillId="2" borderId="13" xfId="1" applyNumberFormat="1" applyFont="1" applyFill="1" applyBorder="1"/>
    <xf numFmtId="166" fontId="45" fillId="5" borderId="13" xfId="1" applyNumberFormat="1" applyFont="1" applyFill="1" applyBorder="1"/>
    <xf numFmtId="166" fontId="45" fillId="5" borderId="12" xfId="1" applyNumberFormat="1" applyFont="1" applyFill="1" applyBorder="1"/>
    <xf numFmtId="166" fontId="45" fillId="2" borderId="12" xfId="1" applyNumberFormat="1" applyFont="1" applyFill="1" applyBorder="1"/>
    <xf numFmtId="14" fontId="47" fillId="6" borderId="0" xfId="0" applyNumberFormat="1" applyFont="1" applyFill="1"/>
    <xf numFmtId="14" fontId="47" fillId="0" borderId="0" xfId="0" applyNumberFormat="1" applyFont="1" applyFill="1"/>
    <xf numFmtId="166" fontId="0" fillId="5" borderId="1" xfId="1" applyNumberFormat="1" applyFont="1" applyFill="1" applyBorder="1" applyAlignment="1">
      <alignment horizontal="right"/>
    </xf>
    <xf numFmtId="167" fontId="0" fillId="0" borderId="0" xfId="1" applyNumberFormat="1" applyFont="1" applyFill="1"/>
    <xf numFmtId="0" fontId="5" fillId="2" borderId="0" xfId="0" applyFont="1" applyFill="1" applyBorder="1"/>
    <xf numFmtId="0" fontId="12" fillId="2" borderId="0" xfId="0" applyFont="1" applyFill="1" applyBorder="1"/>
    <xf numFmtId="14" fontId="46" fillId="5" borderId="11" xfId="0" applyNumberFormat="1" applyFont="1" applyFill="1" applyBorder="1"/>
    <xf numFmtId="167" fontId="0" fillId="2" borderId="13" xfId="1" applyNumberFormat="1" applyFont="1" applyFill="1" applyBorder="1"/>
    <xf numFmtId="0" fontId="55" fillId="6" borderId="0" xfId="0" applyFont="1" applyFill="1"/>
    <xf numFmtId="0" fontId="66" fillId="6" borderId="0" xfId="0" applyFont="1" applyFill="1"/>
    <xf numFmtId="9" fontId="45" fillId="6" borderId="0" xfId="2" applyFont="1" applyFill="1"/>
    <xf numFmtId="0" fontId="22" fillId="6" borderId="0" xfId="0" applyFont="1" applyFill="1" applyBorder="1"/>
    <xf numFmtId="0" fontId="0" fillId="6" borderId="0" xfId="0" applyFill="1" applyBorder="1"/>
    <xf numFmtId="182" fontId="0" fillId="6" borderId="0" xfId="0" applyNumberFormat="1" applyFill="1" applyBorder="1"/>
    <xf numFmtId="182" fontId="0" fillId="6" borderId="0" xfId="0" applyNumberFormat="1" applyFill="1" applyBorder="1" applyAlignment="1">
      <alignment horizontal="right"/>
    </xf>
    <xf numFmtId="0" fontId="21" fillId="6" borderId="0" xfId="0" applyNumberFormat="1" applyFont="1" applyFill="1" applyBorder="1"/>
    <xf numFmtId="0" fontId="21" fillId="6" borderId="1" xfId="0" applyNumberFormat="1" applyFont="1" applyFill="1" applyBorder="1"/>
    <xf numFmtId="0" fontId="44" fillId="6" borderId="1" xfId="0" applyFont="1" applyFill="1" applyBorder="1" applyAlignment="1">
      <alignment horizontal="right"/>
    </xf>
    <xf numFmtId="0" fontId="5" fillId="6" borderId="0" xfId="0" applyFont="1" applyFill="1" applyBorder="1" applyAlignment="1"/>
    <xf numFmtId="0" fontId="2" fillId="6" borderId="0" xfId="0" applyFont="1" applyFill="1" applyAlignment="1">
      <alignment horizontal="right"/>
    </xf>
    <xf numFmtId="0" fontId="49" fillId="6" borderId="1" xfId="0" applyFont="1" applyFill="1" applyBorder="1" applyAlignment="1"/>
    <xf numFmtId="0" fontId="5" fillId="6" borderId="1" xfId="0" applyFont="1" applyFill="1" applyBorder="1" applyAlignment="1"/>
    <xf numFmtId="0" fontId="0" fillId="6" borderId="1" xfId="0" applyFill="1" applyBorder="1" applyAlignment="1">
      <alignment horizontal="right"/>
    </xf>
    <xf numFmtId="0" fontId="0" fillId="6" borderId="0" xfId="0" applyFont="1" applyFill="1" applyAlignment="1"/>
    <xf numFmtId="0" fontId="5" fillId="6" borderId="0" xfId="0" applyFont="1" applyFill="1" applyAlignment="1"/>
    <xf numFmtId="167" fontId="45" fillId="6" borderId="0" xfId="0" applyNumberFormat="1" applyFont="1" applyFill="1"/>
    <xf numFmtId="167" fontId="45" fillId="6" borderId="0" xfId="1" applyNumberFormat="1" applyFont="1" applyFill="1" applyAlignment="1">
      <alignment horizontal="right"/>
    </xf>
    <xf numFmtId="0" fontId="0" fillId="6" borderId="0" xfId="0" applyFill="1" applyAlignment="1"/>
    <xf numFmtId="167" fontId="45" fillId="6" borderId="1" xfId="0" applyNumberFormat="1" applyFont="1" applyFill="1" applyBorder="1"/>
    <xf numFmtId="182" fontId="45" fillId="6" borderId="0" xfId="0" applyNumberFormat="1" applyFont="1" applyFill="1"/>
    <xf numFmtId="0" fontId="5" fillId="6" borderId="0" xfId="0" applyFont="1" applyFill="1" applyAlignment="1">
      <alignment horizontal="left"/>
    </xf>
    <xf numFmtId="182" fontId="0" fillId="6" borderId="0" xfId="0" applyNumberFormat="1" applyFill="1"/>
    <xf numFmtId="0" fontId="66" fillId="6" borderId="1" xfId="0" applyFont="1" applyFill="1" applyBorder="1"/>
    <xf numFmtId="0" fontId="16" fillId="6" borderId="1" xfId="0" applyFont="1" applyFill="1" applyBorder="1"/>
    <xf numFmtId="0" fontId="0" fillId="6" borderId="0" xfId="0" applyFont="1" applyFill="1" applyAlignment="1">
      <alignment horizontal="left"/>
    </xf>
    <xf numFmtId="0" fontId="0" fillId="6" borderId="0" xfId="0" applyFont="1" applyFill="1"/>
    <xf numFmtId="167" fontId="45" fillId="6" borderId="0" xfId="1" applyNumberFormat="1" applyFont="1" applyFill="1"/>
    <xf numFmtId="9" fontId="46" fillId="2" borderId="0" xfId="0" applyNumberFormat="1" applyFont="1" applyFill="1"/>
    <xf numFmtId="9" fontId="46" fillId="2" borderId="1" xfId="0" applyNumberFormat="1" applyFont="1" applyFill="1" applyBorder="1"/>
    <xf numFmtId="15" fontId="47" fillId="6" borderId="0" xfId="0" applyNumberFormat="1" applyFont="1" applyFill="1"/>
    <xf numFmtId="0" fontId="45" fillId="0" borderId="0" xfId="0" applyFont="1" applyAlignment="1">
      <alignment horizontal="right"/>
    </xf>
    <xf numFmtId="0" fontId="53" fillId="0" borderId="0" xfId="0" applyFont="1"/>
    <xf numFmtId="0" fontId="53" fillId="2" borderId="0" xfId="0" applyFont="1" applyFill="1" applyBorder="1"/>
    <xf numFmtId="0" fontId="0" fillId="0" borderId="0" xfId="0"/>
    <xf numFmtId="0" fontId="0" fillId="17" borderId="0" xfId="0" applyFill="1"/>
    <xf numFmtId="0" fontId="56" fillId="0" borderId="0" xfId="0" applyFont="1" applyBorder="1"/>
    <xf numFmtId="0" fontId="55" fillId="0" borderId="0" xfId="0" applyFont="1" applyBorder="1"/>
    <xf numFmtId="0" fontId="0" fillId="0" borderId="0" xfId="0"/>
    <xf numFmtId="0" fontId="45" fillId="0" borderId="8" xfId="0" applyFont="1" applyBorder="1" applyAlignment="1">
      <alignment horizontal="left"/>
    </xf>
    <xf numFmtId="167" fontId="69" fillId="0" borderId="0" xfId="1" applyNumberFormat="1" applyFont="1" applyBorder="1"/>
    <xf numFmtId="167" fontId="69" fillId="0" borderId="1" xfId="1" applyNumberFormat="1" applyFont="1" applyBorder="1"/>
    <xf numFmtId="167" fontId="45" fillId="0" borderId="0" xfId="1" applyNumberFormat="1" applyFont="1" applyBorder="1"/>
    <xf numFmtId="167" fontId="45" fillId="0" borderId="1" xfId="1" applyNumberFormat="1" applyFont="1" applyBorder="1"/>
    <xf numFmtId="9" fontId="69" fillId="0" borderId="0" xfId="2" applyFont="1" applyBorder="1"/>
    <xf numFmtId="9" fontId="45" fillId="0" borderId="0" xfId="2" applyFont="1" applyBorder="1"/>
    <xf numFmtId="9" fontId="45" fillId="0" borderId="1" xfId="2" applyFont="1" applyBorder="1"/>
    <xf numFmtId="167" fontId="0" fillId="0" borderId="1" xfId="1" applyNumberFormat="1" applyFont="1" applyFill="1" applyBorder="1"/>
    <xf numFmtId="0" fontId="5" fillId="0" borderId="10" xfId="0" applyFont="1" applyFill="1" applyBorder="1"/>
    <xf numFmtId="0" fontId="0" fillId="0" borderId="7" xfId="0" applyFill="1" applyBorder="1"/>
    <xf numFmtId="167" fontId="0" fillId="0" borderId="7" xfId="1" applyNumberFormat="1" applyFont="1" applyFill="1" applyBorder="1"/>
    <xf numFmtId="166" fontId="0" fillId="2" borderId="13" xfId="1" applyNumberFormat="1" applyFont="1" applyFill="1" applyBorder="1"/>
    <xf numFmtId="0" fontId="0" fillId="0" borderId="0" xfId="0"/>
    <xf numFmtId="165" fontId="0" fillId="2" borderId="0" xfId="2" applyNumberFormat="1" applyFont="1" applyFill="1" applyBorder="1"/>
    <xf numFmtId="9" fontId="69" fillId="0" borderId="1" xfId="2" applyFont="1" applyBorder="1"/>
    <xf numFmtId="183" fontId="0" fillId="0" borderId="0" xfId="0" applyNumberFormat="1"/>
    <xf numFmtId="0" fontId="0" fillId="0" borderId="0" xfId="0"/>
    <xf numFmtId="0" fontId="2" fillId="0" borderId="0" xfId="0" applyFont="1" applyFill="1" applyAlignment="1">
      <alignment horizontal="right"/>
    </xf>
    <xf numFmtId="9" fontId="2" fillId="0" borderId="0" xfId="2" applyFont="1" applyFill="1"/>
    <xf numFmtId="44" fontId="5" fillId="2" borderId="1" xfId="12" applyFont="1" applyFill="1" applyBorder="1"/>
    <xf numFmtId="166" fontId="0" fillId="0" borderId="6" xfId="1" applyNumberFormat="1" applyFont="1" applyFill="1" applyBorder="1"/>
    <xf numFmtId="166" fontId="0" fillId="0" borderId="4" xfId="1" applyNumberFormat="1" applyFont="1" applyFill="1" applyBorder="1"/>
    <xf numFmtId="14" fontId="8" fillId="0" borderId="4" xfId="0" applyNumberFormat="1" applyFont="1" applyBorder="1"/>
    <xf numFmtId="0" fontId="0" fillId="0" borderId="4" xfId="0" applyFill="1" applyBorder="1" applyAlignment="1">
      <alignment horizontal="right"/>
    </xf>
    <xf numFmtId="44" fontId="0" fillId="0" borderId="3" xfId="0" applyNumberFormat="1" applyFill="1" applyBorder="1"/>
    <xf numFmtId="43" fontId="5" fillId="2" borderId="4" xfId="0" applyNumberFormat="1" applyFont="1" applyFill="1" applyBorder="1"/>
    <xf numFmtId="167" fontId="0" fillId="2" borderId="0" xfId="1" applyNumberFormat="1" applyFont="1" applyFill="1" applyBorder="1"/>
    <xf numFmtId="166" fontId="0" fillId="2" borderId="1" xfId="1" applyNumberFormat="1" applyFont="1" applyFill="1" applyBorder="1"/>
    <xf numFmtId="9" fontId="2" fillId="0" borderId="1" xfId="2" applyFont="1" applyFill="1" applyBorder="1"/>
    <xf numFmtId="0" fontId="42" fillId="0" borderId="7" xfId="0" applyFont="1" applyFill="1" applyBorder="1"/>
    <xf numFmtId="0" fontId="42" fillId="0" borderId="10" xfId="0" applyFont="1" applyFill="1" applyBorder="1"/>
    <xf numFmtId="0" fontId="71" fillId="0" borderId="7" xfId="0" applyFont="1" applyFill="1" applyBorder="1"/>
    <xf numFmtId="0" fontId="72" fillId="0" borderId="1" xfId="0" applyFont="1" applyFill="1" applyBorder="1"/>
    <xf numFmtId="0" fontId="2" fillId="2" borderId="0" xfId="0" applyFont="1" applyFill="1" applyBorder="1"/>
    <xf numFmtId="0" fontId="35" fillId="4" borderId="12" xfId="0" applyFont="1" applyFill="1" applyBorder="1" applyAlignment="1">
      <alignment horizontal="right"/>
    </xf>
    <xf numFmtId="0" fontId="41" fillId="0" borderId="8" xfId="0" applyFont="1" applyBorder="1" applyAlignment="1">
      <alignment horizontal="center"/>
    </xf>
    <xf numFmtId="0" fontId="41" fillId="0" borderId="0" xfId="0" applyFont="1" applyBorder="1" applyAlignment="1">
      <alignment horizontal="center"/>
    </xf>
    <xf numFmtId="0" fontId="41" fillId="0" borderId="9" xfId="0" applyFont="1" applyBorder="1" applyAlignment="1">
      <alignment horizontal="center"/>
    </xf>
    <xf numFmtId="0" fontId="41" fillId="0" borderId="1" xfId="0" applyFont="1" applyBorder="1" applyAlignment="1">
      <alignment horizontal="center"/>
    </xf>
    <xf numFmtId="0" fontId="68" fillId="0" borderId="9" xfId="0" applyFont="1" applyBorder="1" applyAlignment="1">
      <alignment horizontal="right"/>
    </xf>
    <xf numFmtId="0" fontId="68" fillId="0" borderId="1" xfId="0" applyFont="1" applyBorder="1" applyAlignment="1">
      <alignment horizontal="right"/>
    </xf>
    <xf numFmtId="0" fontId="47" fillId="0" borderId="0" xfId="0" applyFont="1" applyFill="1" applyAlignment="1">
      <alignment horizontal="right"/>
    </xf>
    <xf numFmtId="14" fontId="46" fillId="6" borderId="0" xfId="0" applyNumberFormat="1" applyFont="1" applyFill="1"/>
    <xf numFmtId="0" fontId="53" fillId="0" borderId="0" xfId="0" applyFont="1" applyFill="1" applyBorder="1"/>
    <xf numFmtId="166" fontId="0" fillId="5" borderId="0" xfId="1" applyNumberFormat="1" applyFont="1" applyFill="1" applyBorder="1" applyAlignment="1">
      <alignment horizontal="right"/>
    </xf>
    <xf numFmtId="167" fontId="2" fillId="2" borderId="0" xfId="1" applyNumberFormat="1" applyFont="1" applyFill="1" applyBorder="1"/>
    <xf numFmtId="167" fontId="2" fillId="2" borderId="13" xfId="1" applyNumberFormat="1" applyFont="1" applyFill="1" applyBorder="1"/>
    <xf numFmtId="0" fontId="63" fillId="2" borderId="0" xfId="0" applyFont="1" applyFill="1" applyBorder="1"/>
    <xf numFmtId="15" fontId="47" fillId="0" borderId="0" xfId="0" applyNumberFormat="1" applyFont="1" applyFill="1"/>
    <xf numFmtId="9" fontId="45" fillId="0" borderId="0" xfId="2" applyFont="1" applyFill="1"/>
    <xf numFmtId="14" fontId="46" fillId="5" borderId="7" xfId="0" applyNumberFormat="1" applyFont="1" applyFill="1" applyBorder="1"/>
    <xf numFmtId="0" fontId="52" fillId="25" borderId="0" xfId="0" applyFont="1" applyFill="1"/>
    <xf numFmtId="0" fontId="0" fillId="25" borderId="0" xfId="0" applyFill="1"/>
    <xf numFmtId="0" fontId="48" fillId="25" borderId="0" xfId="0" applyFont="1" applyFill="1"/>
    <xf numFmtId="0" fontId="47" fillId="25" borderId="0" xfId="0" quotePrefix="1" applyFont="1" applyFill="1"/>
    <xf numFmtId="0" fontId="46" fillId="25" borderId="0" xfId="0" applyFont="1" applyFill="1"/>
    <xf numFmtId="0" fontId="45" fillId="25" borderId="0" xfId="0" applyFont="1" applyFill="1"/>
    <xf numFmtId="0" fontId="47" fillId="25" borderId="0" xfId="0" applyFont="1" applyFill="1"/>
    <xf numFmtId="0" fontId="0" fillId="0" borderId="6" xfId="0" applyBorder="1"/>
    <xf numFmtId="0" fontId="0" fillId="0" borderId="3" xfId="0" applyBorder="1"/>
    <xf numFmtId="0" fontId="72" fillId="4" borderId="1" xfId="0" applyFont="1" applyFill="1" applyBorder="1"/>
    <xf numFmtId="0" fontId="21" fillId="0" borderId="0" xfId="0" applyNumberFormat="1" applyFont="1" applyFill="1" applyBorder="1"/>
    <xf numFmtId="0" fontId="41" fillId="6" borderId="0" xfId="0" applyFont="1" applyFill="1"/>
    <xf numFmtId="15" fontId="41" fillId="6" borderId="0" xfId="0" applyNumberFormat="1" applyFont="1" applyFill="1" applyAlignment="1">
      <alignment horizontal="left"/>
    </xf>
    <xf numFmtId="0" fontId="41" fillId="6" borderId="0" xfId="0" applyFont="1" applyFill="1" applyAlignment="1">
      <alignment horizontal="right"/>
    </xf>
    <xf numFmtId="15" fontId="41" fillId="6" borderId="0" xfId="0" applyNumberFormat="1" applyFont="1" applyFill="1" applyAlignment="1">
      <alignment horizontal="right"/>
    </xf>
    <xf numFmtId="0" fontId="74" fillId="6" borderId="0" xfId="0" applyFont="1" applyFill="1"/>
    <xf numFmtId="165" fontId="49" fillId="9" borderId="0" xfId="0" applyNumberFormat="1" applyFont="1" applyFill="1"/>
    <xf numFmtId="0" fontId="8" fillId="0" borderId="0" xfId="0" applyFont="1" applyFill="1"/>
    <xf numFmtId="166" fontId="0" fillId="0" borderId="2" xfId="0" applyNumberFormat="1" applyFill="1" applyBorder="1"/>
    <xf numFmtId="0" fontId="3" fillId="0" borderId="0" xfId="0" applyFont="1" applyFill="1"/>
    <xf numFmtId="0" fontId="0" fillId="11" borderId="0" xfId="0" applyFill="1"/>
    <xf numFmtId="14" fontId="46" fillId="0" borderId="0" xfId="0" applyNumberFormat="1" applyFont="1" applyFill="1" applyBorder="1"/>
    <xf numFmtId="0" fontId="2" fillId="0" borderId="0" xfId="0" applyFont="1" applyFill="1" applyBorder="1" applyAlignment="1">
      <alignment horizontal="right"/>
    </xf>
    <xf numFmtId="166" fontId="0" fillId="0" borderId="1" xfId="1" applyNumberFormat="1" applyFont="1" applyBorder="1"/>
    <xf numFmtId="167" fontId="0" fillId="0" borderId="1" xfId="0" applyNumberFormat="1" applyFill="1" applyBorder="1"/>
    <xf numFmtId="0" fontId="54" fillId="0" borderId="0" xfId="0" applyFont="1"/>
    <xf numFmtId="0" fontId="76" fillId="0" borderId="1" xfId="0" applyFont="1" applyBorder="1"/>
    <xf numFmtId="0" fontId="54" fillId="0" borderId="1" xfId="0" applyFont="1" applyBorder="1"/>
    <xf numFmtId="166" fontId="54" fillId="0" borderId="0" xfId="1" applyNumberFormat="1" applyFont="1" applyFill="1" applyBorder="1"/>
    <xf numFmtId="166" fontId="54" fillId="0" borderId="1" xfId="1" applyNumberFormat="1" applyFont="1" applyFill="1" applyBorder="1"/>
    <xf numFmtId="9" fontId="54" fillId="0" borderId="0" xfId="2" applyFont="1"/>
    <xf numFmtId="0" fontId="76" fillId="0" borderId="0" xfId="0" applyFont="1"/>
    <xf numFmtId="166" fontId="54" fillId="2" borderId="0" xfId="1" applyNumberFormat="1" applyFont="1" applyFill="1" applyBorder="1"/>
    <xf numFmtId="165" fontId="54" fillId="0" borderId="0" xfId="2" applyNumberFormat="1" applyFont="1"/>
    <xf numFmtId="166" fontId="54" fillId="2" borderId="2" xfId="1" applyNumberFormat="1" applyFont="1" applyFill="1" applyBorder="1"/>
    <xf numFmtId="165" fontId="54" fillId="0" borderId="1" xfId="0" applyNumberFormat="1" applyFont="1" applyBorder="1"/>
    <xf numFmtId="9" fontId="54" fillId="0" borderId="0" xfId="0" applyNumberFormat="1" applyFont="1"/>
    <xf numFmtId="9" fontId="54" fillId="0" borderId="0" xfId="2" applyFont="1" applyBorder="1"/>
    <xf numFmtId="166" fontId="54" fillId="0" borderId="2" xfId="1" applyNumberFormat="1" applyFont="1" applyFill="1" applyBorder="1"/>
    <xf numFmtId="9" fontId="76" fillId="0" borderId="2" xfId="2" applyFont="1" applyBorder="1"/>
    <xf numFmtId="166" fontId="54" fillId="0" borderId="0" xfId="0" applyNumberFormat="1" applyFont="1"/>
    <xf numFmtId="2" fontId="54" fillId="0" borderId="0" xfId="0" applyNumberFormat="1" applyFont="1"/>
    <xf numFmtId="166" fontId="54" fillId="19" borderId="1" xfId="1" applyNumberFormat="1" applyFont="1" applyFill="1" applyBorder="1"/>
    <xf numFmtId="166" fontId="54" fillId="19" borderId="2" xfId="1" applyNumberFormat="1" applyFont="1" applyFill="1" applyBorder="1"/>
    <xf numFmtId="0" fontId="54" fillId="0" borderId="0" xfId="0" applyFont="1" applyAlignment="1">
      <alignment horizontal="right"/>
    </xf>
    <xf numFmtId="0" fontId="54" fillId="0" borderId="0" xfId="0" applyFont="1" applyBorder="1"/>
    <xf numFmtId="0" fontId="54" fillId="0" borderId="0" xfId="0" applyFont="1" applyBorder="1" applyAlignment="1">
      <alignment horizontal="right"/>
    </xf>
    <xf numFmtId="0" fontId="76" fillId="0" borderId="0" xfId="0" applyFont="1" applyBorder="1"/>
    <xf numFmtId="0" fontId="54" fillId="0" borderId="0" xfId="0" applyFont="1" applyAlignment="1">
      <alignment horizontal="center"/>
    </xf>
    <xf numFmtId="165" fontId="76" fillId="14" borderId="0" xfId="0" applyNumberFormat="1" applyFont="1" applyFill="1"/>
    <xf numFmtId="0" fontId="54" fillId="0" borderId="6" xfId="0" applyFont="1" applyBorder="1"/>
    <xf numFmtId="9" fontId="54" fillId="0" borderId="3" xfId="2" applyFont="1" applyBorder="1"/>
    <xf numFmtId="0" fontId="54" fillId="14" borderId="0" xfId="0" applyFont="1" applyFill="1"/>
    <xf numFmtId="0" fontId="17" fillId="4" borderId="0" xfId="0" applyFont="1" applyFill="1"/>
    <xf numFmtId="0" fontId="2" fillId="2" borderId="1" xfId="0" applyFont="1" applyFill="1" applyBorder="1"/>
    <xf numFmtId="165" fontId="77" fillId="0" borderId="0" xfId="2" applyNumberFormat="1" applyFont="1" applyFill="1" applyBorder="1" applyAlignment="1">
      <alignment horizontal="right"/>
    </xf>
    <xf numFmtId="0" fontId="0" fillId="27" borderId="0" xfId="0" applyFont="1" applyFill="1" applyBorder="1"/>
    <xf numFmtId="0" fontId="8" fillId="27" borderId="0" xfId="0" applyFont="1" applyFill="1" applyBorder="1" applyAlignment="1">
      <alignment horizontal="right"/>
    </xf>
    <xf numFmtId="0" fontId="0" fillId="27" borderId="0" xfId="0" applyFill="1"/>
    <xf numFmtId="166" fontId="0" fillId="27" borderId="0" xfId="0" applyNumberFormat="1" applyFont="1" applyFill="1" applyBorder="1"/>
    <xf numFmtId="167" fontId="0" fillId="27" borderId="0" xfId="1" applyNumberFormat="1" applyFont="1" applyFill="1" applyBorder="1"/>
    <xf numFmtId="165" fontId="61" fillId="27" borderId="0" xfId="2" applyNumberFormat="1" applyFont="1" applyFill="1" applyBorder="1"/>
    <xf numFmtId="165" fontId="61" fillId="27" borderId="1" xfId="2" applyNumberFormat="1" applyFont="1" applyFill="1" applyBorder="1"/>
    <xf numFmtId="0" fontId="60" fillId="27" borderId="0" xfId="0" applyFont="1" applyFill="1" applyBorder="1"/>
    <xf numFmtId="181" fontId="0" fillId="27" borderId="0" xfId="1" applyNumberFormat="1" applyFont="1" applyFill="1" applyBorder="1"/>
    <xf numFmtId="167" fontId="0" fillId="27" borderId="0" xfId="1" applyNumberFormat="1" applyFont="1" applyFill="1" applyBorder="1" applyAlignment="1">
      <alignment horizontal="right"/>
    </xf>
    <xf numFmtId="165" fontId="0" fillId="27" borderId="0" xfId="2" applyNumberFormat="1" applyFont="1" applyFill="1" applyBorder="1"/>
    <xf numFmtId="167" fontId="0" fillId="27" borderId="1" xfId="1" applyNumberFormat="1" applyFont="1" applyFill="1" applyBorder="1" applyAlignment="1">
      <alignment horizontal="right"/>
    </xf>
    <xf numFmtId="167" fontId="0" fillId="27" borderId="1" xfId="1" applyNumberFormat="1" applyFont="1" applyFill="1" applyBorder="1"/>
    <xf numFmtId="0" fontId="0" fillId="27" borderId="1" xfId="0" applyFont="1" applyFill="1" applyBorder="1"/>
    <xf numFmtId="165" fontId="0" fillId="27" borderId="1" xfId="2" applyNumberFormat="1" applyFont="1" applyFill="1" applyBorder="1"/>
    <xf numFmtId="9" fontId="0" fillId="27" borderId="0" xfId="2" applyFont="1" applyFill="1" applyBorder="1"/>
    <xf numFmtId="9" fontId="0" fillId="27" borderId="1" xfId="2" applyFont="1" applyFill="1" applyBorder="1"/>
    <xf numFmtId="9" fontId="0" fillId="27" borderId="0" xfId="0" applyNumberFormat="1" applyFont="1" applyFill="1" applyBorder="1"/>
    <xf numFmtId="0" fontId="5" fillId="27" borderId="0" xfId="0" applyFont="1" applyFill="1" applyBorder="1"/>
    <xf numFmtId="2" fontId="0" fillId="27" borderId="0" xfId="0" applyNumberFormat="1" applyFont="1" applyFill="1" applyBorder="1"/>
    <xf numFmtId="1" fontId="0" fillId="27" borderId="0" xfId="0" applyNumberFormat="1" applyFont="1" applyFill="1" applyBorder="1"/>
    <xf numFmtId="166" fontId="0" fillId="27" borderId="1" xfId="0" applyNumberFormat="1" applyFont="1" applyFill="1" applyBorder="1"/>
    <xf numFmtId="2" fontId="0" fillId="27" borderId="0" xfId="0" applyNumberFormat="1" applyFont="1" applyFill="1" applyBorder="1" applyAlignment="1">
      <alignment horizontal="right"/>
    </xf>
    <xf numFmtId="43" fontId="0" fillId="27" borderId="0" xfId="1" applyFont="1" applyFill="1" applyBorder="1"/>
    <xf numFmtId="165" fontId="0" fillId="27" borderId="0" xfId="2" applyNumberFormat="1" applyFont="1" applyFill="1"/>
    <xf numFmtId="0" fontId="0" fillId="27" borderId="1" xfId="0" applyFill="1" applyBorder="1"/>
    <xf numFmtId="166" fontId="0" fillId="27" borderId="1" xfId="0" applyNumberFormat="1" applyFill="1" applyBorder="1"/>
    <xf numFmtId="0" fontId="39" fillId="0" borderId="0" xfId="0" applyFont="1" applyFill="1" applyBorder="1"/>
    <xf numFmtId="166" fontId="2" fillId="27" borderId="0" xfId="0" applyNumberFormat="1" applyFont="1" applyFill="1" applyBorder="1"/>
    <xf numFmtId="0" fontId="2" fillId="28" borderId="1" xfId="0" applyFont="1" applyFill="1" applyBorder="1"/>
    <xf numFmtId="167" fontId="0" fillId="2" borderId="1" xfId="1" applyNumberFormat="1" applyFont="1" applyFill="1" applyBorder="1" applyAlignment="1">
      <alignment horizontal="right"/>
    </xf>
    <xf numFmtId="9" fontId="3" fillId="2" borderId="0" xfId="2" applyFont="1" applyFill="1" applyBorder="1"/>
    <xf numFmtId="169" fontId="0" fillId="2" borderId="0" xfId="0" applyNumberFormat="1" applyFont="1" applyFill="1" applyBorder="1"/>
    <xf numFmtId="0" fontId="0" fillId="27" borderId="0" xfId="0" applyNumberFormat="1" applyFont="1" applyFill="1" applyBorder="1"/>
    <xf numFmtId="43" fontId="0" fillId="27" borderId="0" xfId="0" applyNumberFormat="1" applyFont="1" applyFill="1" applyBorder="1"/>
    <xf numFmtId="2" fontId="0" fillId="2" borderId="0" xfId="0" applyNumberFormat="1" applyFont="1" applyFill="1" applyBorder="1"/>
    <xf numFmtId="0" fontId="0" fillId="27" borderId="0" xfId="1" applyNumberFormat="1" applyFont="1" applyFill="1" applyBorder="1"/>
    <xf numFmtId="169" fontId="0" fillId="27" borderId="0" xfId="1" applyNumberFormat="1" applyFont="1" applyFill="1" applyBorder="1"/>
    <xf numFmtId="0" fontId="0" fillId="27" borderId="1" xfId="0" applyNumberFormat="1" applyFont="1" applyFill="1" applyBorder="1"/>
    <xf numFmtId="2" fontId="0" fillId="27" borderId="1" xfId="0" applyNumberFormat="1" applyFont="1" applyFill="1" applyBorder="1"/>
    <xf numFmtId="164" fontId="0" fillId="2" borderId="0" xfId="0" applyNumberFormat="1" applyFont="1" applyFill="1" applyBorder="1"/>
    <xf numFmtId="166" fontId="0" fillId="2" borderId="0" xfId="0" applyNumberFormat="1" applyFont="1" applyFill="1" applyBorder="1"/>
    <xf numFmtId="165" fontId="0" fillId="2" borderId="0" xfId="0" applyNumberFormat="1" applyFill="1"/>
    <xf numFmtId="165" fontId="49" fillId="0" borderId="0" xfId="0" applyNumberFormat="1" applyFont="1" applyFill="1"/>
    <xf numFmtId="0" fontId="5" fillId="9" borderId="0" xfId="0" applyFont="1" applyFill="1" applyBorder="1"/>
    <xf numFmtId="0" fontId="0" fillId="29" borderId="0" xfId="0" applyFill="1"/>
    <xf numFmtId="165" fontId="0" fillId="8" borderId="0" xfId="0" applyNumberFormat="1" applyFill="1"/>
    <xf numFmtId="165" fontId="0" fillId="8" borderId="0" xfId="0" applyNumberFormat="1" applyFill="1" applyBorder="1"/>
    <xf numFmtId="165" fontId="0" fillId="8" borderId="0" xfId="0" applyNumberFormat="1" applyFont="1" applyFill="1"/>
    <xf numFmtId="0" fontId="0" fillId="30" borderId="0" xfId="0" applyFill="1"/>
    <xf numFmtId="0" fontId="24" fillId="11" borderId="0" xfId="0" applyFont="1" applyFill="1"/>
    <xf numFmtId="0" fontId="24" fillId="29" borderId="0" xfId="0" applyFont="1" applyFill="1"/>
    <xf numFmtId="0" fontId="8" fillId="31" borderId="0" xfId="0" applyFont="1" applyFill="1"/>
    <xf numFmtId="0" fontId="0" fillId="31" borderId="0" xfId="0" applyFill="1"/>
    <xf numFmtId="0" fontId="0" fillId="31" borderId="0" xfId="0" applyFont="1" applyFill="1"/>
    <xf numFmtId="165" fontId="0" fillId="11" borderId="0" xfId="2" applyNumberFormat="1" applyFont="1" applyFill="1" applyAlignment="1"/>
    <xf numFmtId="0" fontId="78" fillId="6" borderId="0" xfId="0" applyFont="1" applyFill="1"/>
    <xf numFmtId="0" fontId="5" fillId="29" borderId="0" xfId="0" applyFont="1" applyFill="1"/>
    <xf numFmtId="0" fontId="32" fillId="6" borderId="0" xfId="0" applyFont="1" applyFill="1"/>
    <xf numFmtId="15" fontId="46" fillId="6" borderId="0" xfId="0" applyNumberFormat="1" applyFont="1" applyFill="1"/>
    <xf numFmtId="9" fontId="0" fillId="0" borderId="0" xfId="2" applyFont="1" applyFill="1"/>
    <xf numFmtId="166" fontId="2" fillId="0" borderId="0" xfId="0" applyNumberFormat="1" applyFont="1" applyFill="1" applyAlignment="1">
      <alignment horizontal="right"/>
    </xf>
    <xf numFmtId="166" fontId="2" fillId="0" borderId="1" xfId="0" applyNumberFormat="1" applyFont="1" applyFill="1" applyBorder="1"/>
    <xf numFmtId="0" fontId="3" fillId="0" borderId="0" xfId="0" applyFont="1"/>
    <xf numFmtId="166" fontId="0" fillId="0" borderId="2" xfId="0" applyNumberFormat="1" applyBorder="1"/>
    <xf numFmtId="166" fontId="0" fillId="0" borderId="2" xfId="1" applyNumberFormat="1" applyFont="1" applyBorder="1"/>
    <xf numFmtId="0" fontId="81" fillId="35" borderId="0" xfId="0" applyFont="1" applyFill="1"/>
    <xf numFmtId="166" fontId="0" fillId="26" borderId="0" xfId="1" applyNumberFormat="1" applyFont="1" applyFill="1" applyBorder="1"/>
    <xf numFmtId="166" fontId="0" fillId="26" borderId="1" xfId="1" applyNumberFormat="1" applyFont="1" applyFill="1" applyBorder="1"/>
    <xf numFmtId="166" fontId="0" fillId="11" borderId="0" xfId="1" applyNumberFormat="1" applyFont="1" applyFill="1" applyBorder="1"/>
    <xf numFmtId="0" fontId="82" fillId="35" borderId="0" xfId="0" applyFont="1" applyFill="1"/>
    <xf numFmtId="166" fontId="0" fillId="3" borderId="0" xfId="1" applyNumberFormat="1" applyFont="1" applyFill="1" applyBorder="1"/>
    <xf numFmtId="166" fontId="0" fillId="3" borderId="1" xfId="1" applyNumberFormat="1" applyFont="1" applyFill="1" applyBorder="1"/>
    <xf numFmtId="0" fontId="0" fillId="3" borderId="0" xfId="0" applyFill="1"/>
    <xf numFmtId="9" fontId="0" fillId="0" borderId="1" xfId="2" applyFont="1" applyFill="1" applyBorder="1"/>
    <xf numFmtId="0" fontId="0" fillId="0" borderId="2" xfId="0" applyBorder="1"/>
    <xf numFmtId="166" fontId="0" fillId="3" borderId="0" xfId="0" applyNumberFormat="1" applyFill="1"/>
    <xf numFmtId="0" fontId="0" fillId="3" borderId="1" xfId="0" applyFill="1" applyBorder="1"/>
    <xf numFmtId="166" fontId="0" fillId="3" borderId="1" xfId="0" applyNumberFormat="1" applyFill="1" applyBorder="1"/>
    <xf numFmtId="166" fontId="0" fillId="3" borderId="2" xfId="1" applyNumberFormat="1" applyFont="1" applyFill="1" applyBorder="1"/>
    <xf numFmtId="167" fontId="0" fillId="3" borderId="0" xfId="1" applyNumberFormat="1" applyFont="1" applyFill="1"/>
    <xf numFmtId="166" fontId="0" fillId="12" borderId="0" xfId="1" applyNumberFormat="1" applyFont="1" applyFill="1" applyBorder="1"/>
    <xf numFmtId="0" fontId="16" fillId="4" borderId="0" xfId="0" applyFont="1" applyFill="1" applyBorder="1"/>
    <xf numFmtId="166" fontId="17" fillId="4" borderId="0" xfId="0" applyNumberFormat="1" applyFont="1" applyFill="1"/>
    <xf numFmtId="166" fontId="0" fillId="2" borderId="0" xfId="0" applyNumberFormat="1" applyFill="1" applyBorder="1"/>
    <xf numFmtId="166" fontId="0" fillId="3" borderId="0" xfId="0" applyNumberFormat="1" applyFill="1" applyBorder="1"/>
    <xf numFmtId="167" fontId="0" fillId="3" borderId="0" xfId="0" applyNumberFormat="1" applyFill="1" applyBorder="1"/>
    <xf numFmtId="166" fontId="75" fillId="3" borderId="1" xfId="15" applyNumberFormat="1" applyFont="1" applyFill="1" applyBorder="1"/>
    <xf numFmtId="166" fontId="75" fillId="0" borderId="1" xfId="15" applyNumberFormat="1" applyFont="1" applyFill="1" applyBorder="1"/>
    <xf numFmtId="167" fontId="75" fillId="0" borderId="0" xfId="15" applyNumberFormat="1" applyFont="1" applyFill="1" applyBorder="1"/>
    <xf numFmtId="166" fontId="75" fillId="0" borderId="0" xfId="15" applyNumberFormat="1" applyFont="1" applyFill="1" applyBorder="1"/>
    <xf numFmtId="10" fontId="0" fillId="0" borderId="1" xfId="2" applyNumberFormat="1" applyFont="1" applyFill="1" applyBorder="1"/>
    <xf numFmtId="10" fontId="0" fillId="34" borderId="1" xfId="2" applyNumberFormat="1" applyFont="1" applyFill="1" applyBorder="1"/>
    <xf numFmtId="0" fontId="0" fillId="0" borderId="0" xfId="0"/>
    <xf numFmtId="166" fontId="0" fillId="2" borderId="1" xfId="0" applyNumberFormat="1" applyFill="1" applyBorder="1"/>
    <xf numFmtId="0" fontId="35" fillId="37" borderId="1" xfId="0" applyFont="1" applyFill="1" applyBorder="1"/>
    <xf numFmtId="0" fontId="39" fillId="0" borderId="0" xfId="0" applyFont="1"/>
    <xf numFmtId="0" fontId="35" fillId="37" borderId="0" xfId="0" applyFont="1" applyFill="1" applyBorder="1"/>
    <xf numFmtId="0" fontId="0" fillId="4" borderId="0" xfId="0" applyFill="1"/>
    <xf numFmtId="0" fontId="81" fillId="4" borderId="0" xfId="0" applyFont="1" applyFill="1"/>
    <xf numFmtId="0" fontId="0" fillId="0" borderId="2" xfId="0" applyFill="1" applyBorder="1"/>
    <xf numFmtId="166" fontId="2" fillId="0" borderId="1" xfId="0" applyNumberFormat="1" applyFont="1" applyFill="1" applyBorder="1" applyAlignment="1">
      <alignment horizontal="right"/>
    </xf>
    <xf numFmtId="0" fontId="27" fillId="4" borderId="0" xfId="0" applyFont="1" applyFill="1" applyAlignment="1">
      <alignment vertical="center"/>
    </xf>
    <xf numFmtId="166" fontId="5" fillId="0" borderId="0" xfId="1" applyNumberFormat="1" applyFont="1" applyBorder="1"/>
    <xf numFmtId="166" fontId="5" fillId="0" borderId="1" xfId="1" applyNumberFormat="1" applyFont="1" applyBorder="1"/>
    <xf numFmtId="0" fontId="0" fillId="0" borderId="0" xfId="0" applyFill="1" applyBorder="1" applyAlignment="1">
      <alignment vertical="top"/>
    </xf>
    <xf numFmtId="0" fontId="5" fillId="0" borderId="1" xfId="0" applyFont="1" applyFill="1" applyBorder="1" applyAlignment="1"/>
    <xf numFmtId="0" fontId="2" fillId="0" borderId="1" xfId="0" applyFont="1" applyFill="1" applyBorder="1" applyAlignment="1">
      <alignment horizontal="right"/>
    </xf>
    <xf numFmtId="0" fontId="30" fillId="0" borderId="0" xfId="0" applyFont="1" applyFill="1"/>
    <xf numFmtId="0" fontId="17" fillId="0" borderId="1" xfId="0" applyFont="1" applyFill="1" applyBorder="1"/>
    <xf numFmtId="166" fontId="2" fillId="0" borderId="0" xfId="1" applyNumberFormat="1" applyFont="1" applyFill="1" applyBorder="1"/>
    <xf numFmtId="166" fontId="5" fillId="0" borderId="0" xfId="0" applyNumberFormat="1" applyFont="1"/>
    <xf numFmtId="0" fontId="41" fillId="0" borderId="1" xfId="0" applyFont="1" applyBorder="1" applyAlignment="1">
      <alignment horizontal="right"/>
    </xf>
    <xf numFmtId="166" fontId="5" fillId="2" borderId="0" xfId="0" applyNumberFormat="1" applyFont="1" applyFill="1"/>
    <xf numFmtId="0" fontId="17" fillId="4" borderId="1" xfId="0" applyFont="1" applyFill="1" applyBorder="1"/>
    <xf numFmtId="0" fontId="35" fillId="4" borderId="0" xfId="0" applyFont="1" applyFill="1" applyBorder="1"/>
    <xf numFmtId="0" fontId="88" fillId="37" borderId="0" xfId="0" applyFont="1" applyFill="1" applyBorder="1" applyAlignment="1">
      <alignment vertical="center"/>
    </xf>
    <xf numFmtId="0" fontId="27" fillId="4" borderId="9" xfId="0" applyFont="1" applyFill="1" applyBorder="1"/>
    <xf numFmtId="0" fontId="35" fillId="0" borderId="12" xfId="0" applyFont="1" applyFill="1" applyBorder="1"/>
    <xf numFmtId="0" fontId="27" fillId="0" borderId="0" xfId="0" applyFont="1" applyFill="1" applyAlignment="1">
      <alignment vertical="center"/>
    </xf>
    <xf numFmtId="0" fontId="90" fillId="4" borderId="0" xfId="0" applyFont="1" applyFill="1"/>
    <xf numFmtId="0" fontId="72" fillId="4" borderId="0" xfId="0" applyFont="1" applyFill="1"/>
    <xf numFmtId="0" fontId="91" fillId="4" borderId="0" xfId="0" applyFont="1" applyFill="1"/>
    <xf numFmtId="0" fontId="17" fillId="4" borderId="0" xfId="0" applyFont="1" applyFill="1" applyBorder="1"/>
    <xf numFmtId="0" fontId="92" fillId="4" borderId="1" xfId="0" applyFont="1" applyFill="1" applyBorder="1"/>
    <xf numFmtId="0" fontId="93" fillId="4" borderId="1" xfId="0" applyFont="1" applyFill="1" applyBorder="1"/>
    <xf numFmtId="166" fontId="2" fillId="0" borderId="0" xfId="1" applyNumberFormat="1" applyFont="1" applyFill="1" applyBorder="1" applyAlignment="1">
      <alignment horizontal="right"/>
    </xf>
    <xf numFmtId="0" fontId="2" fillId="2" borderId="0" xfId="0" applyFont="1" applyFill="1"/>
    <xf numFmtId="0" fontId="2" fillId="0" borderId="0" xfId="0" applyFont="1" applyAlignment="1">
      <alignment horizontal="center"/>
    </xf>
    <xf numFmtId="0" fontId="4" fillId="0" borderId="4" xfId="0" applyFont="1" applyBorder="1"/>
    <xf numFmtId="0" fontId="83" fillId="0" borderId="4" xfId="0" applyFont="1" applyBorder="1"/>
    <xf numFmtId="0" fontId="83" fillId="0" borderId="0" xfId="0" applyFont="1"/>
    <xf numFmtId="0" fontId="4" fillId="0" borderId="1" xfId="0" applyFont="1" applyBorder="1"/>
    <xf numFmtId="0" fontId="94" fillId="4" borderId="0" xfId="0" applyFont="1" applyFill="1"/>
    <xf numFmtId="0" fontId="95" fillId="4" borderId="3" xfId="0" applyFont="1" applyFill="1" applyBorder="1"/>
    <xf numFmtId="0" fontId="95" fillId="4" borderId="4" xfId="0" applyFont="1" applyFill="1" applyBorder="1"/>
    <xf numFmtId="0" fontId="4" fillId="0" borderId="0" xfId="0" applyFont="1"/>
    <xf numFmtId="0" fontId="18" fillId="4" borderId="4" xfId="0" applyFont="1" applyFill="1" applyBorder="1"/>
    <xf numFmtId="0" fontId="95" fillId="4" borderId="0" xfId="0" applyFont="1" applyFill="1"/>
    <xf numFmtId="0" fontId="81" fillId="12" borderId="0" xfId="0" applyFont="1" applyFill="1"/>
    <xf numFmtId="0" fontId="82" fillId="12" borderId="0" xfId="0" applyFont="1" applyFill="1"/>
    <xf numFmtId="0" fontId="16" fillId="12" borderId="0" xfId="0" applyFont="1" applyFill="1"/>
    <xf numFmtId="0" fontId="96" fillId="4" borderId="1" xfId="0" applyFont="1" applyFill="1" applyBorder="1"/>
    <xf numFmtId="166" fontId="97" fillId="4" borderId="1" xfId="1" applyNumberFormat="1" applyFont="1" applyFill="1" applyBorder="1"/>
    <xf numFmtId="167" fontId="0" fillId="3" borderId="0" xfId="0" applyNumberFormat="1" applyFill="1"/>
    <xf numFmtId="167" fontId="0" fillId="0" borderId="1" xfId="0" applyNumberFormat="1" applyBorder="1"/>
    <xf numFmtId="10" fontId="0" fillId="33" borderId="0" xfId="2" applyNumberFormat="1" applyFont="1" applyFill="1"/>
    <xf numFmtId="0" fontId="5" fillId="0" borderId="1" xfId="0" applyFont="1" applyBorder="1" applyAlignment="1">
      <alignment horizontal="left"/>
    </xf>
    <xf numFmtId="3" fontId="0" fillId="0" borderId="0" xfId="0" applyNumberFormat="1"/>
    <xf numFmtId="10" fontId="0" fillId="0" borderId="0" xfId="2" applyNumberFormat="1" applyFont="1" applyFill="1"/>
    <xf numFmtId="166" fontId="0" fillId="0" borderId="11" xfId="0" applyNumberFormat="1" applyBorder="1"/>
    <xf numFmtId="166" fontId="0" fillId="0" borderId="12" xfId="0" applyNumberFormat="1" applyBorder="1"/>
    <xf numFmtId="166" fontId="0" fillId="11" borderId="0" xfId="0" applyNumberFormat="1" applyFill="1"/>
    <xf numFmtId="0" fontId="0" fillId="2" borderId="0" xfId="0" applyFill="1" applyAlignment="1">
      <alignment horizontal="left" indent="1"/>
    </xf>
    <xf numFmtId="0" fontId="82" fillId="35" borderId="1" xfId="0" applyFont="1" applyFill="1" applyBorder="1"/>
    <xf numFmtId="166" fontId="5" fillId="11" borderId="1" xfId="0" applyNumberFormat="1" applyFont="1" applyFill="1" applyBorder="1"/>
    <xf numFmtId="185" fontId="5" fillId="0" borderId="0" xfId="0" applyNumberFormat="1" applyFont="1"/>
    <xf numFmtId="166" fontId="5" fillId="11" borderId="0" xfId="0" applyNumberFormat="1" applyFont="1" applyFill="1"/>
    <xf numFmtId="9" fontId="14" fillId="0" borderId="0" xfId="2" applyFont="1" applyFill="1" applyBorder="1"/>
    <xf numFmtId="167" fontId="0" fillId="26" borderId="0" xfId="1" applyNumberFormat="1" applyFont="1" applyFill="1" applyBorder="1"/>
    <xf numFmtId="9" fontId="14" fillId="0" borderId="0" xfId="2" applyFont="1" applyBorder="1"/>
    <xf numFmtId="166" fontId="0" fillId="2" borderId="0" xfId="0" applyNumberFormat="1" applyFill="1"/>
    <xf numFmtId="0" fontId="81" fillId="35" borderId="1" xfId="0" applyFont="1" applyFill="1" applyBorder="1"/>
    <xf numFmtId="166" fontId="14" fillId="40" borderId="6" xfId="1" applyNumberFormat="1" applyFont="1" applyFill="1" applyBorder="1" applyAlignment="1">
      <alignment horizontal="right"/>
    </xf>
    <xf numFmtId="166" fontId="14" fillId="40" borderId="4" xfId="1" applyNumberFormat="1" applyFont="1" applyFill="1" applyBorder="1" applyAlignment="1">
      <alignment horizontal="right"/>
    </xf>
    <xf numFmtId="0" fontId="14" fillId="40" borderId="3" xfId="0" applyFont="1" applyFill="1" applyBorder="1" applyAlignment="1">
      <alignment horizontal="right"/>
    </xf>
    <xf numFmtId="166" fontId="0" fillId="0" borderId="8" xfId="1" applyNumberFormat="1" applyFont="1" applyFill="1" applyBorder="1"/>
    <xf numFmtId="166" fontId="0" fillId="26" borderId="13" xfId="1" applyNumberFormat="1" applyFont="1" applyFill="1" applyBorder="1"/>
    <xf numFmtId="166" fontId="0" fillId="0" borderId="13" xfId="1" applyNumberFormat="1" applyFont="1" applyBorder="1"/>
    <xf numFmtId="166" fontId="0" fillId="0" borderId="9" xfId="1" applyNumberFormat="1" applyFont="1" applyBorder="1"/>
    <xf numFmtId="166" fontId="0" fillId="26" borderId="12" xfId="1" applyNumberFormat="1" applyFont="1" applyFill="1" applyBorder="1"/>
    <xf numFmtId="166" fontId="14" fillId="0" borderId="5" xfId="1" applyNumberFormat="1" applyFont="1" applyFill="1" applyBorder="1" applyAlignment="1">
      <alignment horizontal="right"/>
    </xf>
    <xf numFmtId="166" fontId="0" fillId="0" borderId="15" xfId="1" applyNumberFormat="1" applyFont="1" applyFill="1" applyBorder="1"/>
    <xf numFmtId="166" fontId="0" fillId="0" borderId="14" xfId="1" applyNumberFormat="1" applyFont="1" applyFill="1" applyBorder="1"/>
    <xf numFmtId="0" fontId="16" fillId="0" borderId="0" xfId="0" applyFont="1"/>
    <xf numFmtId="9" fontId="0" fillId="36" borderId="0" xfId="2" applyFont="1" applyFill="1" applyBorder="1"/>
    <xf numFmtId="9" fontId="0" fillId="11" borderId="0" xfId="2" applyFont="1" applyFill="1" applyBorder="1"/>
    <xf numFmtId="9" fontId="0" fillId="11" borderId="0" xfId="0" applyNumberFormat="1" applyFill="1"/>
    <xf numFmtId="166" fontId="0" fillId="12" borderId="1" xfId="0" applyNumberFormat="1" applyFill="1" applyBorder="1"/>
    <xf numFmtId="166" fontId="0" fillId="11" borderId="1" xfId="0" applyNumberFormat="1" applyFill="1" applyBorder="1"/>
    <xf numFmtId="9" fontId="0" fillId="11" borderId="0" xfId="2" applyFont="1" applyFill="1"/>
    <xf numFmtId="166" fontId="0" fillId="0" borderId="0" xfId="0" applyNumberFormat="1" applyAlignment="1">
      <alignment horizontal="right"/>
    </xf>
    <xf numFmtId="166" fontId="0" fillId="12" borderId="0" xfId="0" applyNumberFormat="1" applyFill="1"/>
    <xf numFmtId="0" fontId="37" fillId="0" borderId="0" xfId="0" applyFont="1" applyFill="1"/>
    <xf numFmtId="166" fontId="0" fillId="0" borderId="0" xfId="2" applyNumberFormat="1" applyFont="1" applyFill="1" applyBorder="1"/>
    <xf numFmtId="0" fontId="98" fillId="0" borderId="0" xfId="0" applyFont="1" applyFill="1"/>
    <xf numFmtId="0" fontId="4" fillId="27" borderId="4" xfId="0" applyFont="1" applyFill="1" applyBorder="1"/>
    <xf numFmtId="0" fontId="4" fillId="27" borderId="0" xfId="0" applyFont="1" applyFill="1"/>
    <xf numFmtId="0" fontId="0" fillId="27" borderId="0" xfId="0" applyFill="1" applyAlignment="1">
      <alignment horizontal="right"/>
    </xf>
    <xf numFmtId="0" fontId="81" fillId="27" borderId="0" xfId="0" applyFont="1" applyFill="1"/>
    <xf numFmtId="0" fontId="5" fillId="27" borderId="0" xfId="0" applyFont="1" applyFill="1"/>
    <xf numFmtId="166" fontId="0" fillId="27" borderId="0" xfId="0" applyNumberFormat="1" applyFill="1"/>
    <xf numFmtId="0" fontId="2" fillId="0" borderId="0" xfId="0" applyFont="1" applyFill="1" applyBorder="1" applyAlignment="1">
      <alignment horizontal="left"/>
    </xf>
    <xf numFmtId="0" fontId="39" fillId="0" borderId="0" xfId="0" applyFont="1" applyBorder="1"/>
    <xf numFmtId="2" fontId="2" fillId="0" borderId="0" xfId="0" applyNumberFormat="1" applyFont="1"/>
    <xf numFmtId="0" fontId="102" fillId="4" borderId="0" xfId="0" applyFont="1" applyFill="1" applyBorder="1"/>
    <xf numFmtId="166" fontId="24" fillId="0" borderId="0" xfId="1" applyNumberFormat="1" applyFont="1" applyFill="1" applyBorder="1"/>
    <xf numFmtId="166" fontId="8" fillId="0" borderId="0" xfId="1" applyNumberFormat="1" applyFont="1" applyBorder="1"/>
    <xf numFmtId="0" fontId="8" fillId="0" borderId="0" xfId="0" applyFont="1" applyFill="1" applyBorder="1"/>
    <xf numFmtId="166" fontId="85" fillId="0" borderId="0" xfId="1" applyNumberFormat="1" applyFont="1" applyFill="1" applyBorder="1"/>
    <xf numFmtId="166" fontId="85" fillId="0" borderId="0" xfId="0" applyNumberFormat="1" applyFont="1"/>
    <xf numFmtId="166" fontId="2" fillId="0" borderId="1" xfId="0" applyNumberFormat="1" applyFont="1" applyBorder="1"/>
    <xf numFmtId="166" fontId="85" fillId="5" borderId="0" xfId="0" applyNumberFormat="1" applyFont="1" applyFill="1"/>
    <xf numFmtId="166" fontId="2" fillId="2" borderId="0" xfId="0" applyNumberFormat="1" applyFont="1" applyFill="1" applyBorder="1"/>
    <xf numFmtId="0" fontId="85" fillId="0" borderId="0" xfId="0" applyFont="1" applyFill="1"/>
    <xf numFmtId="166" fontId="2" fillId="0" borderId="1" xfId="1" applyNumberFormat="1" applyFont="1" applyFill="1" applyBorder="1" applyAlignment="1"/>
    <xf numFmtId="166" fontId="2" fillId="0" borderId="1" xfId="1" applyNumberFormat="1" applyFont="1" applyFill="1" applyBorder="1" applyAlignment="1">
      <alignment horizontal="right"/>
    </xf>
    <xf numFmtId="166" fontId="85" fillId="0" borderId="0" xfId="1" applyNumberFormat="1" applyFont="1" applyFill="1" applyBorder="1" applyAlignment="1">
      <alignment horizontal="right"/>
    </xf>
    <xf numFmtId="166" fontId="85" fillId="0" borderId="0" xfId="0" applyNumberFormat="1" applyFont="1" applyFill="1"/>
    <xf numFmtId="166" fontId="2" fillId="0" borderId="1" xfId="1" applyNumberFormat="1" applyFont="1" applyFill="1" applyBorder="1"/>
    <xf numFmtId="166" fontId="2" fillId="2" borderId="0" xfId="1" applyNumberFormat="1" applyFont="1" applyFill="1" applyBorder="1"/>
    <xf numFmtId="0" fontId="41" fillId="0" borderId="1" xfId="0" applyFont="1" applyFill="1" applyBorder="1" applyAlignment="1">
      <alignment horizontal="right"/>
    </xf>
    <xf numFmtId="0" fontId="41" fillId="0" borderId="0" xfId="0" applyFont="1" applyFill="1" applyAlignment="1">
      <alignment horizontal="right"/>
    </xf>
    <xf numFmtId="0" fontId="41" fillId="0" borderId="7" xfId="0" applyFont="1" applyFill="1" applyBorder="1" applyAlignment="1"/>
    <xf numFmtId="166" fontId="41" fillId="0" borderId="1" xfId="1" applyNumberFormat="1" applyFont="1" applyFill="1" applyBorder="1" applyAlignment="1">
      <alignment horizontal="right"/>
    </xf>
    <xf numFmtId="166" fontId="2" fillId="0" borderId="7" xfId="1" applyNumberFormat="1" applyFont="1" applyFill="1" applyBorder="1"/>
    <xf numFmtId="166" fontId="30" fillId="0" borderId="0" xfId="1" applyNumberFormat="1" applyFont="1" applyFill="1" applyBorder="1"/>
    <xf numFmtId="166" fontId="2" fillId="0" borderId="0" xfId="2" applyNumberFormat="1" applyFont="1" applyFill="1" applyBorder="1"/>
    <xf numFmtId="166" fontId="105" fillId="0" borderId="0" xfId="1" applyNumberFormat="1" applyFont="1" applyFill="1" applyBorder="1"/>
    <xf numFmtId="166" fontId="2" fillId="0" borderId="1" xfId="2" applyNumberFormat="1" applyFont="1" applyFill="1" applyBorder="1"/>
    <xf numFmtId="0" fontId="2" fillId="5" borderId="0" xfId="0" applyFont="1" applyFill="1"/>
    <xf numFmtId="0" fontId="88" fillId="37" borderId="7" xfId="0" applyFont="1" applyFill="1" applyBorder="1" applyAlignment="1">
      <alignment vertical="center"/>
    </xf>
    <xf numFmtId="0" fontId="24" fillId="0" borderId="0" xfId="0" applyFont="1" applyFill="1" applyBorder="1"/>
    <xf numFmtId="0" fontId="107" fillId="4" borderId="0" xfId="0" applyFont="1" applyFill="1" applyBorder="1"/>
    <xf numFmtId="0" fontId="41" fillId="0" borderId="0" xfId="0" applyFont="1" applyAlignment="1">
      <alignment horizontal="center"/>
    </xf>
    <xf numFmtId="166" fontId="41" fillId="0" borderId="0" xfId="1" applyNumberFormat="1" applyFont="1" applyFill="1" applyBorder="1" applyAlignment="1">
      <alignment horizontal="right"/>
    </xf>
    <xf numFmtId="0" fontId="108" fillId="0" borderId="0" xfId="0" applyFont="1" applyFill="1" applyBorder="1"/>
    <xf numFmtId="0" fontId="85" fillId="0" borderId="0" xfId="0" applyFont="1" applyFill="1" applyBorder="1"/>
    <xf numFmtId="18" fontId="2" fillId="0" borderId="0" xfId="0" applyNumberFormat="1" applyFont="1"/>
    <xf numFmtId="0" fontId="30" fillId="2" borderId="0" xfId="0" applyFont="1" applyFill="1"/>
    <xf numFmtId="0" fontId="110" fillId="0" borderId="7" xfId="0" applyFont="1" applyFill="1" applyBorder="1" applyAlignment="1"/>
    <xf numFmtId="0" fontId="8" fillId="0" borderId="7" xfId="0" applyFont="1" applyFill="1" applyBorder="1" applyAlignment="1">
      <alignment horizontal="right"/>
    </xf>
    <xf numFmtId="18" fontId="8" fillId="0" borderId="0" xfId="0" applyNumberFormat="1" applyFont="1"/>
    <xf numFmtId="0" fontId="8" fillId="0" borderId="7" xfId="0" applyFont="1" applyBorder="1" applyAlignment="1">
      <alignment horizontal="right"/>
    </xf>
    <xf numFmtId="0" fontId="70" fillId="4" borderId="0" xfId="0" applyFont="1" applyFill="1" applyBorder="1"/>
    <xf numFmtId="0" fontId="30" fillId="0" borderId="1" xfId="0" applyFont="1" applyBorder="1"/>
    <xf numFmtId="0" fontId="106" fillId="0" borderId="0" xfId="0" applyFont="1"/>
    <xf numFmtId="0" fontId="30" fillId="0" borderId="0" xfId="0" applyFont="1" applyBorder="1"/>
    <xf numFmtId="0" fontId="30" fillId="0" borderId="1" xfId="0" applyFont="1" applyFill="1" applyBorder="1"/>
    <xf numFmtId="0" fontId="30" fillId="0" borderId="0" xfId="0" applyFont="1" applyFill="1" applyBorder="1"/>
    <xf numFmtId="166" fontId="30" fillId="0" borderId="1" xfId="1" applyNumberFormat="1" applyFont="1" applyFill="1" applyBorder="1" applyAlignment="1"/>
    <xf numFmtId="166" fontId="30" fillId="0" borderId="1" xfId="1" applyNumberFormat="1" applyFont="1" applyFill="1" applyBorder="1"/>
    <xf numFmtId="166" fontId="2" fillId="0" borderId="2" xfId="1" applyNumberFormat="1" applyFont="1" applyFill="1" applyBorder="1"/>
    <xf numFmtId="166" fontId="30" fillId="2" borderId="0" xfId="1" applyNumberFormat="1" applyFont="1" applyFill="1" applyBorder="1"/>
    <xf numFmtId="0" fontId="112" fillId="0" borderId="0" xfId="0" applyFont="1" applyFill="1"/>
    <xf numFmtId="166" fontId="2" fillId="38" borderId="0" xfId="1" applyNumberFormat="1" applyFont="1" applyFill="1" applyBorder="1"/>
    <xf numFmtId="0" fontId="30" fillId="0" borderId="0" xfId="0" applyFont="1"/>
    <xf numFmtId="0" fontId="30" fillId="38" borderId="0" xfId="0" applyFont="1" applyFill="1"/>
    <xf numFmtId="0" fontId="2" fillId="38" borderId="0" xfId="0" applyFont="1" applyFill="1"/>
    <xf numFmtId="166" fontId="2" fillId="0" borderId="0" xfId="1" applyNumberFormat="1" applyFont="1" applyBorder="1"/>
    <xf numFmtId="166" fontId="2" fillId="0" borderId="1" xfId="1" applyNumberFormat="1" applyFont="1" applyBorder="1"/>
    <xf numFmtId="0" fontId="112" fillId="0" borderId="0" xfId="0" applyFont="1" applyFill="1" applyBorder="1"/>
    <xf numFmtId="166" fontId="112" fillId="0" borderId="0" xfId="1" applyNumberFormat="1" applyFont="1" applyFill="1" applyBorder="1"/>
    <xf numFmtId="0" fontId="111" fillId="4" borderId="0" xfId="0" applyFont="1" applyFill="1" applyBorder="1" applyAlignment="1"/>
    <xf numFmtId="166" fontId="30" fillId="0" borderId="0" xfId="0" applyNumberFormat="1" applyFont="1" applyFill="1"/>
    <xf numFmtId="0" fontId="111" fillId="0" borderId="1" xfId="0" applyFont="1" applyFill="1" applyBorder="1"/>
    <xf numFmtId="0" fontId="111" fillId="0" borderId="0" xfId="0" applyFont="1" applyFill="1" applyBorder="1"/>
    <xf numFmtId="0" fontId="2" fillId="4" borderId="0" xfId="0" applyFont="1" applyFill="1"/>
    <xf numFmtId="0" fontId="111" fillId="4" borderId="1" xfId="0" applyFont="1" applyFill="1" applyBorder="1"/>
    <xf numFmtId="0" fontId="112" fillId="4" borderId="1" xfId="0" applyFont="1" applyFill="1" applyBorder="1"/>
    <xf numFmtId="166" fontId="2" fillId="5" borderId="0" xfId="1" applyNumberFormat="1" applyFont="1" applyFill="1" applyBorder="1"/>
    <xf numFmtId="166" fontId="2" fillId="5" borderId="1" xfId="1" applyNumberFormat="1" applyFont="1" applyFill="1" applyBorder="1"/>
    <xf numFmtId="166" fontId="2" fillId="0" borderId="2" xfId="1" applyNumberFormat="1" applyFont="1" applyBorder="1"/>
    <xf numFmtId="0" fontId="2" fillId="0" borderId="1" xfId="0" applyFont="1" applyBorder="1" applyAlignment="1">
      <alignment horizontal="right"/>
    </xf>
    <xf numFmtId="166" fontId="2" fillId="0" borderId="0" xfId="0" applyNumberFormat="1" applyFont="1" applyAlignment="1">
      <alignment horizontal="right"/>
    </xf>
    <xf numFmtId="0" fontId="2" fillId="0" borderId="18" xfId="0" applyFont="1" applyBorder="1"/>
    <xf numFmtId="166" fontId="2" fillId="0" borderId="18" xfId="1" applyNumberFormat="1" applyFont="1" applyBorder="1"/>
    <xf numFmtId="0" fontId="2" fillId="0" borderId="0" xfId="0" applyFont="1" applyAlignment="1">
      <alignment horizontal="left" indent="1"/>
    </xf>
    <xf numFmtId="0" fontId="2" fillId="0" borderId="0" xfId="0" applyFont="1" applyAlignment="1"/>
    <xf numFmtId="0" fontId="41" fillId="0" borderId="0" xfId="0" applyFont="1" applyBorder="1" applyAlignment="1">
      <alignment horizontal="right"/>
    </xf>
    <xf numFmtId="0" fontId="108" fillId="4" borderId="0" xfId="0" applyFont="1" applyFill="1" applyBorder="1"/>
    <xf numFmtId="166" fontId="41" fillId="38" borderId="0" xfId="1" applyNumberFormat="1" applyFont="1" applyFill="1" applyBorder="1" applyAlignment="1">
      <alignment horizontal="right"/>
    </xf>
    <xf numFmtId="166" fontId="41" fillId="8" borderId="0" xfId="1" applyNumberFormat="1" applyFont="1" applyFill="1" applyBorder="1" applyAlignment="1">
      <alignment horizontal="right"/>
    </xf>
    <xf numFmtId="166" fontId="2" fillId="0" borderId="2" xfId="0" applyNumberFormat="1" applyFont="1" applyBorder="1"/>
    <xf numFmtId="0" fontId="70" fillId="4" borderId="1" xfId="0" applyFont="1" applyFill="1" applyBorder="1"/>
    <xf numFmtId="0" fontId="8" fillId="4" borderId="0" xfId="0" applyFont="1" applyFill="1"/>
    <xf numFmtId="169" fontId="87" fillId="11" borderId="5" xfId="0" applyNumberFormat="1" applyFont="1" applyFill="1" applyBorder="1" applyAlignment="1">
      <alignment horizontal="center" vertical="center"/>
    </xf>
    <xf numFmtId="22" fontId="46" fillId="0" borderId="0" xfId="0" applyNumberFormat="1" applyFont="1" applyBorder="1" applyAlignment="1">
      <alignment horizontal="left"/>
    </xf>
    <xf numFmtId="0" fontId="102" fillId="4" borderId="1" xfId="0" applyFont="1" applyFill="1" applyBorder="1"/>
    <xf numFmtId="0" fontId="113" fillId="4" borderId="1" xfId="0" applyFont="1" applyFill="1" applyBorder="1"/>
    <xf numFmtId="0" fontId="113" fillId="4" borderId="0" xfId="0" applyFont="1" applyFill="1" applyBorder="1"/>
    <xf numFmtId="0" fontId="114" fillId="0" borderId="0" xfId="0" applyFont="1" applyFill="1"/>
    <xf numFmtId="0" fontId="98" fillId="0" borderId="7" xfId="0" applyFont="1" applyFill="1" applyBorder="1" applyAlignment="1">
      <alignment horizontal="right"/>
    </xf>
    <xf numFmtId="18" fontId="98" fillId="0" borderId="0" xfId="0" applyNumberFormat="1" applyFont="1"/>
    <xf numFmtId="0" fontId="98" fillId="0" borderId="0" xfId="0" applyFont="1"/>
    <xf numFmtId="0" fontId="98" fillId="0" borderId="7" xfId="0" applyFont="1" applyBorder="1" applyAlignment="1">
      <alignment horizontal="right"/>
    </xf>
    <xf numFmtId="0" fontId="116" fillId="35" borderId="0" xfId="0" applyFont="1" applyFill="1"/>
    <xf numFmtId="0" fontId="117" fillId="0" borderId="0" xfId="0" applyFont="1" applyFill="1" applyBorder="1"/>
    <xf numFmtId="167" fontId="2" fillId="0" borderId="0" xfId="1" applyNumberFormat="1" applyFont="1" applyFill="1"/>
    <xf numFmtId="167" fontId="2" fillId="0" borderId="0" xfId="1" applyNumberFormat="1" applyFont="1" applyFill="1" applyBorder="1"/>
    <xf numFmtId="0" fontId="118" fillId="4" borderId="0" xfId="0" applyFont="1" applyFill="1"/>
    <xf numFmtId="0" fontId="119" fillId="4" borderId="0" xfId="0" applyFont="1" applyFill="1"/>
    <xf numFmtId="0" fontId="113" fillId="4" borderId="0" xfId="0" applyFont="1" applyFill="1"/>
    <xf numFmtId="167" fontId="2" fillId="0" borderId="1" xfId="1" applyNumberFormat="1" applyFont="1" applyFill="1" applyBorder="1"/>
    <xf numFmtId="166" fontId="30" fillId="2" borderId="1" xfId="1" applyNumberFormat="1" applyFont="1" applyFill="1" applyBorder="1"/>
    <xf numFmtId="0" fontId="41" fillId="0" borderId="0" xfId="0" applyFont="1" applyFill="1" applyAlignment="1">
      <alignment horizontal="center"/>
    </xf>
    <xf numFmtId="166" fontId="2" fillId="0" borderId="0" xfId="1" applyNumberFormat="1" applyFont="1" applyFill="1" applyBorder="1" applyAlignment="1"/>
    <xf numFmtId="0" fontId="98" fillId="0" borderId="0" xfId="0" applyFont="1" applyFill="1" applyBorder="1" applyAlignment="1">
      <alignment horizontal="right"/>
    </xf>
    <xf numFmtId="166" fontId="2" fillId="2" borderId="2" xfId="0" applyNumberFormat="1" applyFont="1" applyFill="1" applyBorder="1"/>
    <xf numFmtId="166" fontId="2" fillId="0" borderId="2" xfId="0" applyNumberFormat="1" applyFont="1" applyFill="1" applyBorder="1"/>
    <xf numFmtId="166" fontId="2" fillId="2" borderId="2" xfId="1" applyNumberFormat="1" applyFont="1" applyFill="1" applyBorder="1"/>
    <xf numFmtId="166" fontId="2" fillId="3" borderId="0" xfId="1" applyNumberFormat="1" applyFont="1" applyFill="1" applyBorder="1"/>
    <xf numFmtId="0" fontId="100" fillId="0" borderId="0" xfId="0" applyFont="1" applyFill="1" applyBorder="1" applyAlignment="1"/>
    <xf numFmtId="0" fontId="98" fillId="0" borderId="0" xfId="0" applyFont="1" applyBorder="1" applyAlignment="1">
      <alignment horizontal="right"/>
    </xf>
    <xf numFmtId="166" fontId="30" fillId="0" borderId="2" xfId="1" applyNumberFormat="1" applyFont="1" applyFill="1" applyBorder="1"/>
    <xf numFmtId="166" fontId="2" fillId="0" borderId="2" xfId="1" applyNumberFormat="1" applyFont="1" applyFill="1" applyBorder="1" applyAlignment="1"/>
    <xf numFmtId="0" fontId="100" fillId="0" borderId="7" xfId="0" applyFont="1" applyFill="1" applyBorder="1" applyAlignment="1"/>
    <xf numFmtId="166" fontId="85" fillId="0" borderId="1" xfId="1" applyNumberFormat="1" applyFont="1" applyFill="1" applyBorder="1" applyAlignment="1">
      <alignment horizontal="right"/>
    </xf>
    <xf numFmtId="166" fontId="85" fillId="0" borderId="1" xfId="1" applyNumberFormat="1" applyFont="1" applyFill="1" applyBorder="1"/>
    <xf numFmtId="0" fontId="41" fillId="0" borderId="0" xfId="0" applyFont="1" applyFill="1"/>
    <xf numFmtId="0" fontId="30" fillId="0" borderId="0" xfId="0" applyFont="1" applyFill="1" applyAlignment="1">
      <alignment horizontal="left"/>
    </xf>
    <xf numFmtId="166" fontId="84" fillId="0" borderId="0" xfId="1" applyNumberFormat="1" applyFont="1" applyFill="1" applyBorder="1" applyAlignment="1">
      <alignment horizontal="right"/>
    </xf>
    <xf numFmtId="166" fontId="85" fillId="0" borderId="1" xfId="0" applyNumberFormat="1" applyFont="1" applyFill="1" applyBorder="1"/>
    <xf numFmtId="166" fontId="85" fillId="0" borderId="0" xfId="0" applyNumberFormat="1" applyFont="1" applyFill="1" applyBorder="1"/>
    <xf numFmtId="166" fontId="2" fillId="0" borderId="0" xfId="1" applyNumberFormat="1" applyFont="1" applyFill="1" applyBorder="1" applyAlignment="1">
      <alignment horizontal="center"/>
    </xf>
    <xf numFmtId="166" fontId="2" fillId="2" borderId="0" xfId="2" applyNumberFormat="1" applyFont="1" applyFill="1" applyBorder="1"/>
    <xf numFmtId="166" fontId="30" fillId="2" borderId="16" xfId="1" applyNumberFormat="1" applyFont="1" applyFill="1" applyBorder="1"/>
    <xf numFmtId="166" fontId="30" fillId="2" borderId="14" xfId="1" applyNumberFormat="1" applyFont="1" applyFill="1" applyBorder="1"/>
    <xf numFmtId="0" fontId="111" fillId="0" borderId="0" xfId="0" applyFont="1" applyFill="1"/>
    <xf numFmtId="166" fontId="30" fillId="0" borderId="0" xfId="2" applyNumberFormat="1" applyFont="1" applyFill="1" applyBorder="1"/>
    <xf numFmtId="166" fontId="84" fillId="0" borderId="0" xfId="0" applyNumberFormat="1" applyFont="1" applyFill="1" applyBorder="1"/>
    <xf numFmtId="166" fontId="30" fillId="2" borderId="0" xfId="2" applyNumberFormat="1" applyFont="1" applyFill="1" applyBorder="1"/>
    <xf numFmtId="14" fontId="2" fillId="0" borderId="1" xfId="2" applyNumberFormat="1" applyFont="1" applyFill="1" applyBorder="1"/>
    <xf numFmtId="0" fontId="109" fillId="0" borderId="0" xfId="0" applyFont="1" applyFill="1" applyBorder="1"/>
    <xf numFmtId="166" fontId="2" fillId="2" borderId="1" xfId="1" applyNumberFormat="1" applyFont="1" applyFill="1" applyBorder="1"/>
    <xf numFmtId="166" fontId="40" fillId="8" borderId="0" xfId="1" applyNumberFormat="1" applyFont="1" applyFill="1" applyBorder="1"/>
    <xf numFmtId="0" fontId="24" fillId="8" borderId="0" xfId="0" applyFont="1" applyFill="1" applyBorder="1"/>
    <xf numFmtId="0" fontId="23" fillId="0" borderId="0" xfId="0" applyFont="1" applyAlignment="1">
      <alignment horizontal="center"/>
    </xf>
    <xf numFmtId="166" fontId="24" fillId="0" borderId="0" xfId="1" applyNumberFormat="1" applyFont="1" applyBorder="1"/>
    <xf numFmtId="0" fontId="102" fillId="4" borderId="0" xfId="0" applyFont="1" applyFill="1" applyBorder="1" applyAlignment="1">
      <alignment horizontal="right"/>
    </xf>
    <xf numFmtId="15" fontId="111" fillId="4" borderId="0" xfId="0" applyNumberFormat="1" applyFont="1" applyFill="1" applyBorder="1" applyAlignment="1"/>
    <xf numFmtId="15" fontId="30" fillId="8" borderId="1" xfId="0" applyNumberFormat="1" applyFont="1" applyFill="1" applyBorder="1" applyAlignment="1">
      <alignment horizontal="right"/>
    </xf>
    <xf numFmtId="166" fontId="30" fillId="0" borderId="1" xfId="1" applyNumberFormat="1" applyFont="1" applyFill="1" applyBorder="1" applyAlignment="1">
      <alignment horizontal="right"/>
    </xf>
    <xf numFmtId="0" fontId="41" fillId="0" borderId="0" xfId="0" applyFont="1" applyFill="1" applyBorder="1" applyAlignment="1">
      <alignment horizontal="left"/>
    </xf>
    <xf numFmtId="0" fontId="41" fillId="0" borderId="0" xfId="0" applyFont="1" applyFill="1" applyBorder="1"/>
    <xf numFmtId="0" fontId="24" fillId="0" borderId="1" xfId="0" applyFont="1" applyFill="1" applyBorder="1"/>
    <xf numFmtId="0" fontId="108" fillId="4" borderId="0" xfId="0" applyFont="1" applyFill="1" applyBorder="1" applyAlignment="1"/>
    <xf numFmtId="0" fontId="2" fillId="3" borderId="0" xfId="0" applyFont="1" applyFill="1"/>
    <xf numFmtId="166" fontId="2" fillId="3" borderId="1" xfId="1" applyNumberFormat="1" applyFont="1" applyFill="1" applyBorder="1"/>
    <xf numFmtId="166" fontId="2" fillId="3" borderId="0" xfId="0" applyNumberFormat="1" applyFont="1" applyFill="1"/>
    <xf numFmtId="166" fontId="30" fillId="3" borderId="0" xfId="1" applyNumberFormat="1" applyFont="1" applyFill="1" applyBorder="1"/>
    <xf numFmtId="0" fontId="2" fillId="0" borderId="0" xfId="0" applyFont="1" applyFill="1" applyAlignment="1">
      <alignment horizontal="left" indent="1"/>
    </xf>
    <xf numFmtId="0" fontId="2" fillId="0" borderId="0" xfId="0" applyFont="1" applyFill="1" applyAlignment="1"/>
    <xf numFmtId="0" fontId="30" fillId="0" borderId="0" xfId="0" applyFont="1" applyFill="1" applyBorder="1" applyAlignment="1">
      <alignment horizontal="center"/>
    </xf>
    <xf numFmtId="0" fontId="108" fillId="37" borderId="0" xfId="0" applyFont="1" applyFill="1" applyBorder="1"/>
    <xf numFmtId="165" fontId="2" fillId="0" borderId="0" xfId="2" applyNumberFormat="1" applyFont="1" applyFill="1" applyBorder="1"/>
    <xf numFmtId="165" fontId="2" fillId="2" borderId="0" xfId="2" applyNumberFormat="1" applyFont="1" applyFill="1" applyBorder="1"/>
    <xf numFmtId="0" fontId="108" fillId="4" borderId="9" xfId="0" applyFont="1" applyFill="1" applyBorder="1"/>
    <xf numFmtId="0" fontId="108" fillId="4" borderId="1" xfId="0" applyFont="1" applyFill="1" applyBorder="1"/>
    <xf numFmtId="10" fontId="2" fillId="0" borderId="0" xfId="0" applyNumberFormat="1" applyFont="1"/>
    <xf numFmtId="10" fontId="2" fillId="0" borderId="0" xfId="0" applyNumberFormat="1" applyFont="1" applyFill="1" applyBorder="1"/>
    <xf numFmtId="9" fontId="85" fillId="0" borderId="0" xfId="0" applyNumberFormat="1" applyFont="1" applyFill="1" applyBorder="1"/>
    <xf numFmtId="0" fontId="108" fillId="4" borderId="12" xfId="0" applyFont="1" applyFill="1" applyBorder="1" applyAlignment="1">
      <alignment horizontal="right"/>
    </xf>
    <xf numFmtId="169" fontId="2" fillId="0" borderId="0" xfId="0" applyNumberFormat="1" applyFont="1"/>
    <xf numFmtId="0" fontId="84" fillId="0" borderId="0" xfId="0" applyFont="1" applyBorder="1" applyAlignment="1">
      <alignment horizontal="right"/>
    </xf>
    <xf numFmtId="166" fontId="41" fillId="0" borderId="0" xfId="0" applyNumberFormat="1" applyFont="1" applyFill="1" applyAlignment="1">
      <alignment horizontal="right"/>
    </xf>
    <xf numFmtId="166" fontId="2" fillId="25" borderId="0" xfId="0" applyNumberFormat="1" applyFont="1" applyFill="1" applyBorder="1"/>
    <xf numFmtId="0" fontId="102" fillId="4" borderId="9" xfId="0" applyFont="1" applyFill="1" applyBorder="1"/>
    <xf numFmtId="169" fontId="2" fillId="0" borderId="1" xfId="0" applyNumberFormat="1" applyFont="1" applyBorder="1"/>
    <xf numFmtId="0" fontId="121" fillId="0" borderId="0" xfId="0" applyFont="1" applyFill="1" applyBorder="1"/>
    <xf numFmtId="165" fontId="2" fillId="0" borderId="0" xfId="0" applyNumberFormat="1" applyFont="1"/>
    <xf numFmtId="0" fontId="87" fillId="24" borderId="17" xfId="0" applyFont="1" applyFill="1" applyBorder="1" applyAlignment="1">
      <alignment horizontal="center" vertical="center"/>
    </xf>
    <xf numFmtId="0" fontId="98" fillId="0" borderId="1" xfId="0" applyFont="1" applyBorder="1"/>
    <xf numFmtId="166" fontId="30" fillId="5" borderId="0" xfId="1" applyNumberFormat="1" applyFont="1" applyFill="1" applyBorder="1"/>
    <xf numFmtId="0" fontId="115" fillId="0" borderId="7" xfId="0" applyFont="1" applyFill="1" applyBorder="1" applyAlignment="1"/>
    <xf numFmtId="0" fontId="98" fillId="0" borderId="7" xfId="0" applyFont="1" applyBorder="1"/>
    <xf numFmtId="0" fontId="122" fillId="0" borderId="0" xfId="0" applyFont="1" applyFill="1" applyBorder="1" applyAlignment="1"/>
    <xf numFmtId="166" fontId="77" fillId="0" borderId="0" xfId="2" applyNumberFormat="1" applyFont="1" applyFill="1" applyBorder="1" applyAlignment="1">
      <alignment horizontal="center"/>
    </xf>
    <xf numFmtId="168" fontId="77" fillId="0" borderId="0" xfId="2" applyNumberFormat="1" applyFont="1" applyFill="1" applyBorder="1" applyAlignment="1">
      <alignment horizontal="center"/>
    </xf>
    <xf numFmtId="1" fontId="2" fillId="0" borderId="0" xfId="0" applyNumberFormat="1" applyFont="1" applyFill="1" applyBorder="1"/>
    <xf numFmtId="43" fontId="30" fillId="0" borderId="0" xfId="1" applyFont="1" applyFill="1" applyAlignment="1"/>
    <xf numFmtId="168" fontId="2" fillId="0" borderId="0" xfId="0" applyNumberFormat="1" applyFont="1" applyFill="1"/>
    <xf numFmtId="167" fontId="2" fillId="0" borderId="0" xfId="0" applyNumberFormat="1" applyFont="1" applyFill="1"/>
    <xf numFmtId="169" fontId="2" fillId="0" borderId="0" xfId="0" applyNumberFormat="1" applyFont="1" applyFill="1"/>
    <xf numFmtId="1" fontId="2" fillId="0" borderId="0" xfId="0" applyNumberFormat="1" applyFont="1" applyFill="1"/>
    <xf numFmtId="0" fontId="2" fillId="0" borderId="1" xfId="0" applyFont="1" applyFill="1" applyBorder="1" applyAlignment="1">
      <alignment horizontal="left" indent="1"/>
    </xf>
    <xf numFmtId="169" fontId="2" fillId="0" borderId="1" xfId="0" applyNumberFormat="1" applyFont="1" applyFill="1" applyBorder="1"/>
    <xf numFmtId="0" fontId="2" fillId="0" borderId="0" xfId="0" applyFont="1" applyFill="1" applyBorder="1" applyAlignment="1"/>
    <xf numFmtId="165" fontId="2" fillId="5" borderId="0" xfId="0" applyNumberFormat="1" applyFont="1" applyFill="1"/>
    <xf numFmtId="165" fontId="2" fillId="0" borderId="0" xfId="0" applyNumberFormat="1" applyFont="1" applyFill="1" applyBorder="1"/>
    <xf numFmtId="10" fontId="2" fillId="5" borderId="0" xfId="2" applyNumberFormat="1" applyFont="1" applyFill="1"/>
    <xf numFmtId="10" fontId="2" fillId="0" borderId="0" xfId="2" applyNumberFormat="1" applyFont="1" applyFill="1" applyBorder="1"/>
    <xf numFmtId="165" fontId="2" fillId="0" borderId="0" xfId="2" applyNumberFormat="1" applyFont="1" applyBorder="1"/>
    <xf numFmtId="0" fontId="85" fillId="0" borderId="0" xfId="0" applyFont="1" applyFill="1" applyBorder="1" applyAlignment="1">
      <alignment vertical="center"/>
    </xf>
    <xf numFmtId="164" fontId="2" fillId="0" borderId="0" xfId="0" applyNumberFormat="1" applyFont="1" applyFill="1"/>
    <xf numFmtId="164" fontId="2" fillId="0" borderId="1" xfId="0" applyNumberFormat="1" applyFont="1" applyFill="1" applyBorder="1"/>
    <xf numFmtId="165" fontId="2" fillId="0" borderId="1" xfId="2" applyNumberFormat="1" applyFont="1" applyFill="1" applyBorder="1"/>
    <xf numFmtId="165" fontId="2" fillId="0" borderId="0" xfId="0" applyNumberFormat="1" applyFont="1" applyFill="1"/>
    <xf numFmtId="43" fontId="2" fillId="0" borderId="0" xfId="0" applyNumberFormat="1" applyFont="1" applyFill="1"/>
    <xf numFmtId="43" fontId="2" fillId="0" borderId="1" xfId="0" applyNumberFormat="1" applyFont="1" applyFill="1" applyBorder="1"/>
    <xf numFmtId="9" fontId="2" fillId="0" borderId="0" xfId="2" applyNumberFormat="1" applyFont="1" applyFill="1"/>
    <xf numFmtId="181" fontId="2" fillId="0" borderId="0" xfId="0" applyNumberFormat="1" applyFont="1" applyFill="1" applyBorder="1"/>
    <xf numFmtId="181" fontId="2" fillId="0" borderId="0" xfId="0" applyNumberFormat="1" applyFont="1" applyFill="1"/>
    <xf numFmtId="167" fontId="2" fillId="0" borderId="1" xfId="0" applyNumberFormat="1" applyFont="1" applyFill="1" applyBorder="1"/>
    <xf numFmtId="167" fontId="2" fillId="0" borderId="0" xfId="0" applyNumberFormat="1" applyFont="1"/>
    <xf numFmtId="165" fontId="30" fillId="5" borderId="0" xfId="0" applyNumberFormat="1" applyFont="1" applyFill="1"/>
    <xf numFmtId="10" fontId="2" fillId="0" borderId="0" xfId="0" applyNumberFormat="1" applyFont="1" applyFill="1"/>
    <xf numFmtId="10" fontId="2" fillId="0" borderId="13" xfId="0" applyNumberFormat="1" applyFont="1" applyFill="1" applyBorder="1"/>
    <xf numFmtId="0" fontId="2" fillId="0" borderId="13" xfId="0" applyFont="1" applyBorder="1"/>
    <xf numFmtId="164" fontId="2" fillId="0" borderId="13" xfId="0" applyNumberFormat="1" applyFont="1" applyFill="1" applyBorder="1"/>
    <xf numFmtId="0" fontId="2" fillId="0" borderId="0" xfId="0" applyFont="1" applyBorder="1" applyAlignment="1">
      <alignment horizontal="left" indent="1"/>
    </xf>
    <xf numFmtId="166" fontId="2" fillId="0" borderId="13" xfId="0" applyNumberFormat="1" applyFont="1" applyFill="1" applyBorder="1"/>
    <xf numFmtId="0" fontId="30" fillId="0" borderId="0" xfId="0" applyFont="1" applyBorder="1" applyAlignment="1"/>
    <xf numFmtId="0" fontId="30" fillId="0" borderId="0" xfId="0" applyFont="1" applyBorder="1" applyAlignment="1">
      <alignment horizontal="left" indent="1"/>
    </xf>
    <xf numFmtId="9" fontId="30" fillId="0" borderId="13" xfId="2" applyFont="1" applyFill="1" applyBorder="1"/>
    <xf numFmtId="9" fontId="30" fillId="0" borderId="0" xfId="2" applyFont="1" applyFill="1" applyBorder="1"/>
    <xf numFmtId="0" fontId="2" fillId="0" borderId="13" xfId="0" applyFont="1" applyFill="1" applyBorder="1"/>
    <xf numFmtId="0" fontId="106" fillId="0" borderId="0" xfId="0" applyFont="1" applyBorder="1"/>
    <xf numFmtId="0" fontId="41" fillId="0" borderId="0" xfId="0" applyFont="1" applyBorder="1"/>
    <xf numFmtId="166" fontId="41" fillId="0" borderId="0" xfId="0" applyNumberFormat="1" applyFont="1" applyFill="1" applyBorder="1"/>
    <xf numFmtId="0" fontId="109" fillId="6" borderId="1" xfId="0" applyFont="1" applyFill="1" applyBorder="1"/>
    <xf numFmtId="0" fontId="109" fillId="6" borderId="0" xfId="0" applyFont="1" applyFill="1" applyBorder="1"/>
    <xf numFmtId="165" fontId="2" fillId="0" borderId="1" xfId="0" applyNumberFormat="1" applyFont="1" applyFill="1" applyBorder="1"/>
    <xf numFmtId="165" fontId="2" fillId="0" borderId="1" xfId="0" applyNumberFormat="1" applyFont="1" applyBorder="1"/>
    <xf numFmtId="0" fontId="30" fillId="0" borderId="0" xfId="0" applyFont="1" applyFill="1" applyAlignment="1"/>
    <xf numFmtId="165" fontId="30" fillId="0" borderId="0" xfId="2" applyNumberFormat="1" applyFont="1" applyFill="1" applyBorder="1"/>
    <xf numFmtId="165" fontId="30" fillId="0" borderId="0" xfId="0" applyNumberFormat="1" applyFont="1" applyFill="1" applyBorder="1"/>
    <xf numFmtId="165" fontId="2" fillId="5" borderId="1" xfId="2" applyNumberFormat="1" applyFont="1" applyFill="1" applyBorder="1"/>
    <xf numFmtId="165" fontId="30" fillId="0" borderId="1" xfId="0" applyNumberFormat="1" applyFont="1" applyFill="1" applyBorder="1"/>
    <xf numFmtId="0" fontId="30" fillId="0" borderId="0" xfId="0" applyFont="1" applyAlignment="1"/>
    <xf numFmtId="165" fontId="30" fillId="0" borderId="0" xfId="0" applyNumberFormat="1" applyFont="1"/>
    <xf numFmtId="165" fontId="30" fillId="5" borderId="0" xfId="0" applyNumberFormat="1" applyFont="1" applyFill="1" applyBorder="1"/>
    <xf numFmtId="0" fontId="102" fillId="4" borderId="9" xfId="0" applyFont="1" applyFill="1" applyBorder="1" applyAlignment="1">
      <alignment vertical="center"/>
    </xf>
    <xf numFmtId="0" fontId="2" fillId="0" borderId="0" xfId="0" applyFont="1" applyFill="1" applyBorder="1" applyAlignment="1">
      <alignment vertical="top"/>
    </xf>
    <xf numFmtId="9" fontId="2" fillId="0" borderId="0" xfId="2" applyNumberFormat="1" applyFont="1" applyFill="1" applyBorder="1"/>
    <xf numFmtId="0" fontId="124" fillId="0" borderId="0" xfId="0" applyFont="1" applyBorder="1"/>
    <xf numFmtId="8" fontId="2" fillId="0" borderId="0" xfId="0" applyNumberFormat="1" applyFont="1" applyFill="1" applyBorder="1"/>
    <xf numFmtId="0" fontId="125" fillId="0" borderId="0" xfId="0" applyFont="1" applyBorder="1" applyAlignment="1">
      <alignment horizontal="left" vertical="center" wrapText="1"/>
    </xf>
    <xf numFmtId="0" fontId="123" fillId="0" borderId="0" xfId="0" applyFont="1" applyBorder="1" applyAlignment="1">
      <alignment vertical="center" wrapText="1"/>
    </xf>
    <xf numFmtId="0" fontId="123" fillId="0" borderId="0" xfId="0" applyFont="1" applyBorder="1" applyAlignment="1">
      <alignment vertical="center"/>
    </xf>
    <xf numFmtId="0" fontId="89" fillId="37" borderId="8" xfId="0" applyFont="1" applyFill="1" applyBorder="1" applyAlignment="1">
      <alignment vertical="center"/>
    </xf>
    <xf numFmtId="0" fontId="89" fillId="37" borderId="0" xfId="0" applyFont="1" applyFill="1" applyBorder="1" applyAlignment="1">
      <alignment vertical="center"/>
    </xf>
    <xf numFmtId="0" fontId="89" fillId="0" borderId="20" xfId="0" applyFont="1" applyFill="1" applyBorder="1" applyAlignment="1">
      <alignment vertical="center"/>
    </xf>
    <xf numFmtId="0" fontId="108" fillId="37" borderId="1" xfId="0" applyFont="1" applyFill="1" applyBorder="1"/>
    <xf numFmtId="0" fontId="46" fillId="16" borderId="0" xfId="0" applyFont="1" applyFill="1"/>
    <xf numFmtId="15" fontId="46" fillId="0" borderId="0" xfId="0" applyNumberFormat="1" applyFont="1" applyAlignment="1">
      <alignment horizontal="left"/>
    </xf>
    <xf numFmtId="0" fontId="46" fillId="12" borderId="0" xfId="0" applyFont="1" applyFill="1"/>
    <xf numFmtId="0" fontId="127" fillId="15" borderId="0" xfId="0" applyFont="1" applyFill="1"/>
    <xf numFmtId="0" fontId="46" fillId="0" borderId="0" xfId="0" quotePrefix="1" applyFont="1" applyFill="1"/>
    <xf numFmtId="0" fontId="128" fillId="0" borderId="0" xfId="0" applyFont="1" applyFill="1"/>
    <xf numFmtId="14" fontId="46" fillId="0" borderId="0" xfId="0" applyNumberFormat="1" applyFont="1" applyFill="1"/>
    <xf numFmtId="0" fontId="129" fillId="0" borderId="1" xfId="0" applyFont="1" applyFill="1" applyBorder="1"/>
    <xf numFmtId="0" fontId="46" fillId="0" borderId="1" xfId="0" applyFont="1" applyBorder="1"/>
    <xf numFmtId="0" fontId="46" fillId="16" borderId="1" xfId="0" applyFont="1" applyFill="1" applyBorder="1"/>
    <xf numFmtId="0" fontId="130" fillId="16" borderId="0" xfId="0" applyFont="1" applyFill="1" applyBorder="1"/>
    <xf numFmtId="0" fontId="2" fillId="16" borderId="0" xfId="0" applyFont="1" applyFill="1"/>
    <xf numFmtId="0" fontId="131" fillId="0" borderId="0" xfId="0" applyFont="1" applyBorder="1"/>
    <xf numFmtId="0" fontId="130" fillId="0" borderId="0" xfId="0" applyFont="1"/>
    <xf numFmtId="0" fontId="62" fillId="0" borderId="1" xfId="0" applyNumberFormat="1" applyFont="1" applyBorder="1"/>
    <xf numFmtId="0" fontId="30" fillId="0" borderId="12" xfId="0" applyFont="1" applyFill="1" applyBorder="1"/>
    <xf numFmtId="0" fontId="2" fillId="0" borderId="9" xfId="0" applyFont="1" applyBorder="1"/>
    <xf numFmtId="166" fontId="2" fillId="5" borderId="1" xfId="1" applyNumberFormat="1" applyFont="1" applyFill="1" applyBorder="1" applyAlignment="1">
      <alignment horizontal="right"/>
    </xf>
    <xf numFmtId="0" fontId="30" fillId="16" borderId="0" xfId="0" applyFont="1" applyFill="1" applyBorder="1"/>
    <xf numFmtId="0" fontId="2" fillId="16" borderId="0" xfId="0" applyFont="1" applyFill="1" applyBorder="1"/>
    <xf numFmtId="0" fontId="106" fillId="5" borderId="1" xfId="0" applyFont="1" applyFill="1" applyBorder="1"/>
    <xf numFmtId="0" fontId="2" fillId="5" borderId="0" xfId="0" quotePrefix="1" applyFont="1" applyFill="1" applyAlignment="1">
      <alignment horizontal="right"/>
    </xf>
    <xf numFmtId="167" fontId="46" fillId="5" borderId="0" xfId="1" applyNumberFormat="1" applyFont="1" applyFill="1" applyBorder="1" applyAlignment="1">
      <alignment horizontal="right"/>
    </xf>
    <xf numFmtId="167" fontId="46" fillId="5" borderId="0" xfId="1" applyNumberFormat="1" applyFont="1" applyFill="1" applyBorder="1" applyAlignment="1"/>
    <xf numFmtId="0" fontId="46" fillId="5" borderId="0" xfId="0" applyFont="1" applyFill="1"/>
    <xf numFmtId="0" fontId="132" fillId="5" borderId="0" xfId="0" applyFont="1" applyFill="1"/>
    <xf numFmtId="0" fontId="46" fillId="5" borderId="0" xfId="0" applyFont="1" applyFill="1" applyBorder="1"/>
    <xf numFmtId="0" fontId="30" fillId="0" borderId="0" xfId="0" applyFont="1" applyBorder="1" applyAlignment="1">
      <alignment horizontal="left"/>
    </xf>
    <xf numFmtId="167" fontId="46" fillId="5" borderId="0" xfId="1" applyNumberFormat="1" applyFont="1" applyFill="1" applyBorder="1" applyAlignment="1">
      <alignment horizontal="left"/>
    </xf>
    <xf numFmtId="167" fontId="46" fillId="5" borderId="0" xfId="1" applyNumberFormat="1" applyFont="1" applyFill="1" applyBorder="1"/>
    <xf numFmtId="0" fontId="2" fillId="5" borderId="0" xfId="0" applyFont="1" applyFill="1" applyBorder="1"/>
    <xf numFmtId="0" fontId="2" fillId="0" borderId="0" xfId="0" quotePrefix="1" applyFont="1" applyFill="1" applyAlignment="1">
      <alignment horizontal="right"/>
    </xf>
    <xf numFmtId="167" fontId="46" fillId="0" borderId="0" xfId="1" applyNumberFormat="1" applyFont="1" applyFill="1" applyBorder="1" applyAlignment="1">
      <alignment horizontal="left"/>
    </xf>
    <xf numFmtId="0" fontId="46" fillId="0" borderId="0" xfId="0" applyFont="1" applyFill="1" applyBorder="1"/>
    <xf numFmtId="0" fontId="2" fillId="9" borderId="0" xfId="0" applyFont="1" applyFill="1"/>
    <xf numFmtId="0" fontId="2" fillId="9" borderId="1" xfId="0" applyFont="1" applyFill="1" applyBorder="1" applyAlignment="1">
      <alignment horizontal="center"/>
    </xf>
    <xf numFmtId="0" fontId="30" fillId="9" borderId="1" xfId="0" applyFont="1" applyFill="1" applyBorder="1" applyAlignment="1">
      <alignment horizontal="right"/>
    </xf>
    <xf numFmtId="9" fontId="30" fillId="9" borderId="1" xfId="0" applyNumberFormat="1" applyFont="1" applyFill="1" applyBorder="1" applyAlignment="1">
      <alignment horizontal="right"/>
    </xf>
    <xf numFmtId="9" fontId="2" fillId="9" borderId="0" xfId="0" applyNumberFormat="1" applyFont="1" applyFill="1" applyBorder="1"/>
    <xf numFmtId="0" fontId="46" fillId="18" borderId="0" xfId="0" applyFont="1" applyFill="1"/>
    <xf numFmtId="0" fontId="127" fillId="0" borderId="0" xfId="0" applyFont="1" applyFill="1"/>
    <xf numFmtId="0" fontId="2" fillId="24" borderId="0" xfId="0" applyFont="1" applyFill="1"/>
    <xf numFmtId="0" fontId="62" fillId="2" borderId="1" xfId="0" applyFont="1" applyFill="1" applyBorder="1"/>
    <xf numFmtId="0" fontId="62" fillId="0" borderId="0" xfId="0" applyFont="1" applyBorder="1" applyAlignment="1">
      <alignment horizontal="right"/>
    </xf>
    <xf numFmtId="4" fontId="2" fillId="0" borderId="0" xfId="0" applyNumberFormat="1" applyFont="1"/>
    <xf numFmtId="0" fontId="62" fillId="0" borderId="0" xfId="0" applyFont="1" applyBorder="1"/>
    <xf numFmtId="0" fontId="2" fillId="20" borderId="0" xfId="0" applyFont="1" applyFill="1"/>
    <xf numFmtId="0" fontId="2" fillId="21" borderId="0" xfId="0" applyFont="1" applyFill="1"/>
    <xf numFmtId="0" fontId="2" fillId="22" borderId="0" xfId="0" applyFont="1" applyFill="1"/>
    <xf numFmtId="0" fontId="62" fillId="0" borderId="1" xfId="0" applyFont="1" applyBorder="1"/>
    <xf numFmtId="0" fontId="2" fillId="23" borderId="0" xfId="0" applyFont="1" applyFill="1"/>
    <xf numFmtId="0" fontId="8" fillId="0" borderId="7" xfId="0" applyFont="1" applyBorder="1"/>
    <xf numFmtId="0" fontId="87" fillId="24" borderId="5" xfId="0" applyFont="1" applyFill="1" applyBorder="1" applyAlignment="1">
      <alignment vertical="center"/>
    </xf>
    <xf numFmtId="0" fontId="87" fillId="24" borderId="5" xfId="0" applyFont="1" applyFill="1" applyBorder="1" applyAlignment="1">
      <alignment horizontal="center" vertical="center"/>
    </xf>
    <xf numFmtId="0" fontId="30" fillId="3" borderId="0" xfId="0" applyFont="1" applyFill="1" applyBorder="1"/>
    <xf numFmtId="0" fontId="30" fillId="3" borderId="0" xfId="0" applyFont="1" applyFill="1"/>
    <xf numFmtId="166" fontId="2" fillId="3" borderId="2" xfId="1" applyNumberFormat="1" applyFont="1" applyFill="1" applyBorder="1"/>
    <xf numFmtId="166" fontId="2" fillId="0" borderId="19" xfId="1" applyNumberFormat="1" applyFont="1" applyFill="1" applyBorder="1"/>
    <xf numFmtId="166" fontId="2" fillId="0" borderId="7" xfId="1" applyNumberFormat="1" applyFont="1" applyBorder="1"/>
    <xf numFmtId="0" fontId="70" fillId="0" borderId="0" xfId="0" applyFont="1" applyFill="1" applyBorder="1" applyAlignment="1">
      <alignment horizontal="left"/>
    </xf>
    <xf numFmtId="0" fontId="70" fillId="0" borderId="0" xfId="0" applyFont="1" applyFill="1" applyBorder="1"/>
    <xf numFmtId="0" fontId="70" fillId="0" borderId="1" xfId="0" applyFont="1" applyFill="1" applyBorder="1"/>
    <xf numFmtId="169" fontId="87" fillId="3" borderId="5" xfId="0" applyNumberFormat="1" applyFont="1" applyFill="1" applyBorder="1" applyAlignment="1">
      <alignment horizontal="center" vertical="center"/>
    </xf>
    <xf numFmtId="0" fontId="87" fillId="3" borderId="0" xfId="0" applyFont="1" applyFill="1" applyBorder="1" applyAlignment="1">
      <alignment vertical="center"/>
    </xf>
    <xf numFmtId="0" fontId="41" fillId="3" borderId="0" xfId="0" applyFont="1" applyFill="1" applyAlignment="1">
      <alignment horizontal="left"/>
    </xf>
    <xf numFmtId="0" fontId="1" fillId="0" borderId="0" xfId="0" applyFont="1" applyFill="1" applyBorder="1"/>
    <xf numFmtId="0" fontId="91" fillId="0" borderId="0" xfId="0" applyFont="1" applyFill="1"/>
    <xf numFmtId="184" fontId="2" fillId="0" borderId="0" xfId="0" applyNumberFormat="1" applyFont="1"/>
    <xf numFmtId="0" fontId="87" fillId="10" borderId="7" xfId="0" applyFont="1" applyFill="1" applyBorder="1" applyAlignment="1">
      <alignment horizontal="center" vertical="center"/>
    </xf>
    <xf numFmtId="0" fontId="2" fillId="0" borderId="0" xfId="0" applyFont="1" applyFill="1" applyAlignment="1">
      <alignment horizontal="center"/>
    </xf>
    <xf numFmtId="0" fontId="30" fillId="0" borderId="0" xfId="0" applyFont="1" applyFill="1" applyBorder="1" applyAlignment="1"/>
    <xf numFmtId="0" fontId="30" fillId="0" borderId="5" xfId="0" applyFont="1" applyBorder="1" applyAlignment="1">
      <alignment horizontal="center"/>
    </xf>
    <xf numFmtId="0" fontId="0" fillId="0" borderId="0" xfId="0" applyFont="1" applyAlignment="1">
      <alignment horizontal="center"/>
    </xf>
    <xf numFmtId="166" fontId="2" fillId="0" borderId="0" xfId="1" applyNumberFormat="1" applyFont="1" applyBorder="1" applyAlignment="1">
      <alignment horizontal="center"/>
    </xf>
    <xf numFmtId="9" fontId="30" fillId="2" borderId="0" xfId="2" applyFont="1" applyFill="1" applyBorder="1"/>
    <xf numFmtId="166" fontId="30" fillId="2" borderId="2" xfId="0" applyNumberFormat="1" applyFont="1" applyFill="1" applyBorder="1"/>
    <xf numFmtId="0" fontId="2" fillId="2" borderId="0" xfId="0" applyFont="1" applyFill="1" applyBorder="1" applyAlignment="1">
      <alignment horizontal="center"/>
    </xf>
    <xf numFmtId="0" fontId="88" fillId="0" borderId="0" xfId="0" applyFont="1" applyFill="1" applyBorder="1" applyAlignment="1">
      <alignment vertical="center"/>
    </xf>
    <xf numFmtId="0" fontId="88" fillId="0" borderId="0" xfId="0" applyFont="1" applyFill="1" applyBorder="1" applyAlignment="1">
      <alignment horizontal="left" vertical="center"/>
    </xf>
    <xf numFmtId="166" fontId="30" fillId="2" borderId="2" xfId="1" applyNumberFormat="1" applyFont="1" applyFill="1" applyBorder="1"/>
    <xf numFmtId="166" fontId="30" fillId="2" borderId="1" xfId="2" applyNumberFormat="1" applyFont="1" applyFill="1" applyBorder="1"/>
    <xf numFmtId="0" fontId="30" fillId="0" borderId="4" xfId="0" applyFont="1" applyFill="1" applyBorder="1"/>
    <xf numFmtId="0" fontId="30" fillId="18" borderId="4" xfId="0" applyFont="1" applyFill="1" applyBorder="1"/>
    <xf numFmtId="0" fontId="30" fillId="6" borderId="1" xfId="0" applyFont="1" applyFill="1" applyBorder="1"/>
    <xf numFmtId="177" fontId="133" fillId="0" borderId="0" xfId="0" applyNumberFormat="1" applyFont="1" applyFill="1" applyAlignment="1">
      <alignment horizontal="center"/>
    </xf>
    <xf numFmtId="0" fontId="99" fillId="4" borderId="0" xfId="0" applyFont="1" applyFill="1" applyBorder="1"/>
    <xf numFmtId="0" fontId="108" fillId="0" borderId="1" xfId="0" applyFont="1" applyFill="1" applyBorder="1"/>
    <xf numFmtId="0" fontId="111" fillId="0" borderId="1" xfId="0" applyFont="1" applyFill="1" applyBorder="1" applyAlignment="1">
      <alignment horizontal="left"/>
    </xf>
    <xf numFmtId="0" fontId="99" fillId="4" borderId="0" xfId="0" applyFont="1" applyFill="1" applyAlignment="1"/>
    <xf numFmtId="184" fontId="39" fillId="0" borderId="0" xfId="0" applyNumberFormat="1" applyFont="1" applyFill="1" applyBorder="1" applyAlignment="1">
      <alignment horizontal="center" vertical="center"/>
    </xf>
    <xf numFmtId="0" fontId="88" fillId="0" borderId="7" xfId="0" applyFont="1" applyFill="1" applyBorder="1" applyAlignment="1">
      <alignment vertical="center"/>
    </xf>
    <xf numFmtId="0" fontId="118" fillId="0" borderId="0" xfId="0" applyFont="1" applyFill="1"/>
    <xf numFmtId="0" fontId="72" fillId="0" borderId="0" xfId="0" applyFont="1" applyFill="1"/>
    <xf numFmtId="0" fontId="87" fillId="0" borderId="7" xfId="0" applyFont="1" applyFill="1" applyBorder="1" applyAlignment="1">
      <alignment vertical="center"/>
    </xf>
    <xf numFmtId="0" fontId="116" fillId="0" borderId="0" xfId="0" applyFont="1" applyFill="1"/>
    <xf numFmtId="0" fontId="0" fillId="0" borderId="18" xfId="0" applyBorder="1"/>
    <xf numFmtId="0" fontId="8" fillId="0" borderId="0" xfId="0" applyFont="1" applyFill="1" applyBorder="1" applyAlignment="1">
      <alignment horizontal="right"/>
    </xf>
    <xf numFmtId="166" fontId="30" fillId="0" borderId="1" xfId="0" applyNumberFormat="1" applyFont="1" applyFill="1" applyBorder="1"/>
    <xf numFmtId="166" fontId="84" fillId="0" borderId="0" xfId="1" applyNumberFormat="1" applyFont="1" applyFill="1" applyBorder="1"/>
    <xf numFmtId="166" fontId="30" fillId="0" borderId="0" xfId="1" applyNumberFormat="1" applyFont="1" applyBorder="1"/>
    <xf numFmtId="0" fontId="99" fillId="0" borderId="0" xfId="0" applyFont="1" applyFill="1" applyBorder="1"/>
    <xf numFmtId="0" fontId="17" fillId="0" borderId="0" xfId="0" applyFont="1" applyFill="1" applyBorder="1" applyAlignment="1">
      <alignment horizontal="left"/>
    </xf>
    <xf numFmtId="177" fontId="133" fillId="0" borderId="7" xfId="0" applyNumberFormat="1" applyFont="1" applyFill="1" applyBorder="1" applyAlignment="1">
      <alignment horizontal="center"/>
    </xf>
    <xf numFmtId="18" fontId="8" fillId="0" borderId="7" xfId="0" applyNumberFormat="1" applyFont="1" applyBorder="1"/>
    <xf numFmtId="0" fontId="8" fillId="0" borderId="7" xfId="0" applyFont="1" applyFill="1" applyBorder="1"/>
    <xf numFmtId="166" fontId="41" fillId="0" borderId="0" xfId="1" applyNumberFormat="1" applyFont="1" applyFill="1" applyBorder="1" applyAlignment="1">
      <alignment horizontal="center"/>
    </xf>
    <xf numFmtId="166" fontId="30" fillId="0" borderId="21" xfId="1" applyNumberFormat="1" applyFont="1" applyFill="1" applyBorder="1"/>
    <xf numFmtId="0" fontId="17" fillId="4" borderId="7" xfId="0" applyFont="1" applyFill="1" applyBorder="1"/>
    <xf numFmtId="0" fontId="70" fillId="4" borderId="7" xfId="0" applyFont="1" applyFill="1" applyBorder="1"/>
    <xf numFmtId="166" fontId="30" fillId="0" borderId="7" xfId="1" applyNumberFormat="1" applyFont="1" applyFill="1" applyBorder="1"/>
    <xf numFmtId="0" fontId="70" fillId="4" borderId="7" xfId="0" applyFont="1" applyFill="1" applyBorder="1" applyAlignment="1"/>
    <xf numFmtId="166" fontId="2" fillId="0" borderId="7" xfId="0" applyNumberFormat="1" applyFont="1" applyFill="1" applyBorder="1"/>
    <xf numFmtId="166" fontId="30" fillId="0" borderId="7" xfId="0" applyNumberFormat="1" applyFont="1" applyFill="1" applyBorder="1"/>
    <xf numFmtId="0" fontId="17" fillId="4" borderId="4" xfId="0" applyFont="1" applyFill="1" applyBorder="1"/>
    <xf numFmtId="0" fontId="8" fillId="4" borderId="7" xfId="0" applyFont="1" applyFill="1" applyBorder="1"/>
    <xf numFmtId="0" fontId="70" fillId="4" borderId="4" xfId="0" applyFont="1" applyFill="1" applyBorder="1"/>
    <xf numFmtId="9" fontId="30" fillId="0" borderId="7" xfId="2" applyFont="1" applyFill="1" applyBorder="1"/>
    <xf numFmtId="0" fontId="87" fillId="0" borderId="0" xfId="0" applyFont="1" applyFill="1" applyBorder="1" applyAlignment="1">
      <alignment horizontal="center"/>
    </xf>
    <xf numFmtId="0" fontId="37" fillId="0" borderId="0" xfId="0" applyFont="1"/>
    <xf numFmtId="169" fontId="101" fillId="2" borderId="6" xfId="0" applyNumberFormat="1" applyFont="1" applyFill="1" applyBorder="1" applyAlignment="1"/>
    <xf numFmtId="0" fontId="120" fillId="0" borderId="0" xfId="0" applyFont="1" applyFill="1"/>
    <xf numFmtId="0" fontId="30" fillId="6" borderId="0" xfId="0" applyFont="1" applyFill="1" applyAlignment="1"/>
    <xf numFmtId="0" fontId="70" fillId="4" borderId="0" xfId="0" applyFont="1" applyFill="1" applyBorder="1" applyAlignment="1"/>
    <xf numFmtId="166" fontId="85" fillId="2" borderId="0" xfId="1" applyNumberFormat="1" applyFont="1" applyFill="1" applyBorder="1"/>
    <xf numFmtId="0" fontId="2" fillId="6" borderId="1" xfId="0" applyFont="1" applyFill="1" applyBorder="1"/>
    <xf numFmtId="18" fontId="2" fillId="0" borderId="0" xfId="0" applyNumberFormat="1" applyFont="1" applyBorder="1"/>
    <xf numFmtId="22" fontId="39" fillId="0" borderId="0" xfId="0" applyNumberFormat="1" applyFont="1" applyFill="1" applyBorder="1" applyAlignment="1"/>
    <xf numFmtId="22" fontId="85" fillId="0" borderId="0" xfId="0" applyNumberFormat="1" applyFont="1" applyFill="1" applyBorder="1" applyAlignment="1"/>
    <xf numFmtId="0" fontId="111" fillId="0" borderId="0" xfId="0" applyFont="1" applyFill="1" applyBorder="1" applyAlignment="1"/>
    <xf numFmtId="0" fontId="70" fillId="0" borderId="0" xfId="0" applyFont="1" applyFill="1" applyBorder="1" applyAlignment="1"/>
    <xf numFmtId="0" fontId="30" fillId="0" borderId="0" xfId="0" applyFont="1" applyFill="1" applyAlignment="1">
      <alignment horizontal="center"/>
    </xf>
    <xf numFmtId="0" fontId="30" fillId="5" borderId="1" xfId="0" applyFont="1" applyFill="1" applyBorder="1" applyAlignment="1"/>
    <xf numFmtId="166" fontId="2" fillId="2" borderId="7" xfId="1" applyNumberFormat="1" applyFont="1" applyFill="1" applyBorder="1" applyAlignment="1"/>
    <xf numFmtId="0" fontId="24" fillId="0" borderId="0" xfId="0" applyFont="1"/>
    <xf numFmtId="177" fontId="104" fillId="0" borderId="0" xfId="0" applyNumberFormat="1" applyFont="1" applyFill="1" applyAlignment="1"/>
    <xf numFmtId="166" fontId="30" fillId="2" borderId="7" xfId="1" applyNumberFormat="1" applyFont="1" applyFill="1" applyBorder="1" applyAlignment="1"/>
    <xf numFmtId="0" fontId="5" fillId="0" borderId="22" xfId="0" applyFont="1" applyBorder="1"/>
    <xf numFmtId="166" fontId="5" fillId="0" borderId="1" xfId="1" applyNumberFormat="1" applyFont="1" applyFill="1" applyBorder="1"/>
    <xf numFmtId="166" fontId="24" fillId="0" borderId="1" xfId="1" applyNumberFormat="1" applyFont="1" applyFill="1" applyBorder="1"/>
    <xf numFmtId="169" fontId="101" fillId="0" borderId="0" xfId="0" applyNumberFormat="1" applyFont="1" applyFill="1" applyBorder="1" applyAlignment="1">
      <alignment horizontal="right"/>
    </xf>
    <xf numFmtId="166" fontId="2" fillId="0" borderId="18" xfId="1" applyNumberFormat="1" applyFont="1" applyFill="1" applyBorder="1"/>
    <xf numFmtId="0" fontId="36" fillId="4" borderId="1" xfId="0" applyFont="1" applyFill="1" applyBorder="1"/>
    <xf numFmtId="177" fontId="85" fillId="0" borderId="0" xfId="0" applyNumberFormat="1" applyFont="1" applyFill="1" applyAlignment="1">
      <alignment horizontal="center"/>
    </xf>
    <xf numFmtId="166" fontId="2" fillId="34" borderId="0" xfId="1" applyNumberFormat="1" applyFont="1" applyFill="1" applyBorder="1"/>
    <xf numFmtId="166" fontId="2" fillId="34" borderId="2" xfId="1" applyNumberFormat="1" applyFont="1" applyFill="1" applyBorder="1"/>
    <xf numFmtId="0" fontId="5" fillId="0" borderId="0" xfId="0" applyFont="1" applyBorder="1" applyAlignment="1">
      <alignment horizontal="right"/>
    </xf>
    <xf numFmtId="0" fontId="100" fillId="0" borderId="0" xfId="0" applyFont="1" applyFill="1" applyBorder="1" applyAlignment="1">
      <alignment horizontal="center"/>
    </xf>
    <xf numFmtId="0" fontId="30" fillId="0" borderId="0" xfId="0" applyFont="1" applyFill="1" applyBorder="1" applyAlignment="1">
      <alignment horizontal="left"/>
    </xf>
    <xf numFmtId="0" fontId="87" fillId="0" borderId="0" xfId="0" applyFont="1" applyFill="1" applyBorder="1" applyAlignment="1">
      <alignment horizontal="center" vertical="center"/>
    </xf>
    <xf numFmtId="0" fontId="2" fillId="0" borderId="0" xfId="0" applyFont="1" applyAlignment="1">
      <alignment horizontal="right"/>
    </xf>
    <xf numFmtId="0" fontId="88" fillId="37" borderId="0" xfId="0" applyFont="1" applyFill="1" applyBorder="1" applyAlignment="1">
      <alignment horizontal="left" vertical="center"/>
    </xf>
    <xf numFmtId="0" fontId="88" fillId="37" borderId="7" xfId="0" applyFont="1" applyFill="1" applyBorder="1" applyAlignment="1">
      <alignment horizontal="left" vertical="center"/>
    </xf>
    <xf numFmtId="0" fontId="27" fillId="4" borderId="0" xfId="0" applyFont="1" applyFill="1" applyAlignment="1">
      <alignment horizontal="left"/>
    </xf>
    <xf numFmtId="43" fontId="84" fillId="0" borderId="0" xfId="1" applyFont="1" applyFill="1" applyAlignment="1">
      <alignment horizontal="right"/>
    </xf>
    <xf numFmtId="0" fontId="2" fillId="0" borderId="0" xfId="0" applyFont="1" applyAlignment="1">
      <alignment horizontal="right"/>
    </xf>
    <xf numFmtId="0" fontId="88" fillId="37" borderId="0" xfId="0" applyFont="1" applyFill="1" applyAlignment="1">
      <alignment vertical="center"/>
    </xf>
    <xf numFmtId="0" fontId="117" fillId="0" borderId="0" xfId="0" applyFont="1"/>
    <xf numFmtId="0" fontId="88" fillId="37" borderId="0" xfId="0" applyFont="1" applyFill="1" applyAlignment="1">
      <alignment horizontal="left" vertical="center"/>
    </xf>
    <xf numFmtId="0" fontId="88" fillId="0" borderId="0" xfId="0" applyFont="1" applyAlignment="1">
      <alignment vertical="center"/>
    </xf>
    <xf numFmtId="0" fontId="88" fillId="0" borderId="0" xfId="0" applyFont="1" applyAlignment="1">
      <alignment horizontal="left" vertical="center"/>
    </xf>
    <xf numFmtId="0" fontId="0" fillId="0" borderId="23" xfId="0" applyBorder="1"/>
    <xf numFmtId="0" fontId="41" fillId="0" borderId="23" xfId="0" applyFont="1" applyBorder="1" applyAlignment="1">
      <alignment horizontal="right"/>
    </xf>
    <xf numFmtId="166" fontId="30" fillId="0" borderId="23" xfId="1" applyNumberFormat="1" applyFont="1" applyFill="1" applyBorder="1"/>
    <xf numFmtId="0" fontId="2" fillId="0" borderId="23" xfId="0" applyFont="1" applyFill="1" applyBorder="1"/>
    <xf numFmtId="0" fontId="5" fillId="0" borderId="23" xfId="0" applyFont="1" applyBorder="1"/>
    <xf numFmtId="166" fontId="136" fillId="0" borderId="0" xfId="1" applyNumberFormat="1" applyFont="1" applyFill="1" applyBorder="1" applyAlignment="1"/>
    <xf numFmtId="166" fontId="5" fillId="0" borderId="0" xfId="1" applyNumberFormat="1" applyFont="1" applyFill="1" applyBorder="1" applyAlignment="1">
      <alignment horizontal="right"/>
    </xf>
    <xf numFmtId="166" fontId="2" fillId="0" borderId="0" xfId="1" applyNumberFormat="1" applyFont="1" applyFill="1"/>
    <xf numFmtId="166" fontId="8" fillId="0" borderId="1" xfId="1" applyNumberFormat="1" applyFont="1" applyFill="1" applyBorder="1" applyAlignment="1">
      <alignment horizontal="right"/>
    </xf>
    <xf numFmtId="0" fontId="2" fillId="38" borderId="0" xfId="0" applyFont="1" applyFill="1" applyBorder="1"/>
    <xf numFmtId="169" fontId="87" fillId="38" borderId="0" xfId="0" applyNumberFormat="1" applyFont="1" applyFill="1" applyBorder="1" applyAlignment="1">
      <alignment horizontal="center"/>
    </xf>
    <xf numFmtId="166" fontId="2" fillId="0" borderId="0" xfId="1" applyNumberFormat="1" applyFont="1"/>
    <xf numFmtId="166" fontId="85" fillId="0" borderId="0" xfId="1" applyNumberFormat="1" applyFont="1" applyFill="1" applyAlignment="1">
      <alignment horizontal="right"/>
    </xf>
    <xf numFmtId="0" fontId="2" fillId="0" borderId="0" xfId="0" applyFont="1" applyAlignment="1">
      <alignment horizontal="right"/>
    </xf>
    <xf numFmtId="0" fontId="137" fillId="0" borderId="0" xfId="0" applyFont="1" applyFill="1"/>
    <xf numFmtId="0" fontId="134" fillId="10" borderId="0" xfId="0" applyFont="1" applyFill="1" applyBorder="1" applyAlignment="1">
      <alignment horizontal="right"/>
    </xf>
    <xf numFmtId="177" fontId="104" fillId="0" borderId="0" xfId="0" applyNumberFormat="1" applyFont="1" applyFill="1" applyBorder="1" applyAlignment="1">
      <alignment horizontal="center"/>
    </xf>
    <xf numFmtId="0" fontId="2" fillId="0" borderId="0" xfId="0" applyFont="1" applyAlignment="1">
      <alignment horizontal="right"/>
    </xf>
    <xf numFmtId="169" fontId="101" fillId="2" borderId="0" xfId="0" applyNumberFormat="1" applyFont="1" applyFill="1" applyBorder="1" applyAlignment="1">
      <alignment horizontal="right"/>
    </xf>
    <xf numFmtId="0" fontId="86" fillId="4" borderId="0" xfId="0" applyFont="1" applyFill="1" applyAlignment="1"/>
    <xf numFmtId="166" fontId="30" fillId="2" borderId="6" xfId="1" applyNumberFormat="1" applyFont="1" applyFill="1" applyBorder="1"/>
    <xf numFmtId="166" fontId="30" fillId="2" borderId="4" xfId="1" applyNumberFormat="1" applyFont="1" applyFill="1" applyBorder="1"/>
    <xf numFmtId="22" fontId="85" fillId="0" borderId="1" xfId="0" applyNumberFormat="1" applyFont="1" applyBorder="1" applyAlignment="1"/>
    <xf numFmtId="2" fontId="39" fillId="0" borderId="0" xfId="0" applyNumberFormat="1" applyFont="1" applyBorder="1" applyAlignment="1">
      <alignment horizontal="right"/>
    </xf>
    <xf numFmtId="0" fontId="101" fillId="0" borderId="0" xfId="0" applyFont="1" applyFill="1" applyBorder="1" applyAlignment="1">
      <alignment vertical="center"/>
    </xf>
    <xf numFmtId="0" fontId="101" fillId="0" borderId="1" xfId="0" applyFont="1" applyFill="1" applyBorder="1" applyAlignment="1">
      <alignment vertical="center"/>
    </xf>
    <xf numFmtId="0" fontId="10" fillId="0" borderId="1" xfId="0" applyFont="1" applyBorder="1"/>
    <xf numFmtId="0" fontId="11" fillId="0" borderId="0" xfId="0" applyFont="1" applyBorder="1"/>
    <xf numFmtId="0" fontId="10" fillId="0" borderId="0" xfId="0" applyFont="1" applyBorder="1"/>
    <xf numFmtId="169" fontId="10" fillId="0" borderId="0" xfId="0" applyNumberFormat="1" applyFont="1" applyBorder="1" applyAlignment="1">
      <alignment horizontal="center"/>
    </xf>
    <xf numFmtId="169" fontId="11" fillId="0" borderId="0" xfId="0" applyNumberFormat="1" applyFont="1" applyBorder="1" applyAlignment="1">
      <alignment horizontal="right"/>
    </xf>
    <xf numFmtId="0" fontId="11" fillId="0" borderId="0" xfId="0" applyFont="1" applyBorder="1" applyAlignment="1">
      <alignment horizontal="left" indent="1"/>
    </xf>
    <xf numFmtId="169" fontId="12" fillId="0" borderId="0" xfId="0" applyNumberFormat="1" applyFont="1" applyAlignment="1">
      <alignment horizontal="right"/>
    </xf>
    <xf numFmtId="0" fontId="12" fillId="0" borderId="0" xfId="0" applyFont="1" applyAlignment="1">
      <alignment horizontal="left" indent="1"/>
    </xf>
    <xf numFmtId="0" fontId="11" fillId="0" borderId="0" xfId="0" applyFont="1" applyBorder="1" applyAlignment="1">
      <alignment horizontal="left" indent="2"/>
    </xf>
    <xf numFmtId="0" fontId="10" fillId="0" borderId="0" xfId="0" applyFont="1" applyBorder="1" applyAlignment="1">
      <alignment horizontal="left" indent="1"/>
    </xf>
    <xf numFmtId="169" fontId="11" fillId="0" borderId="18" xfId="0" applyNumberFormat="1" applyFont="1" applyBorder="1" applyAlignment="1">
      <alignment horizontal="right"/>
    </xf>
    <xf numFmtId="0" fontId="11" fillId="0" borderId="18" xfId="0" applyFont="1" applyBorder="1" applyAlignment="1">
      <alignment horizontal="left" indent="1"/>
    </xf>
    <xf numFmtId="0" fontId="12" fillId="0" borderId="18" xfId="0" applyFont="1" applyBorder="1"/>
    <xf numFmtId="0" fontId="11" fillId="0" borderId="18" xfId="0" applyFont="1" applyBorder="1"/>
    <xf numFmtId="15" fontId="39" fillId="0" borderId="0" xfId="0" applyNumberFormat="1" applyFont="1" applyFill="1" applyBorder="1" applyAlignment="1">
      <alignment horizontal="left"/>
    </xf>
    <xf numFmtId="166" fontId="30" fillId="0" borderId="4" xfId="1" applyNumberFormat="1" applyFont="1" applyFill="1" applyBorder="1"/>
    <xf numFmtId="14" fontId="39" fillId="0" borderId="0" xfId="0" applyNumberFormat="1" applyFont="1" applyFill="1" applyBorder="1"/>
    <xf numFmtId="166" fontId="2" fillId="19" borderId="0" xfId="1" applyNumberFormat="1" applyFont="1" applyFill="1" applyBorder="1"/>
    <xf numFmtId="0" fontId="87" fillId="0" borderId="6" xfId="0" applyFont="1" applyFill="1" applyBorder="1" applyAlignment="1"/>
    <xf numFmtId="0" fontId="87" fillId="0" borderId="3" xfId="0" applyFont="1" applyFill="1" applyBorder="1" applyAlignment="1"/>
    <xf numFmtId="0" fontId="2" fillId="0" borderId="4" xfId="0" applyFont="1" applyFill="1" applyBorder="1"/>
    <xf numFmtId="166" fontId="30" fillId="2" borderId="5" xfId="0" applyNumberFormat="1" applyFont="1" applyFill="1" applyBorder="1"/>
    <xf numFmtId="166" fontId="30" fillId="2" borderId="6" xfId="0" applyNumberFormat="1" applyFont="1" applyFill="1" applyBorder="1"/>
    <xf numFmtId="166" fontId="30" fillId="2" borderId="3" xfId="0" applyNumberFormat="1" applyFont="1" applyFill="1" applyBorder="1"/>
    <xf numFmtId="0" fontId="87" fillId="0" borderId="10" xfId="0" applyFont="1" applyFill="1" applyBorder="1" applyAlignment="1">
      <alignment vertical="center"/>
    </xf>
    <xf numFmtId="166" fontId="2" fillId="3" borderId="0" xfId="2" applyNumberFormat="1" applyFont="1" applyFill="1" applyBorder="1"/>
    <xf numFmtId="166" fontId="30" fillId="2" borderId="0" xfId="0" applyNumberFormat="1" applyFont="1" applyFill="1" applyBorder="1"/>
    <xf numFmtId="166" fontId="30" fillId="3" borderId="0" xfId="1" applyNumberFormat="1" applyFont="1" applyFill="1" applyBorder="1" applyAlignment="1">
      <alignment horizontal="right"/>
    </xf>
    <xf numFmtId="166" fontId="30" fillId="3" borderId="1" xfId="1" applyNumberFormat="1" applyFont="1" applyFill="1" applyBorder="1"/>
    <xf numFmtId="166" fontId="30" fillId="3" borderId="1" xfId="1" applyNumberFormat="1" applyFont="1" applyFill="1" applyBorder="1" applyAlignment="1">
      <alignment horizontal="right"/>
    </xf>
    <xf numFmtId="0" fontId="8" fillId="2" borderId="0" xfId="0" applyFont="1" applyFill="1" applyBorder="1"/>
    <xf numFmtId="166" fontId="24" fillId="2" borderId="0" xfId="1" applyNumberFormat="1" applyFont="1" applyFill="1" applyBorder="1"/>
    <xf numFmtId="0" fontId="8" fillId="2" borderId="0" xfId="0" applyFont="1" applyFill="1"/>
    <xf numFmtId="177" fontId="39" fillId="0" borderId="0" xfId="0" applyNumberFormat="1" applyFont="1" applyFill="1" applyBorder="1"/>
    <xf numFmtId="0" fontId="141" fillId="0" borderId="7" xfId="0" applyFont="1" applyBorder="1"/>
    <xf numFmtId="177" fontId="104" fillId="0" borderId="7" xfId="0" applyNumberFormat="1" applyFont="1" applyBorder="1" applyAlignment="1">
      <alignment horizontal="center"/>
    </xf>
    <xf numFmtId="177" fontId="133" fillId="0" borderId="7" xfId="0" applyNumberFormat="1" applyFont="1" applyBorder="1" applyAlignment="1">
      <alignment horizontal="center"/>
    </xf>
    <xf numFmtId="0" fontId="121" fillId="0" borderId="0" xfId="0" applyFont="1" applyAlignment="1">
      <alignment vertical="center"/>
    </xf>
    <xf numFmtId="0" fontId="87" fillId="0" borderId="0" xfId="0" applyFont="1" applyAlignment="1">
      <alignment vertical="center"/>
    </xf>
    <xf numFmtId="0" fontId="30" fillId="9" borderId="0" xfId="0" applyFont="1" applyFill="1"/>
    <xf numFmtId="0" fontId="2" fillId="9" borderId="0" xfId="0" applyFont="1" applyFill="1" applyBorder="1"/>
    <xf numFmtId="0" fontId="2" fillId="9" borderId="1" xfId="0" applyFont="1" applyFill="1" applyBorder="1"/>
    <xf numFmtId="0" fontId="30" fillId="9" borderId="1" xfId="0" applyFont="1" applyFill="1" applyBorder="1"/>
    <xf numFmtId="0" fontId="1" fillId="0" borderId="0" xfId="0" applyFont="1" applyFill="1"/>
    <xf numFmtId="0" fontId="101" fillId="0" borderId="0" xfId="0" applyFont="1" applyFill="1" applyBorder="1" applyAlignment="1"/>
    <xf numFmtId="0" fontId="138" fillId="0" borderId="24" xfId="0" applyFont="1" applyFill="1" applyBorder="1" applyAlignment="1">
      <alignment vertical="center"/>
    </xf>
    <xf numFmtId="0" fontId="138" fillId="0" borderId="25" xfId="0" applyFont="1" applyFill="1" applyBorder="1" applyAlignment="1">
      <alignment vertical="center"/>
    </xf>
    <xf numFmtId="169" fontId="139" fillId="0" borderId="25" xfId="0" applyNumberFormat="1" applyFont="1" applyFill="1" applyBorder="1" applyAlignment="1">
      <alignment vertical="center"/>
    </xf>
    <xf numFmtId="0" fontId="12" fillId="0" borderId="1" xfId="0" applyFont="1" applyBorder="1"/>
    <xf numFmtId="0" fontId="142" fillId="2" borderId="9" xfId="0" applyFont="1" applyFill="1" applyBorder="1" applyAlignment="1">
      <alignment horizontal="center"/>
    </xf>
    <xf numFmtId="166" fontId="2" fillId="5" borderId="2" xfId="1" applyNumberFormat="1" applyFont="1" applyFill="1" applyBorder="1"/>
    <xf numFmtId="166" fontId="144" fillId="0" borderId="0" xfId="1" applyNumberFormat="1" applyFont="1" applyFill="1" applyBorder="1"/>
    <xf numFmtId="166" fontId="2" fillId="0" borderId="1" xfId="2" applyNumberFormat="1" applyFont="1" applyFill="1" applyBorder="1" applyAlignment="1">
      <alignment horizontal="right"/>
    </xf>
    <xf numFmtId="166" fontId="30" fillId="2" borderId="3" xfId="1" applyNumberFormat="1" applyFont="1" applyFill="1" applyBorder="1"/>
    <xf numFmtId="166" fontId="2" fillId="9" borderId="0" xfId="1" applyNumberFormat="1" applyFont="1" applyFill="1" applyBorder="1"/>
    <xf numFmtId="0" fontId="30" fillId="9" borderId="0" xfId="0" applyFont="1" applyFill="1" applyBorder="1"/>
    <xf numFmtId="166" fontId="85" fillId="5" borderId="0" xfId="1" applyNumberFormat="1" applyFont="1" applyFill="1" applyBorder="1" applyAlignment="1">
      <alignment horizontal="right"/>
    </xf>
    <xf numFmtId="0" fontId="22" fillId="0" borderId="0" xfId="0" applyFont="1"/>
    <xf numFmtId="177" fontId="133" fillId="0" borderId="0" xfId="0" applyNumberFormat="1" applyFont="1" applyFill="1" applyBorder="1" applyAlignment="1">
      <alignment horizontal="center"/>
    </xf>
    <xf numFmtId="18" fontId="8" fillId="0" borderId="0" xfId="0" applyNumberFormat="1" applyFont="1" applyBorder="1"/>
    <xf numFmtId="0" fontId="134" fillId="0" borderId="0" xfId="0" applyFont="1" applyFill="1" applyBorder="1" applyAlignment="1">
      <alignment horizontal="center"/>
    </xf>
    <xf numFmtId="0" fontId="98" fillId="0" borderId="18" xfId="0" applyFont="1" applyBorder="1"/>
    <xf numFmtId="0" fontId="138" fillId="0" borderId="0" xfId="0" applyFont="1" applyAlignment="1">
      <alignment vertical="center"/>
    </xf>
    <xf numFmtId="169" fontId="139" fillId="0" borderId="0" xfId="0" applyNumberFormat="1" applyFont="1" applyAlignment="1">
      <alignment vertical="center"/>
    </xf>
    <xf numFmtId="15" fontId="98" fillId="0" borderId="0" xfId="0" applyNumberFormat="1" applyFont="1"/>
    <xf numFmtId="0" fontId="98" fillId="0" borderId="0" xfId="0" applyFont="1" applyBorder="1"/>
    <xf numFmtId="0" fontId="98" fillId="0" borderId="0" xfId="0" applyFont="1" applyFill="1" applyBorder="1"/>
    <xf numFmtId="0" fontId="39" fillId="0" borderId="0" xfId="0" applyFont="1" applyFill="1"/>
    <xf numFmtId="17" fontId="37" fillId="0" borderId="0" xfId="0" applyNumberFormat="1" applyFont="1" applyAlignment="1">
      <alignment horizontal="center"/>
    </xf>
    <xf numFmtId="169" fontId="101" fillId="0" borderId="3" xfId="0" applyNumberFormat="1" applyFont="1" applyFill="1" applyBorder="1" applyAlignment="1">
      <alignment horizontal="right"/>
    </xf>
    <xf numFmtId="166" fontId="30" fillId="2" borderId="0" xfId="1" applyNumberFormat="1" applyFont="1" applyFill="1" applyBorder="1" applyAlignment="1">
      <alignment horizontal="left"/>
    </xf>
    <xf numFmtId="0" fontId="134" fillId="0" borderId="0" xfId="0" applyFont="1" applyFill="1" applyBorder="1" applyAlignment="1">
      <alignment horizontal="center"/>
    </xf>
    <xf numFmtId="0" fontId="134" fillId="0" borderId="0" xfId="0" applyFont="1" applyFill="1" applyBorder="1" applyAlignment="1"/>
    <xf numFmtId="169" fontId="101" fillId="0" borderId="0" xfId="0" applyNumberFormat="1" applyFont="1" applyFill="1" applyBorder="1" applyAlignment="1"/>
    <xf numFmtId="166" fontId="30" fillId="0" borderId="27" xfId="1" applyNumberFormat="1" applyFont="1" applyFill="1" applyBorder="1"/>
    <xf numFmtId="166" fontId="84" fillId="0" borderId="0" xfId="0" applyNumberFormat="1" applyFont="1" applyFill="1"/>
    <xf numFmtId="0" fontId="12" fillId="0" borderId="0" xfId="0" applyFont="1" applyAlignment="1">
      <alignment horizontal="center"/>
    </xf>
    <xf numFmtId="169" fontId="101" fillId="2" borderId="5" xfId="0" applyNumberFormat="1" applyFont="1" applyFill="1" applyBorder="1" applyAlignment="1"/>
    <xf numFmtId="169" fontId="101" fillId="2" borderId="5" xfId="0" applyNumberFormat="1" applyFont="1" applyFill="1" applyBorder="1" applyAlignment="1">
      <alignment horizontal="right"/>
    </xf>
    <xf numFmtId="0" fontId="39" fillId="0" borderId="1" xfId="0" applyFont="1" applyBorder="1"/>
    <xf numFmtId="0" fontId="98" fillId="0" borderId="0" xfId="0" applyFont="1" applyAlignment="1">
      <alignment horizontal="center"/>
    </xf>
    <xf numFmtId="0" fontId="10" fillId="0" borderId="0" xfId="0" applyFont="1" applyAlignment="1">
      <alignment vertical="center"/>
    </xf>
    <xf numFmtId="0" fontId="11" fillId="0" borderId="0" xfId="0" applyFont="1" applyAlignment="1">
      <alignment vertical="center"/>
    </xf>
    <xf numFmtId="0" fontId="10" fillId="0" borderId="1" xfId="0" applyFont="1" applyBorder="1" applyAlignment="1">
      <alignment vertical="center"/>
    </xf>
    <xf numFmtId="0" fontId="11" fillId="0" borderId="1" xfId="0" applyFont="1" applyBorder="1" applyAlignment="1">
      <alignment vertical="center"/>
    </xf>
    <xf numFmtId="0" fontId="11" fillId="0" borderId="0" xfId="0" applyFont="1" applyBorder="1" applyAlignment="1">
      <alignment vertical="center"/>
    </xf>
    <xf numFmtId="166" fontId="11" fillId="0" borderId="0" xfId="0" applyNumberFormat="1" applyFont="1"/>
    <xf numFmtId="0" fontId="147" fillId="0" borderId="0" xfId="0" applyFont="1"/>
    <xf numFmtId="0" fontId="10" fillId="0" borderId="0" xfId="0" applyFont="1" applyFill="1" applyBorder="1" applyAlignment="1">
      <alignment vertical="center"/>
    </xf>
    <xf numFmtId="0" fontId="22" fillId="0" borderId="0" xfId="0" applyFont="1" applyAlignment="1">
      <alignment horizontal="left"/>
    </xf>
    <xf numFmtId="0" fontId="134" fillId="0" borderId="7" xfId="0" applyFont="1" applyFill="1" applyBorder="1" applyAlignment="1"/>
    <xf numFmtId="0" fontId="27" fillId="0" borderId="0" xfId="0" applyFont="1" applyAlignment="1">
      <alignment vertical="center"/>
    </xf>
    <xf numFmtId="177" fontId="148" fillId="0" borderId="0" xfId="0" applyNumberFormat="1" applyFont="1" applyAlignment="1">
      <alignment horizontal="center"/>
    </xf>
    <xf numFmtId="0" fontId="12" fillId="0" borderId="0" xfId="0" applyFont="1" applyAlignment="1">
      <alignment horizontal="right"/>
    </xf>
    <xf numFmtId="18" fontId="12" fillId="0" borderId="0" xfId="0" applyNumberFormat="1" applyFont="1"/>
    <xf numFmtId="0" fontId="11" fillId="0" borderId="0" xfId="0" applyFont="1" applyFill="1" applyAlignment="1">
      <alignment horizontal="center"/>
    </xf>
    <xf numFmtId="0" fontId="37" fillId="10" borderId="11" xfId="0" applyFont="1" applyFill="1" applyBorder="1" applyAlignment="1"/>
    <xf numFmtId="169" fontId="101" fillId="0" borderId="5" xfId="0" applyNumberFormat="1" applyFont="1" applyFill="1" applyBorder="1" applyAlignment="1">
      <alignment horizontal="right"/>
    </xf>
    <xf numFmtId="169" fontId="12" fillId="0" borderId="0" xfId="0" applyNumberFormat="1" applyFont="1" applyAlignment="1">
      <alignment horizontal="center"/>
    </xf>
    <xf numFmtId="169" fontId="11" fillId="0" borderId="0" xfId="0" applyNumberFormat="1" applyFont="1" applyBorder="1" applyAlignment="1">
      <alignment horizontal="center"/>
    </xf>
    <xf numFmtId="0" fontId="11" fillId="0" borderId="0" xfId="0" applyFont="1" applyFill="1" applyBorder="1" applyAlignment="1">
      <alignment horizontal="left" indent="1"/>
    </xf>
    <xf numFmtId="2" fontId="11" fillId="0" borderId="0" xfId="0" applyNumberFormat="1" applyFont="1" applyBorder="1" applyAlignment="1">
      <alignment horizontal="center"/>
    </xf>
    <xf numFmtId="2" fontId="101" fillId="2" borderId="5" xfId="0" applyNumberFormat="1" applyFont="1" applyFill="1" applyBorder="1" applyAlignment="1">
      <alignment horizontal="right"/>
    </xf>
    <xf numFmtId="0" fontId="11" fillId="0" borderId="0" xfId="0" applyFont="1" applyFill="1" applyBorder="1" applyAlignment="1">
      <alignment horizontal="left" indent="2"/>
    </xf>
    <xf numFmtId="0" fontId="12" fillId="0" borderId="0" xfId="0" applyFont="1" applyFill="1" applyBorder="1"/>
    <xf numFmtId="0" fontId="13" fillId="0" borderId="0" xfId="0" applyFont="1" applyBorder="1" applyAlignment="1">
      <alignment horizontal="center"/>
    </xf>
    <xf numFmtId="0" fontId="2" fillId="0" borderId="4" xfId="0" applyFont="1" applyBorder="1"/>
    <xf numFmtId="0" fontId="36" fillId="4" borderId="0" xfId="0" applyFont="1" applyFill="1" applyAlignment="1">
      <alignment horizontal="center"/>
    </xf>
    <xf numFmtId="0" fontId="87" fillId="0" borderId="7" xfId="0" applyFont="1" applyBorder="1" applyAlignment="1"/>
    <xf numFmtId="0" fontId="149" fillId="0" borderId="0" xfId="0" applyFont="1" applyAlignment="1"/>
    <xf numFmtId="0" fontId="143" fillId="11" borderId="10" xfId="19" applyFont="1" applyFill="1" applyBorder="1" applyAlignment="1">
      <alignment horizontal="center"/>
    </xf>
    <xf numFmtId="0" fontId="143" fillId="11" borderId="7" xfId="19" applyFont="1" applyFill="1" applyBorder="1" applyAlignment="1">
      <alignment horizontal="center"/>
    </xf>
    <xf numFmtId="0" fontId="143" fillId="11" borderId="11" xfId="19" applyFont="1" applyFill="1" applyBorder="1" applyAlignment="1">
      <alignment horizontal="center"/>
    </xf>
    <xf numFmtId="0" fontId="89" fillId="37" borderId="0" xfId="0" applyFont="1" applyFill="1" applyAlignment="1">
      <alignment horizontal="left" vertical="center"/>
    </xf>
    <xf numFmtId="0" fontId="145" fillId="0" borderId="25" xfId="0" applyFont="1" applyBorder="1" applyAlignment="1">
      <alignment horizontal="center" vertical="center"/>
    </xf>
    <xf numFmtId="0" fontId="145" fillId="0" borderId="0" xfId="0" applyFont="1" applyBorder="1" applyAlignment="1">
      <alignment horizontal="center" vertical="center"/>
    </xf>
    <xf numFmtId="17" fontId="13" fillId="0" borderId="9" xfId="0" applyNumberFormat="1" applyFont="1" applyFill="1" applyBorder="1" applyAlignment="1">
      <alignment horizontal="center"/>
    </xf>
    <xf numFmtId="17" fontId="13" fillId="0" borderId="1" xfId="0" applyNumberFormat="1" applyFont="1" applyFill="1" applyBorder="1" applyAlignment="1">
      <alignment horizontal="center"/>
    </xf>
    <xf numFmtId="17" fontId="13" fillId="0" borderId="12" xfId="0" applyNumberFormat="1" applyFont="1" applyFill="1" applyBorder="1" applyAlignment="1">
      <alignment horizontal="center"/>
    </xf>
    <xf numFmtId="0" fontId="140" fillId="6" borderId="25" xfId="0" applyFont="1" applyFill="1" applyBorder="1" applyAlignment="1">
      <alignment horizontal="center" vertical="center"/>
    </xf>
    <xf numFmtId="0" fontId="134" fillId="0" borderId="0" xfId="0" applyFont="1" applyFill="1" applyBorder="1" applyAlignment="1">
      <alignment horizontal="center"/>
    </xf>
    <xf numFmtId="0" fontId="134" fillId="0" borderId="7" xfId="0" applyFont="1" applyFill="1" applyBorder="1" applyAlignment="1">
      <alignment horizontal="center"/>
    </xf>
    <xf numFmtId="0" fontId="134" fillId="2" borderId="6" xfId="0" applyFont="1" applyFill="1" applyBorder="1" applyAlignment="1">
      <alignment horizontal="center"/>
    </xf>
    <xf numFmtId="0" fontId="134" fillId="2" borderId="4" xfId="0" applyFont="1" applyFill="1" applyBorder="1" applyAlignment="1">
      <alignment horizontal="center"/>
    </xf>
    <xf numFmtId="0" fontId="134" fillId="2" borderId="3" xfId="0" applyFont="1" applyFill="1" applyBorder="1" applyAlignment="1">
      <alignment horizontal="center"/>
    </xf>
    <xf numFmtId="0" fontId="22" fillId="0" borderId="7" xfId="0" applyFont="1" applyFill="1" applyBorder="1" applyAlignment="1">
      <alignment horizontal="center"/>
    </xf>
    <xf numFmtId="0" fontId="100" fillId="10" borderId="0" xfId="0" applyFont="1" applyFill="1" applyBorder="1" applyAlignment="1">
      <alignment horizontal="center"/>
    </xf>
    <xf numFmtId="0" fontId="134" fillId="10" borderId="0" xfId="0" applyFont="1" applyFill="1" applyBorder="1" applyAlignment="1">
      <alignment horizontal="center"/>
    </xf>
    <xf numFmtId="0" fontId="134" fillId="10" borderId="6" xfId="0" applyFont="1" applyFill="1" applyBorder="1" applyAlignment="1">
      <alignment horizontal="center"/>
    </xf>
    <xf numFmtId="0" fontId="134" fillId="10" borderId="4" xfId="0" applyFont="1" applyFill="1" applyBorder="1" applyAlignment="1">
      <alignment horizontal="center"/>
    </xf>
    <xf numFmtId="0" fontId="134" fillId="10" borderId="3" xfId="0" applyFont="1" applyFill="1" applyBorder="1" applyAlignment="1">
      <alignment horizontal="center"/>
    </xf>
    <xf numFmtId="0" fontId="134" fillId="38" borderId="0" xfId="0" applyFont="1" applyFill="1" applyBorder="1" applyAlignment="1">
      <alignment horizontal="right"/>
    </xf>
    <xf numFmtId="166" fontId="30" fillId="0" borderId="0" xfId="1" applyNumberFormat="1" applyFont="1" applyFill="1" applyBorder="1" applyAlignment="1">
      <alignment horizontal="center"/>
    </xf>
    <xf numFmtId="0" fontId="134" fillId="10" borderId="29" xfId="0" applyFont="1" applyFill="1" applyBorder="1" applyAlignment="1">
      <alignment horizontal="center"/>
    </xf>
    <xf numFmtId="0" fontId="134" fillId="10" borderId="27" xfId="0" applyFont="1" applyFill="1" applyBorder="1" applyAlignment="1">
      <alignment horizontal="center"/>
    </xf>
    <xf numFmtId="0" fontId="134" fillId="10" borderId="30" xfId="0" applyFont="1" applyFill="1" applyBorder="1" applyAlignment="1">
      <alignment horizontal="center"/>
    </xf>
    <xf numFmtId="0" fontId="87" fillId="0" borderId="10" xfId="0" applyFont="1" applyBorder="1" applyAlignment="1">
      <alignment horizontal="center"/>
    </xf>
    <xf numFmtId="0" fontId="87" fillId="0" borderId="7" xfId="0" applyFont="1" applyBorder="1" applyAlignment="1">
      <alignment horizontal="center"/>
    </xf>
    <xf numFmtId="0" fontId="70" fillId="4" borderId="0" xfId="0" applyFont="1" applyFill="1" applyBorder="1" applyAlignment="1">
      <alignment horizontal="left"/>
    </xf>
    <xf numFmtId="0" fontId="100" fillId="0" borderId="0" xfId="0" applyFont="1" applyFill="1" applyBorder="1" applyAlignment="1">
      <alignment horizontal="center"/>
    </xf>
    <xf numFmtId="0" fontId="87" fillId="0" borderId="10" xfId="0" applyFont="1" applyFill="1" applyBorder="1" applyAlignment="1">
      <alignment horizontal="center"/>
    </xf>
    <xf numFmtId="0" fontId="87" fillId="0" borderId="7" xfId="0" applyFont="1" applyFill="1" applyBorder="1" applyAlignment="1">
      <alignment horizontal="center"/>
    </xf>
    <xf numFmtId="0" fontId="87" fillId="0" borderId="8" xfId="0" applyFont="1" applyBorder="1" applyAlignment="1">
      <alignment horizontal="center"/>
    </xf>
    <xf numFmtId="0" fontId="87" fillId="0" borderId="0" xfId="0" applyFont="1" applyBorder="1" applyAlignment="1">
      <alignment horizontal="center"/>
    </xf>
    <xf numFmtId="166" fontId="85" fillId="5" borderId="0" xfId="0" applyNumberFormat="1" applyFont="1" applyFill="1" applyBorder="1" applyAlignment="1">
      <alignment horizontal="center" vertical="center"/>
    </xf>
    <xf numFmtId="22" fontId="85" fillId="0" borderId="0" xfId="0" applyNumberFormat="1" applyFont="1" applyBorder="1" applyAlignment="1">
      <alignment horizontal="left"/>
    </xf>
    <xf numFmtId="0" fontId="17" fillId="4" borderId="0" xfId="0" applyFont="1" applyFill="1" applyBorder="1" applyAlignment="1">
      <alignment horizontal="left"/>
    </xf>
    <xf numFmtId="0" fontId="87" fillId="0" borderId="0" xfId="0" applyFont="1" applyFill="1" applyBorder="1" applyAlignment="1">
      <alignment horizontal="center"/>
    </xf>
    <xf numFmtId="0" fontId="100" fillId="10" borderId="6" xfId="0" applyFont="1" applyFill="1" applyBorder="1" applyAlignment="1">
      <alignment horizontal="center"/>
    </xf>
    <xf numFmtId="0" fontId="100" fillId="10" borderId="4" xfId="0" applyFont="1" applyFill="1" applyBorder="1" applyAlignment="1">
      <alignment horizontal="center"/>
    </xf>
    <xf numFmtId="0" fontId="100" fillId="10" borderId="3" xfId="0" applyFont="1" applyFill="1" applyBorder="1" applyAlignment="1">
      <alignment horizontal="center"/>
    </xf>
    <xf numFmtId="22" fontId="39" fillId="0" borderId="0" xfId="0" applyNumberFormat="1" applyFont="1" applyFill="1" applyBorder="1" applyAlignment="1">
      <alignment horizontal="left"/>
    </xf>
    <xf numFmtId="177" fontId="104" fillId="0" borderId="0" xfId="0" applyNumberFormat="1" applyFont="1" applyFill="1" applyBorder="1" applyAlignment="1">
      <alignment horizontal="center"/>
    </xf>
    <xf numFmtId="0" fontId="118" fillId="4" borderId="0" xfId="0" applyFont="1" applyFill="1" applyAlignment="1">
      <alignment horizontal="left"/>
    </xf>
    <xf numFmtId="0" fontId="100" fillId="10" borderId="9" xfId="0" applyFont="1" applyFill="1" applyBorder="1" applyAlignment="1">
      <alignment horizontal="center"/>
    </xf>
    <xf numFmtId="0" fontId="100" fillId="10" borderId="1" xfId="0" applyFont="1" applyFill="1" applyBorder="1" applyAlignment="1">
      <alignment horizontal="center"/>
    </xf>
    <xf numFmtId="0" fontId="100" fillId="10" borderId="12" xfId="0" applyFont="1" applyFill="1" applyBorder="1" applyAlignment="1">
      <alignment horizontal="center"/>
    </xf>
    <xf numFmtId="166" fontId="2" fillId="0" borderId="1" xfId="1" applyNumberFormat="1" applyFont="1" applyFill="1" applyBorder="1" applyAlignment="1">
      <alignment horizontal="center"/>
    </xf>
    <xf numFmtId="177" fontId="104" fillId="0" borderId="0" xfId="0" applyNumberFormat="1" applyFont="1" applyFill="1" applyAlignment="1">
      <alignment horizontal="center"/>
    </xf>
    <xf numFmtId="0" fontId="100" fillId="0" borderId="7" xfId="0" applyFont="1" applyFill="1" applyBorder="1" applyAlignment="1">
      <alignment horizontal="center"/>
    </xf>
    <xf numFmtId="0" fontId="30" fillId="0" borderId="0" xfId="0" applyFont="1" applyFill="1" applyBorder="1" applyAlignment="1">
      <alignment horizontal="left"/>
    </xf>
    <xf numFmtId="169" fontId="101" fillId="10" borderId="4" xfId="0" applyNumberFormat="1" applyFont="1" applyFill="1" applyBorder="1" applyAlignment="1">
      <alignment horizontal="center"/>
    </xf>
    <xf numFmtId="169" fontId="101" fillId="10" borderId="3" xfId="0" applyNumberFormat="1" applyFont="1" applyFill="1" applyBorder="1" applyAlignment="1">
      <alignment horizontal="center"/>
    </xf>
    <xf numFmtId="0" fontId="100" fillId="10" borderId="28" xfId="0" applyFont="1" applyFill="1" applyBorder="1" applyAlignment="1">
      <alignment horizontal="center"/>
    </xf>
    <xf numFmtId="0" fontId="100" fillId="10" borderId="26" xfId="0" applyFont="1" applyFill="1" applyBorder="1" applyAlignment="1">
      <alignment horizontal="center"/>
    </xf>
    <xf numFmtId="0" fontId="11" fillId="0" borderId="0" xfId="0" applyFont="1" applyFill="1" applyAlignment="1">
      <alignment horizontal="center"/>
    </xf>
    <xf numFmtId="0" fontId="37" fillId="10" borderId="7" xfId="0" applyFont="1" applyFill="1" applyBorder="1" applyAlignment="1">
      <alignment horizontal="center"/>
    </xf>
    <xf numFmtId="0" fontId="37" fillId="10" borderId="11" xfId="0" applyFont="1" applyFill="1" applyBorder="1" applyAlignment="1">
      <alignment horizontal="center"/>
    </xf>
    <xf numFmtId="0" fontId="24" fillId="39" borderId="0" xfId="0" applyFont="1" applyFill="1" applyAlignment="1">
      <alignment horizontal="left"/>
    </xf>
    <xf numFmtId="0" fontId="111" fillId="4" borderId="0" xfId="0" applyFont="1" applyFill="1" applyAlignment="1">
      <alignment horizontal="left"/>
    </xf>
    <xf numFmtId="0" fontId="100" fillId="6" borderId="6" xfId="0" applyFont="1" applyFill="1" applyBorder="1" applyAlignment="1">
      <alignment horizontal="center"/>
    </xf>
    <xf numFmtId="0" fontId="100" fillId="6" borderId="4" xfId="0" applyFont="1" applyFill="1" applyBorder="1" applyAlignment="1">
      <alignment horizontal="center"/>
    </xf>
    <xf numFmtId="184" fontId="24" fillId="0" borderId="7" xfId="0" applyNumberFormat="1" applyFont="1" applyBorder="1" applyAlignment="1">
      <alignment horizontal="center"/>
    </xf>
    <xf numFmtId="0" fontId="87" fillId="24" borderId="0" xfId="0" applyFont="1" applyFill="1" applyBorder="1" applyAlignment="1">
      <alignment horizontal="center" vertical="center"/>
    </xf>
    <xf numFmtId="177" fontId="104" fillId="5" borderId="0" xfId="0" applyNumberFormat="1" applyFont="1" applyFill="1" applyAlignment="1">
      <alignment horizontal="center"/>
    </xf>
    <xf numFmtId="0" fontId="100" fillId="17" borderId="7" xfId="0" applyFont="1" applyFill="1" applyBorder="1" applyAlignment="1">
      <alignment horizontal="center"/>
    </xf>
    <xf numFmtId="177" fontId="104" fillId="5" borderId="7" xfId="0" applyNumberFormat="1" applyFont="1" applyFill="1" applyBorder="1" applyAlignment="1">
      <alignment horizontal="center"/>
    </xf>
    <xf numFmtId="0" fontId="100" fillId="10" borderId="6" xfId="0" applyFont="1" applyFill="1" applyBorder="1" applyAlignment="1">
      <alignment horizontal="right"/>
    </xf>
    <xf numFmtId="0" fontId="100" fillId="10" borderId="4" xfId="0" applyFont="1" applyFill="1" applyBorder="1" applyAlignment="1">
      <alignment horizontal="right"/>
    </xf>
    <xf numFmtId="0" fontId="100" fillId="10" borderId="3" xfId="0" applyFont="1" applyFill="1" applyBorder="1" applyAlignment="1">
      <alignment horizontal="right"/>
    </xf>
    <xf numFmtId="0" fontId="100" fillId="0" borderId="0" xfId="0" applyFont="1" applyFill="1" applyBorder="1" applyAlignment="1">
      <alignment horizontal="right"/>
    </xf>
    <xf numFmtId="0" fontId="88" fillId="37" borderId="0" xfId="0" applyFont="1" applyFill="1" applyBorder="1" applyAlignment="1">
      <alignment horizontal="left" vertical="center"/>
    </xf>
    <xf numFmtId="0" fontId="115" fillId="0" borderId="7" xfId="0" applyFont="1" applyFill="1" applyBorder="1" applyAlignment="1">
      <alignment horizontal="center"/>
    </xf>
    <xf numFmtId="0" fontId="88" fillId="37" borderId="10" xfId="0" applyFont="1" applyFill="1" applyBorder="1" applyAlignment="1">
      <alignment horizontal="left" vertical="center"/>
    </xf>
    <xf numFmtId="0" fontId="88" fillId="37" borderId="7" xfId="0" applyFont="1" applyFill="1" applyBorder="1" applyAlignment="1">
      <alignment horizontal="left" vertical="center"/>
    </xf>
    <xf numFmtId="49" fontId="126" fillId="0" borderId="0" xfId="0" applyNumberFormat="1" applyFont="1" applyFill="1" applyBorder="1" applyAlignment="1">
      <alignment horizontal="right" vertical="center" wrapText="1"/>
    </xf>
    <xf numFmtId="1" fontId="123" fillId="0" borderId="0" xfId="0" applyNumberFormat="1" applyFont="1" applyBorder="1" applyAlignment="1">
      <alignment horizontal="right" vertical="justify"/>
    </xf>
    <xf numFmtId="1" fontId="123" fillId="0" borderId="0" xfId="0" applyNumberFormat="1" applyFont="1" applyFill="1" applyBorder="1" applyAlignment="1">
      <alignment horizontal="right" vertical="justify"/>
    </xf>
    <xf numFmtId="3" fontId="123" fillId="0" borderId="0" xfId="0" applyNumberFormat="1" applyFont="1" applyFill="1" applyBorder="1" applyAlignment="1">
      <alignment horizontal="right" vertical="justify"/>
    </xf>
    <xf numFmtId="0" fontId="5" fillId="0" borderId="0" xfId="0" applyFont="1" applyBorder="1" applyAlignment="1">
      <alignment horizontal="left"/>
    </xf>
    <xf numFmtId="0" fontId="37" fillId="2" borderId="6" xfId="0" applyFont="1" applyFill="1" applyBorder="1" applyAlignment="1">
      <alignment horizontal="center"/>
    </xf>
    <xf numFmtId="0" fontId="37" fillId="2" borderId="4" xfId="0" applyFont="1" applyFill="1" applyBorder="1" applyAlignment="1">
      <alignment horizontal="center"/>
    </xf>
    <xf numFmtId="0" fontId="37" fillId="2" borderId="3" xfId="0" applyFont="1" applyFill="1" applyBorder="1" applyAlignment="1">
      <alignment horizontal="center"/>
    </xf>
    <xf numFmtId="0" fontId="0" fillId="0" borderId="8" xfId="0" applyFill="1" applyBorder="1" applyAlignment="1">
      <alignment horizontal="center"/>
    </xf>
    <xf numFmtId="0" fontId="0" fillId="0" borderId="13" xfId="0" applyFill="1" applyBorder="1" applyAlignment="1">
      <alignment horizontal="center"/>
    </xf>
    <xf numFmtId="22" fontId="46" fillId="0" borderId="1" xfId="0" applyNumberFormat="1" applyFont="1" applyBorder="1" applyAlignment="1">
      <alignment horizontal="left"/>
    </xf>
    <xf numFmtId="0" fontId="27" fillId="37" borderId="7" xfId="0" applyFont="1" applyFill="1" applyBorder="1" applyAlignment="1">
      <alignment horizontal="left" vertical="center"/>
    </xf>
    <xf numFmtId="0" fontId="107" fillId="0" borderId="0" xfId="0" applyFont="1" applyFill="1" applyAlignment="1">
      <alignment horizontal="right"/>
    </xf>
    <xf numFmtId="0" fontId="100" fillId="0" borderId="1" xfId="0" applyFont="1" applyFill="1" applyBorder="1" applyAlignment="1">
      <alignment horizontal="center"/>
    </xf>
    <xf numFmtId="169" fontId="101" fillId="2" borderId="6" xfId="0" applyNumberFormat="1" applyFont="1" applyFill="1" applyBorder="1" applyAlignment="1">
      <alignment horizontal="right"/>
    </xf>
    <xf numFmtId="169" fontId="101" fillId="2" borderId="3" xfId="0" applyNumberFormat="1" applyFont="1" applyFill="1" applyBorder="1" applyAlignment="1">
      <alignment horizontal="right"/>
    </xf>
    <xf numFmtId="0" fontId="134" fillId="10" borderId="6" xfId="0" applyFont="1" applyFill="1" applyBorder="1" applyAlignment="1">
      <alignment horizontal="right"/>
    </xf>
    <xf numFmtId="0" fontId="134" fillId="10" borderId="4" xfId="0" applyFont="1" applyFill="1" applyBorder="1" applyAlignment="1">
      <alignment horizontal="right"/>
    </xf>
    <xf numFmtId="0" fontId="134" fillId="10" borderId="3" xfId="0" applyFont="1" applyFill="1" applyBorder="1" applyAlignment="1">
      <alignment horizontal="right"/>
    </xf>
    <xf numFmtId="184" fontId="5" fillId="0" borderId="0" xfId="0" applyNumberFormat="1" applyFont="1" applyBorder="1" applyAlignment="1">
      <alignment horizontal="center"/>
    </xf>
    <xf numFmtId="177" fontId="103" fillId="5" borderId="0" xfId="0" applyNumberFormat="1" applyFont="1" applyFill="1" applyAlignment="1">
      <alignment horizontal="center"/>
    </xf>
    <xf numFmtId="0" fontId="27" fillId="4" borderId="0" xfId="0" applyFont="1" applyFill="1" applyAlignment="1">
      <alignment horizontal="left"/>
    </xf>
    <xf numFmtId="0" fontId="41" fillId="0" borderId="7" xfId="0" applyFont="1" applyFill="1" applyBorder="1" applyAlignment="1">
      <alignment horizontal="center"/>
    </xf>
    <xf numFmtId="0" fontId="17" fillId="4" borderId="0" xfId="0" applyFont="1" applyFill="1" applyAlignment="1">
      <alignment horizontal="left"/>
    </xf>
    <xf numFmtId="0" fontId="76" fillId="0" borderId="0" xfId="0" applyFont="1" applyBorder="1" applyAlignment="1">
      <alignment horizontal="center"/>
    </xf>
  </cellXfs>
  <cellStyles count="20">
    <cellStyle name="Comma" xfId="1" builtinId="3"/>
    <cellStyle name="Comma 2" xfId="16" xr:uid="{00000000-0005-0000-0000-00003B000000}"/>
    <cellStyle name="Currency" xfId="12" builtinId="4"/>
    <cellStyle name="Currency 2" xfId="18" xr:uid="{00000000-0005-0000-0000-00003C000000}"/>
    <cellStyle name="Dollar" xfId="9" xr:uid="{00000000-0005-0000-0000-000002000000}"/>
    <cellStyle name="Good" xfId="15" builtinId="26"/>
    <cellStyle name="Hyperlink" xfId="19" builtinId="8"/>
    <cellStyle name="mmm" xfId="4" xr:uid="{00000000-0005-0000-0000-000003000000}"/>
    <cellStyle name="Multiple" xfId="10" xr:uid="{00000000-0005-0000-0000-000004000000}"/>
    <cellStyle name="Normal" xfId="0" builtinId="0"/>
    <cellStyle name="Normal 2" xfId="3" xr:uid="{00000000-0005-0000-0000-000006000000}"/>
    <cellStyle name="Normal 2 2" xfId="17" xr:uid="{00000000-0005-0000-0000-000006000000}"/>
    <cellStyle name="Normal 3" xfId="13" xr:uid="{00000000-0005-0000-0000-000007000000}"/>
    <cellStyle name="Percent" xfId="2" builtinId="5"/>
    <cellStyle name="Percent 2" xfId="14" xr:uid="{8EC0F756-AFBC-486D-A110-37ABD0813DAC}"/>
    <cellStyle name="Plain2Decimals" xfId="11" xr:uid="{00000000-0005-0000-0000-000009000000}"/>
    <cellStyle name="PlainDollar" xfId="5" xr:uid="{00000000-0005-0000-0000-00000A000000}"/>
    <cellStyle name="PlainDollarBoldwBorders" xfId="7" xr:uid="{00000000-0005-0000-0000-00000B000000}"/>
    <cellStyle name="PlainDollardBLUndLine" xfId="8" xr:uid="{00000000-0005-0000-0000-00000C000000}"/>
    <cellStyle name="PlainDollarUndLine" xfId="6" xr:uid="{00000000-0005-0000-0000-00000D000000}"/>
  </cellStyles>
  <dxfs count="0"/>
  <tableStyles count="0" defaultTableStyle="TableStyleMedium2" defaultPivotStyle="PivotStyleLight16"/>
  <colors>
    <mruColors>
      <color rgb="FFFF6699"/>
      <color rgb="FFFFCF37"/>
      <color rgb="FFFFCD2F"/>
      <color rgb="FF3E6EA8"/>
      <color rgb="FF0067B4"/>
      <color rgb="FF00487E"/>
      <color rgb="FF0065B0"/>
      <color rgb="FF005A9E"/>
      <color rgb="FF3366CC"/>
      <color rgb="FF4F81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802862013830467"/>
          <c:y val="0.19971008106018423"/>
          <c:w val="0.8271837501977235"/>
          <c:h val="0.67738145099627001"/>
        </c:manualLayout>
      </c:layout>
      <c:areaChart>
        <c:grouping val="stacked"/>
        <c:varyColors val="0"/>
        <c:ser>
          <c:idx val="1"/>
          <c:order val="1"/>
          <c:spPr>
            <a:solidFill>
              <a:schemeClr val="bg1"/>
            </a:solidFill>
            <a:ln w="9525" cap="flat" cmpd="sng" algn="ctr">
              <a:solidFill>
                <a:schemeClr val="tx1"/>
              </a:solidFill>
              <a:round/>
            </a:ln>
            <a:effectLst>
              <a:outerShdw blurRad="40000" dist="20000" dir="5400000" rotWithShape="0">
                <a:srgbClr val="000000">
                  <a:alpha val="38000"/>
                </a:srgbClr>
              </a:outerShdw>
            </a:effectLst>
          </c:spPr>
          <c:val>
            <c:numRef>
              <c:f>'15b-Charts Comp'!$D$92:$I$92</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CA9-4BAE-8FC8-D0FC80ED9AA8}"/>
            </c:ext>
          </c:extLst>
        </c:ser>
        <c:dLbls>
          <c:showLegendKey val="0"/>
          <c:showVal val="0"/>
          <c:showCatName val="0"/>
          <c:showSerName val="0"/>
          <c:showPercent val="0"/>
          <c:showBubbleSize val="0"/>
        </c:dLbls>
        <c:axId val="387771160"/>
        <c:axId val="387772144"/>
      </c:areaChart>
      <c:barChart>
        <c:barDir val="col"/>
        <c:grouping val="clustered"/>
        <c:varyColors val="0"/>
        <c:ser>
          <c:idx val="0"/>
          <c:order val="0"/>
          <c:spPr>
            <a:solidFill>
              <a:srgbClr val="FF0000"/>
            </a:solidFill>
            <a:ln w="25400" cap="flat" cmpd="sng" algn="ctr">
              <a:solidFill>
                <a:srgbClr val="0065B0"/>
              </a:solidFill>
              <a:round/>
            </a:ln>
            <a:effectLst>
              <a:outerShdw blurRad="40000" dist="20000" dir="5400000" rotWithShape="0">
                <a:srgbClr val="000000">
                  <a:alpha val="38000"/>
                </a:srgbClr>
              </a:outerShdw>
            </a:effectLst>
          </c:spPr>
          <c:invertIfNegative val="0"/>
          <c:cat>
            <c:numRef>
              <c:f>'15b-Charts Comp'!$D$90:$I$90</c:f>
              <c:numCache>
                <c:formatCode>General</c:formatCode>
                <c:ptCount val="6"/>
                <c:pt idx="0">
                  <c:v>2013</c:v>
                </c:pt>
                <c:pt idx="1">
                  <c:v>2014</c:v>
                </c:pt>
                <c:pt idx="2">
                  <c:v>2015</c:v>
                </c:pt>
                <c:pt idx="3">
                  <c:v>2016</c:v>
                </c:pt>
                <c:pt idx="4">
                  <c:v>2017</c:v>
                </c:pt>
                <c:pt idx="5">
                  <c:v>2018</c:v>
                </c:pt>
              </c:numCache>
            </c:numRef>
          </c:cat>
          <c:val>
            <c:numRef>
              <c:f>'15b-Charts Comp'!$D$93:$I$93</c:f>
              <c:numCache>
                <c:formatCode>0.0%</c:formatCode>
                <c:ptCount val="6"/>
                <c:pt idx="0">
                  <c:v>0</c:v>
                </c:pt>
                <c:pt idx="1">
                  <c:v>0.189</c:v>
                </c:pt>
                <c:pt idx="2">
                  <c:v>0.188</c:v>
                </c:pt>
                <c:pt idx="3">
                  <c:v>0.20899999999999999</c:v>
                </c:pt>
                <c:pt idx="4">
                  <c:v>0.2</c:v>
                </c:pt>
                <c:pt idx="5">
                  <c:v>0.16800000000000001</c:v>
                </c:pt>
              </c:numCache>
            </c:numRef>
          </c:val>
          <c:extLst>
            <c:ext xmlns:c16="http://schemas.microsoft.com/office/drawing/2014/chart" uri="{C3380CC4-5D6E-409C-BE32-E72D297353CC}">
              <c16:uniqueId val="{00000000-CEFB-42BB-85B9-D8B96C37BF96}"/>
            </c:ext>
          </c:extLst>
        </c:ser>
        <c:ser>
          <c:idx val="2"/>
          <c:order val="2"/>
          <c:spPr>
            <a:solidFill>
              <a:srgbClr val="FFFF00"/>
            </a:solidFill>
            <a:ln w="9525" cap="flat" cmpd="sng" algn="ctr">
              <a:solidFill>
                <a:srgbClr val="005A9E"/>
              </a:solidFill>
              <a:round/>
            </a:ln>
            <a:effectLst>
              <a:outerShdw blurRad="40000" dist="20000" dir="5400000" rotWithShape="0">
                <a:srgbClr val="000000">
                  <a:alpha val="38000"/>
                </a:srgbClr>
              </a:outerShdw>
            </a:effectLst>
          </c:spPr>
          <c:invertIfNegative val="0"/>
          <c:cat>
            <c:numRef>
              <c:f>'15b-Charts Comp'!$D$90:$I$90</c:f>
              <c:numCache>
                <c:formatCode>General</c:formatCode>
                <c:ptCount val="6"/>
                <c:pt idx="0">
                  <c:v>2013</c:v>
                </c:pt>
                <c:pt idx="1">
                  <c:v>2014</c:v>
                </c:pt>
                <c:pt idx="2">
                  <c:v>2015</c:v>
                </c:pt>
                <c:pt idx="3">
                  <c:v>2016</c:v>
                </c:pt>
                <c:pt idx="4">
                  <c:v>2017</c:v>
                </c:pt>
                <c:pt idx="5">
                  <c:v>2018</c:v>
                </c:pt>
              </c:numCache>
            </c:numRef>
          </c:cat>
          <c:val>
            <c:numRef>
              <c:f>'15b-Charts Comp'!$D$91:$I$91</c:f>
              <c:numCache>
                <c:formatCode>0.0%</c:formatCode>
                <c:ptCount val="6"/>
                <c:pt idx="0">
                  <c:v>0.188</c:v>
                </c:pt>
                <c:pt idx="1">
                  <c:v>0.18</c:v>
                </c:pt>
                <c:pt idx="2">
                  <c:v>5.7000000000000002E-2</c:v>
                </c:pt>
                <c:pt idx="3">
                  <c:v>0.17199999999999999</c:v>
                </c:pt>
                <c:pt idx="4">
                  <c:v>0.27</c:v>
                </c:pt>
                <c:pt idx="5">
                  <c:v>0.20899999999999999</c:v>
                </c:pt>
              </c:numCache>
            </c:numRef>
          </c:val>
          <c:extLst>
            <c:ext xmlns:c16="http://schemas.microsoft.com/office/drawing/2014/chart" uri="{C3380CC4-5D6E-409C-BE32-E72D297353CC}">
              <c16:uniqueId val="{00000000-3AF8-432A-BB50-FB48FA5248C8}"/>
            </c:ext>
          </c:extLst>
        </c:ser>
        <c:dLbls>
          <c:showLegendKey val="0"/>
          <c:showVal val="0"/>
          <c:showCatName val="0"/>
          <c:showSerName val="0"/>
          <c:showPercent val="0"/>
          <c:showBubbleSize val="0"/>
        </c:dLbls>
        <c:gapWidth val="150"/>
        <c:axId val="387771160"/>
        <c:axId val="387772144"/>
      </c:barChart>
      <c:catAx>
        <c:axId val="3877711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2144"/>
        <c:crosses val="autoZero"/>
        <c:auto val="1"/>
        <c:lblAlgn val="ctr"/>
        <c:lblOffset val="100"/>
        <c:noMultiLvlLbl val="0"/>
      </c:catAx>
      <c:valAx>
        <c:axId val="387772144"/>
        <c:scaling>
          <c:orientation val="minMax"/>
        </c:scaling>
        <c:delete val="0"/>
        <c:axPos val="l"/>
        <c:majorGridlines>
          <c:spPr>
            <a:ln w="3175">
              <a:solidFill>
                <a:schemeClr val="bg1"/>
              </a:solidFill>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1160"/>
        <c:crosses val="autoZero"/>
        <c:crossBetween val="between"/>
      </c:valAx>
      <c:spPr>
        <a:solidFill>
          <a:schemeClr val="bg1">
            <a:lumMod val="75000"/>
            <a:alpha val="90000"/>
          </a:schemeClr>
        </a:solidFill>
        <a:ln w="3175">
          <a:noFill/>
        </a:ln>
        <a:effectLst/>
      </c:spPr>
    </c:plotArea>
    <c:plotVisOnly val="1"/>
    <c:dispBlanksAs val="gap"/>
    <c:showDLblsOverMax val="0"/>
  </c:chart>
  <c:spPr>
    <a:solidFill>
      <a:schemeClr val="bg1">
        <a:lumMod val="75000"/>
      </a:schemeClr>
    </a:solidFill>
    <a:ln w="9525" cap="flat" cmpd="sng" algn="ctr">
      <a:no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523709585083701"/>
          <c:y val="8.8259303404687656E-2"/>
          <c:w val="0.80579514576214017"/>
          <c:h val="0.74864555798436849"/>
        </c:manualLayout>
      </c:layout>
      <c:barChart>
        <c:barDir val="col"/>
        <c:grouping val="clustered"/>
        <c:varyColors val="0"/>
        <c:ser>
          <c:idx val="0"/>
          <c:order val="0"/>
          <c:tx>
            <c:strRef>
              <c:f>'15b-Charts Comp'!$B$32:$C$32</c:f>
              <c:strCache>
                <c:ptCount val="2"/>
                <c:pt idx="0">
                  <c:v>The Warehouse</c:v>
                </c:pt>
              </c:strCache>
            </c:strRef>
          </c:tx>
          <c:spPr>
            <a:solidFill>
              <a:srgbClr val="FF0000"/>
            </a:solidFill>
            <a:ln>
              <a:noFill/>
            </a:ln>
            <a:effectLst/>
          </c:spPr>
          <c:invertIfNegative val="0"/>
          <c:trendline>
            <c:spPr>
              <a:ln w="19050" cap="rnd">
                <a:solidFill>
                  <a:schemeClr val="accent2"/>
                </a:solidFill>
                <a:prstDash val="sysDot"/>
              </a:ln>
              <a:effectLst/>
            </c:spPr>
            <c:trendlineType val="linear"/>
            <c:dispRSqr val="0"/>
            <c:dispEq val="0"/>
          </c:trendline>
          <c:val>
            <c:numRef>
              <c:f>'15b-Charts Comp'!$D$32:$M$32</c:f>
            </c:numRef>
          </c:val>
          <c:extLst>
            <c:ext xmlns:c15="http://schemas.microsoft.com/office/drawing/2012/chart" uri="{02D57815-91ED-43cb-92C2-25804820EDAC}">
              <c15:filteredCategoryTitle>
                <c15:cat>
                  <c:multiLvlStrRef>
                    <c:extLst>
                      <c:ext uri="{02D57815-91ED-43cb-92C2-25804820EDAC}">
                        <c15:formulaRef>
                          <c15:sqref>'15b-Charts Comp'!$D$31:$M$31</c15:sqref>
                        </c15:formulaRef>
                      </c:ext>
                    </c:extLst>
                  </c:multiLvlStrRef>
                </c15:cat>
              </c15:filteredCategoryTitle>
            </c:ext>
            <c:ext xmlns:c16="http://schemas.microsoft.com/office/drawing/2014/chart" uri="{C3380CC4-5D6E-409C-BE32-E72D297353CC}">
              <c16:uniqueId val="{00000000-D3CA-4EA8-B09F-0CB0312CC6E8}"/>
            </c:ext>
          </c:extLst>
        </c:ser>
        <c:ser>
          <c:idx val="1"/>
          <c:order val="1"/>
          <c:tx>
            <c:strRef>
              <c:f>'15b-Charts Comp'!$B$33:$C$33</c:f>
              <c:strCache>
                <c:ptCount val="2"/>
                <c:pt idx="0">
                  <c:v>Briscoe</c:v>
                </c:pt>
                <c:pt idx="1">
                  <c:v>$m</c:v>
                </c:pt>
              </c:strCache>
            </c:strRef>
          </c:tx>
          <c:spPr>
            <a:solidFill>
              <a:srgbClr val="0070C0"/>
            </a:solidFill>
            <a:ln>
              <a:noFill/>
            </a:ln>
            <a:effectLst/>
          </c:spPr>
          <c:invertIfNegative val="0"/>
          <c:trendline>
            <c:spPr>
              <a:ln w="19050" cap="rnd">
                <a:solidFill>
                  <a:schemeClr val="accent4"/>
                </a:solidFill>
                <a:prstDash val="sysDot"/>
              </a:ln>
              <a:effectLst/>
            </c:spPr>
            <c:trendlineType val="linear"/>
            <c:dispRSqr val="0"/>
            <c:dispEq val="0"/>
          </c:trendline>
          <c:val>
            <c:numRef>
              <c:f>'15b-Charts Comp'!$D$33:$M$33</c:f>
            </c:numRef>
          </c:val>
          <c:extLst>
            <c:ext xmlns:c15="http://schemas.microsoft.com/office/drawing/2012/chart" uri="{02D57815-91ED-43cb-92C2-25804820EDAC}">
              <c15:filteredCategoryTitle>
                <c15:cat>
                  <c:multiLvlStrRef>
                    <c:extLst>
                      <c:ext uri="{02D57815-91ED-43cb-92C2-25804820EDAC}">
                        <c15:formulaRef>
                          <c15:sqref>'15b-Charts Comp'!$D$31:$M$31</c15:sqref>
                        </c15:formulaRef>
                      </c:ext>
                    </c:extLst>
                  </c:multiLvlStrRef>
                </c15:cat>
              </c15:filteredCategoryTitle>
            </c:ext>
            <c:ext xmlns:c16="http://schemas.microsoft.com/office/drawing/2014/chart" uri="{C3380CC4-5D6E-409C-BE32-E72D297353CC}">
              <c16:uniqueId val="{00000001-D3CA-4EA8-B09F-0CB0312CC6E8}"/>
            </c:ext>
          </c:extLst>
        </c:ser>
        <c:dLbls>
          <c:showLegendKey val="0"/>
          <c:showVal val="0"/>
          <c:showCatName val="0"/>
          <c:showSerName val="0"/>
          <c:showPercent val="0"/>
          <c:showBubbleSize val="0"/>
        </c:dLbls>
        <c:gapWidth val="10"/>
        <c:overlap val="-27"/>
        <c:axId val="678909840"/>
        <c:axId val="678903936"/>
      </c:barChart>
      <c:catAx>
        <c:axId val="678909840"/>
        <c:scaling>
          <c:orientation val="minMax"/>
        </c:scaling>
        <c:delete val="0"/>
        <c:axPos val="b"/>
        <c:numFmt formatCode="General" sourceLinked="1"/>
        <c:majorTickMark val="out"/>
        <c:minorTickMark val="none"/>
        <c:tickLblPos val="low"/>
        <c:spPr>
          <a:noFill/>
          <a:ln w="12700" cap="flat" cmpd="sng" algn="ctr">
            <a:solidFill>
              <a:srgbClr val="000000"/>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78903936"/>
        <c:crosses val="autoZero"/>
        <c:auto val="1"/>
        <c:lblAlgn val="ctr"/>
        <c:lblOffset val="100"/>
        <c:noMultiLvlLbl val="1"/>
      </c:catAx>
      <c:valAx>
        <c:axId val="678903936"/>
        <c:scaling>
          <c:orientation val="minMax"/>
        </c:scaling>
        <c:delete val="0"/>
        <c:axPos val="l"/>
        <c:majorGridlines>
          <c:spPr>
            <a:ln w="3175" cap="flat" cmpd="sng" algn="ctr">
              <a:solidFill>
                <a:sysClr val="window" lastClr="FFFFFF"/>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78909840"/>
        <c:crosses val="autoZero"/>
        <c:crossBetween val="between"/>
      </c:valAx>
      <c:spPr>
        <a:solidFill>
          <a:srgbClr val="4F81BD">
            <a:lumMod val="40000"/>
            <a:lumOff val="60000"/>
          </a:srgbClr>
        </a:solidFill>
        <a:ln>
          <a:noFill/>
        </a:ln>
        <a:effectLst/>
      </c:spPr>
    </c:plotArea>
    <c:plotVisOnly val="1"/>
    <c:dispBlanksAs val="gap"/>
    <c:showDLblsOverMax val="0"/>
  </c:chart>
  <c:spPr>
    <a:solidFill>
      <a:srgbClr val="4F81BD">
        <a:lumMod val="40000"/>
        <a:lumOff val="60000"/>
      </a:srgbClr>
    </a:solidFill>
    <a:ln w="1587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49146854251252"/>
          <c:y val="0.19970993436264664"/>
          <c:w val="0.81460596070890112"/>
          <c:h val="0.67738145099627001"/>
        </c:manualLayout>
      </c:layout>
      <c:lineChart>
        <c:grouping val="standard"/>
        <c:varyColors val="0"/>
        <c:ser>
          <c:idx val="0"/>
          <c:order val="0"/>
          <c:tx>
            <c:strRef>
              <c:f>'15b-Charts Comp'!$B$122:$C$122</c:f>
              <c:strCache>
                <c:ptCount val="2"/>
                <c:pt idx="0">
                  <c:v>EVA Spread</c:v>
                </c:pt>
              </c:strCache>
            </c:strRef>
          </c:tx>
          <c:spPr>
            <a:ln w="25400" cap="rnd" cmpd="sng" algn="ctr">
              <a:solidFill>
                <a:srgbClr val="1F497D">
                  <a:lumMod val="75000"/>
                </a:srgbClr>
              </a:solidFill>
              <a:round/>
            </a:ln>
            <a:effectLst/>
          </c:spPr>
          <c:marker>
            <c:symbol val="none"/>
          </c:marker>
          <c:dLbls>
            <c:delete val="1"/>
          </c:dLbls>
          <c:val>
            <c:numRef>
              <c:f>'15b-Charts Comp'!$D$122:$M$122</c:f>
            </c:numRef>
          </c:val>
          <c:smooth val="1"/>
          <c:extLst>
            <c:ext xmlns:c15="http://schemas.microsoft.com/office/drawing/2012/chart" uri="{02D57815-91ED-43cb-92C2-25804820EDAC}">
              <c15:filteredCategoryTitle>
                <c15:cat>
                  <c:multiLvlStrRef>
                    <c:extLst>
                      <c:ext uri="{02D57815-91ED-43cb-92C2-25804820EDAC}">
                        <c15:formulaRef>
                          <c15:sqref>'15b-Charts Comp'!$D$121:$M$121</c15:sqref>
                        </c15:formulaRef>
                      </c:ext>
                    </c:extLst>
                  </c:multiLvlStrRef>
                </c15:cat>
              </c15:filteredCategoryTitle>
            </c:ext>
            <c:ext xmlns:c16="http://schemas.microsoft.com/office/drawing/2014/chart" uri="{C3380CC4-5D6E-409C-BE32-E72D297353CC}">
              <c16:uniqueId val="{00000000-CEFB-42BB-85B9-D8B96C37BF96}"/>
            </c:ext>
          </c:extLst>
        </c:ser>
        <c:ser>
          <c:idx val="1"/>
          <c:order val="1"/>
          <c:tx>
            <c:strRef>
              <c:f>'15b-Charts Comp'!$B$123:$C$123</c:f>
              <c:strCache>
                <c:ptCount val="2"/>
                <c:pt idx="0">
                  <c:v>EVA Spread</c:v>
                </c:pt>
              </c:strCache>
            </c:strRef>
          </c:tx>
          <c:spPr>
            <a:ln w="25400" cap="rnd" cmpd="sng" algn="ctr">
              <a:solidFill>
                <a:schemeClr val="tx1"/>
              </a:solidFill>
              <a:round/>
            </a:ln>
            <a:effectLst/>
          </c:spPr>
          <c:marker>
            <c:symbol val="none"/>
          </c:marker>
          <c:dLbls>
            <c:delete val="1"/>
          </c:dLbls>
          <c:val>
            <c:numRef>
              <c:f>'15b-Charts Comp'!$D$123:$M$123</c:f>
            </c:numRef>
          </c:val>
          <c:smooth val="1"/>
          <c:extLst>
            <c:ext xmlns:c15="http://schemas.microsoft.com/office/drawing/2012/chart" uri="{02D57815-91ED-43cb-92C2-25804820EDAC}">
              <c15:filteredCategoryTitle>
                <c15:cat>
                  <c:multiLvlStrRef>
                    <c:extLst>
                      <c:ext uri="{02D57815-91ED-43cb-92C2-25804820EDAC}">
                        <c15:formulaRef>
                          <c15:sqref>'15b-Charts Comp'!$D$121:$M$121</c15:sqref>
                        </c15:formulaRef>
                      </c:ext>
                    </c:extLst>
                  </c:multiLvlStrRef>
                </c15:cat>
              </c15:filteredCategoryTitle>
            </c:ext>
            <c:ext xmlns:c16="http://schemas.microsoft.com/office/drawing/2014/chart" uri="{C3380CC4-5D6E-409C-BE32-E72D297353CC}">
              <c16:uniqueId val="{00000001-CEFB-42BB-85B9-D8B96C37BF96}"/>
            </c:ext>
          </c:extLst>
        </c:ser>
        <c:dLbls>
          <c:dLblPos val="ctr"/>
          <c:showLegendKey val="0"/>
          <c:showVal val="1"/>
          <c:showCatName val="0"/>
          <c:showSerName val="0"/>
          <c:showPercent val="0"/>
          <c:showBubbleSize val="0"/>
        </c:dLbls>
        <c:marker val="1"/>
        <c:smooth val="0"/>
        <c:axId val="387771160"/>
        <c:axId val="387772144"/>
        <c:extLst/>
      </c:lineChart>
      <c:catAx>
        <c:axId val="387771160"/>
        <c:scaling>
          <c:orientation val="minMax"/>
        </c:scaling>
        <c:delete val="0"/>
        <c:axPos val="b"/>
        <c:numFmt formatCode="General" sourceLinked="1"/>
        <c:majorTickMark val="out"/>
        <c:minorTickMark val="none"/>
        <c:tickLblPos val="low"/>
        <c:spPr>
          <a:solidFill>
            <a:sysClr val="window" lastClr="FFFFFF">
              <a:lumMod val="75000"/>
            </a:sysClr>
          </a:solidFill>
          <a:ln w="9525"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2144"/>
        <c:crosses val="autoZero"/>
        <c:auto val="1"/>
        <c:lblAlgn val="ctr"/>
        <c:lblOffset val="100"/>
        <c:noMultiLvlLbl val="0"/>
      </c:catAx>
      <c:valAx>
        <c:axId val="387772144"/>
        <c:scaling>
          <c:orientation val="minMax"/>
        </c:scaling>
        <c:delete val="0"/>
        <c:axPos val="l"/>
        <c:majorGridlines>
          <c:spPr>
            <a:ln w="3175">
              <a:solidFill>
                <a:sysClr val="window" lastClr="FFFFFF"/>
              </a:solidFill>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1160"/>
        <c:crosses val="autoZero"/>
        <c:crossBetween val="between"/>
      </c:valAx>
      <c:spPr>
        <a:solidFill>
          <a:sysClr val="window" lastClr="FFFFFF">
            <a:lumMod val="75000"/>
          </a:sysClr>
        </a:solidFill>
        <a:ln w="6350">
          <a:solidFill>
            <a:sysClr val="window" lastClr="FFFFFF">
              <a:lumMod val="75000"/>
              <a:alpha val="90000"/>
            </a:sysClr>
          </a:solidFill>
        </a:ln>
        <a:effectLst/>
      </c:spPr>
    </c:plotArea>
    <c:plotVisOnly val="1"/>
    <c:dispBlanksAs val="gap"/>
    <c:showDLblsOverMax val="0"/>
  </c:chart>
  <c:spPr>
    <a:solidFill>
      <a:sysClr val="window" lastClr="FFFFFF">
        <a:lumMod val="75000"/>
      </a:sysClr>
    </a:solidFill>
    <a:ln w="9525" cap="flat" cmpd="sng" algn="ctr">
      <a:no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E60019"/>
            </a:solidFill>
            <a:ln>
              <a:noFill/>
            </a:ln>
            <a:effectLst/>
          </c:spPr>
          <c:invertIfNegative val="0"/>
          <c:dPt>
            <c:idx val="5"/>
            <c:invertIfNegative val="0"/>
            <c:bubble3D val="0"/>
            <c:spPr>
              <a:solidFill>
                <a:srgbClr val="FFC000"/>
              </a:solidFill>
              <a:ln>
                <a:noFill/>
              </a:ln>
              <a:effectLst/>
            </c:spPr>
            <c:extLst>
              <c:ext xmlns:c16="http://schemas.microsoft.com/office/drawing/2014/chart" uri="{C3380CC4-5D6E-409C-BE32-E72D297353CC}">
                <c16:uniqueId val="{00000005-4E2A-4989-A1AD-FDC08616DCB9}"/>
              </c:ext>
            </c:extLst>
          </c:dPt>
          <c:dPt>
            <c:idx val="6"/>
            <c:invertIfNegative val="0"/>
            <c:bubble3D val="0"/>
            <c:spPr>
              <a:solidFill>
                <a:srgbClr val="E60019"/>
              </a:solidFill>
              <a:ln>
                <a:noFill/>
              </a:ln>
              <a:effectLst/>
            </c:spPr>
            <c:extLst>
              <c:ext xmlns:c16="http://schemas.microsoft.com/office/drawing/2014/chart" uri="{C3380CC4-5D6E-409C-BE32-E72D297353CC}">
                <c16:uniqueId val="{0000000C-4E2A-4989-A1AD-FDC08616DCB9}"/>
              </c:ext>
            </c:extLst>
          </c:dPt>
          <c:dPt>
            <c:idx val="9"/>
            <c:invertIfNegative val="0"/>
            <c:bubble3D val="0"/>
            <c:spPr>
              <a:solidFill>
                <a:srgbClr val="FFFF00"/>
              </a:solidFill>
              <a:ln>
                <a:noFill/>
              </a:ln>
              <a:effectLst/>
            </c:spPr>
            <c:extLst>
              <c:ext xmlns:c16="http://schemas.microsoft.com/office/drawing/2014/chart" uri="{C3380CC4-5D6E-409C-BE32-E72D297353CC}">
                <c16:uniqueId val="{0000000D-1EF8-42AA-9EAA-C6E977C795E9}"/>
              </c:ext>
            </c:extLst>
          </c:dPt>
          <c:trendline>
            <c:spPr>
              <a:ln w="19050" cap="rnd">
                <a:solidFill>
                  <a:schemeClr val="accent1"/>
                </a:solidFill>
                <a:prstDash val="dash"/>
              </a:ln>
              <a:effectLst/>
            </c:spPr>
            <c:trendlineType val="linear"/>
            <c:dispRSqr val="0"/>
            <c:dispEq val="0"/>
          </c:trendline>
          <c:cat>
            <c:numRef>
              <c:f>'15b-Charts Comp'!$D$219:$M$219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Comp'!$D$220:$M$220</c:f>
              <c:numCache>
                <c:formatCode>_-* #,##0_-;\-* #,##0_-;_-* "-"??_-;_-@_-</c:formatCode>
                <c:ptCount val="10"/>
                <c:pt idx="0">
                  <c:v>5.5110000000000001</c:v>
                </c:pt>
                <c:pt idx="1">
                  <c:v>6.5949999999999998</c:v>
                </c:pt>
                <c:pt idx="2">
                  <c:v>16.463000000000001</c:v>
                </c:pt>
                <c:pt idx="3">
                  <c:v>22.283999999999999</c:v>
                </c:pt>
                <c:pt idx="4">
                  <c:v>11.1</c:v>
                </c:pt>
                <c:pt idx="5">
                  <c:v>13.3</c:v>
                </c:pt>
                <c:pt idx="6">
                  <c:v>0</c:v>
                </c:pt>
                <c:pt idx="7">
                  <c:v>0</c:v>
                </c:pt>
                <c:pt idx="8">
                  <c:v>0</c:v>
                </c:pt>
                <c:pt idx="9">
                  <c:v>0</c:v>
                </c:pt>
              </c:numCache>
            </c:numRef>
          </c:val>
          <c:extLst>
            <c:ext xmlns:c16="http://schemas.microsoft.com/office/drawing/2014/chart" uri="{C3380CC4-5D6E-409C-BE32-E72D297353CC}">
              <c16:uniqueId val="{00000000-EE2A-4B1A-BE0A-7FBBCE6B43BD}"/>
            </c:ext>
          </c:extLst>
        </c:ser>
        <c:dLbls>
          <c:showLegendKey val="0"/>
          <c:showVal val="0"/>
          <c:showCatName val="0"/>
          <c:showSerName val="0"/>
          <c:showPercent val="0"/>
          <c:showBubbleSize val="0"/>
        </c:dLbls>
        <c:gapWidth val="30"/>
        <c:overlap val="-27"/>
        <c:axId val="281694208"/>
        <c:axId val="281701096"/>
      </c:barChart>
      <c:lineChart>
        <c:grouping val="standard"/>
        <c:varyColors val="0"/>
        <c:ser>
          <c:idx val="1"/>
          <c:order val="1"/>
          <c:spPr>
            <a:ln w="28575" cap="rnd">
              <a:solidFill>
                <a:schemeClr val="tx1"/>
              </a:solidFill>
              <a:round/>
            </a:ln>
            <a:effectLst/>
          </c:spPr>
          <c:marker>
            <c:symbol val="none"/>
          </c:marker>
          <c:trendline>
            <c:spPr>
              <a:ln w="19050" cap="rnd">
                <a:solidFill>
                  <a:schemeClr val="accent2"/>
                </a:solidFill>
                <a:prstDash val="dash"/>
              </a:ln>
              <a:effectLst/>
            </c:spPr>
            <c:trendlineType val="linear"/>
            <c:dispRSqr val="0"/>
            <c:dispEq val="0"/>
          </c:trendline>
          <c:cat>
            <c:numRef>
              <c:f>'15b-Charts Comp'!$D$219:$M$219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Comp'!$D$221:$M$221</c:f>
              <c:numCache>
                <c:formatCode>0.0%</c:formatCode>
                <c:ptCount val="10"/>
                <c:pt idx="0" formatCode="0.00%">
                  <c:v>-1.4999999999999999E-2</c:v>
                </c:pt>
                <c:pt idx="1">
                  <c:v>0.19669751406278335</c:v>
                </c:pt>
                <c:pt idx="2">
                  <c:v>1.4962850644427599</c:v>
                </c:pt>
                <c:pt idx="3">
                  <c:v>0.35358075684869084</c:v>
                </c:pt>
                <c:pt idx="4">
                  <c:v>-0.50188476036618201</c:v>
                </c:pt>
                <c:pt idx="5">
                  <c:v>0.19819819819819839</c:v>
                </c:pt>
                <c:pt idx="6">
                  <c:v>0</c:v>
                </c:pt>
                <c:pt idx="7">
                  <c:v>0</c:v>
                </c:pt>
                <c:pt idx="8">
                  <c:v>0</c:v>
                </c:pt>
                <c:pt idx="9" formatCode="General">
                  <c:v>0</c:v>
                </c:pt>
              </c:numCache>
            </c:numRef>
          </c:val>
          <c:smooth val="1"/>
          <c:extLst>
            <c:ext xmlns:c16="http://schemas.microsoft.com/office/drawing/2014/chart" uri="{C3380CC4-5D6E-409C-BE32-E72D297353CC}">
              <c16:uniqueId val="{00000001-EE2A-4B1A-BE0A-7FBBCE6B43BD}"/>
            </c:ext>
          </c:extLst>
        </c:ser>
        <c:dLbls>
          <c:showLegendKey val="0"/>
          <c:showVal val="0"/>
          <c:showCatName val="0"/>
          <c:showSerName val="0"/>
          <c:showPercent val="0"/>
          <c:showBubbleSize val="0"/>
        </c:dLbls>
        <c:marker val="1"/>
        <c:smooth val="0"/>
        <c:axId val="281705360"/>
        <c:axId val="281706016"/>
      </c:lineChart>
      <c:dateAx>
        <c:axId val="2816942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81701096"/>
        <c:crosses val="autoZero"/>
        <c:auto val="0"/>
        <c:lblOffset val="100"/>
        <c:baseTimeUnit val="days"/>
      </c:dateAx>
      <c:valAx>
        <c:axId val="281701096"/>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solidFill>
                      <a:srgbClr val="FF0000"/>
                    </a:solidFill>
                  </a:rPr>
                  <a:t>Total Sales (bar)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694208"/>
        <c:crosses val="autoZero"/>
        <c:crossBetween val="between"/>
      </c:valAx>
      <c:valAx>
        <c:axId val="28170601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Growth Rate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705360"/>
        <c:crosses val="max"/>
        <c:crossBetween val="between"/>
      </c:valAx>
      <c:dateAx>
        <c:axId val="281705360"/>
        <c:scaling>
          <c:orientation val="minMax"/>
        </c:scaling>
        <c:delete val="1"/>
        <c:axPos val="b"/>
        <c:numFmt formatCode="General" sourceLinked="1"/>
        <c:majorTickMark val="none"/>
        <c:minorTickMark val="none"/>
        <c:tickLblPos val="nextTo"/>
        <c:crossAx val="281706016"/>
        <c:crosses val="autoZero"/>
        <c:auto val="0"/>
        <c:lblOffset val="100"/>
        <c:baseTimeUnit val="days"/>
      </c:dateAx>
      <c:spPr>
        <a:solidFill>
          <a:schemeClr val="bg1">
            <a:lumMod val="75000"/>
          </a:schemeClr>
        </a:solidFill>
        <a:ln>
          <a:noFill/>
        </a:ln>
        <a:effectLst/>
      </c:spPr>
    </c:plotArea>
    <c:plotVisOnly val="1"/>
    <c:dispBlanksAs val="gap"/>
    <c:showDLblsOverMax val="0"/>
  </c:chart>
  <c:spPr>
    <a:solidFill>
      <a:schemeClr val="bg1">
        <a:lumMod val="75000"/>
      </a:schemeClr>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92356077354655"/>
          <c:y val="4.3750577784181927E-2"/>
          <c:w val="0.63603044428041466"/>
          <c:h val="0.74340359725207827"/>
        </c:manualLayout>
      </c:layout>
      <c:barChart>
        <c:barDir val="col"/>
        <c:grouping val="clustered"/>
        <c:varyColors val="0"/>
        <c:ser>
          <c:idx val="0"/>
          <c:order val="0"/>
          <c:spPr>
            <a:solidFill>
              <a:srgbClr val="0070C0"/>
            </a:solidFill>
            <a:ln>
              <a:noFill/>
            </a:ln>
            <a:effectLst/>
          </c:spPr>
          <c:invertIfNegative val="0"/>
          <c:cat>
            <c:numRef>
              <c:f>'15b-Charts Comp'!$D$222:$M$222</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Comp'!$D$223:$M$223</c:f>
              <c:numCache>
                <c:formatCode>_-* #,##0_-;\-* #,##0_-;_-* "-"??_-;_-@_-</c:formatCode>
                <c:ptCount val="10"/>
                <c:pt idx="0">
                  <c:v>0</c:v>
                </c:pt>
                <c:pt idx="1">
                  <c:v>0</c:v>
                </c:pt>
                <c:pt idx="2">
                  <c:v>0</c:v>
                </c:pt>
                <c:pt idx="3">
                  <c:v>0</c:v>
                </c:pt>
                <c:pt idx="4">
                  <c:v>0</c:v>
                </c:pt>
                <c:pt idx="5">
                  <c:v>5.5110000000000001</c:v>
                </c:pt>
                <c:pt idx="6">
                  <c:v>6.5949999999999998</c:v>
                </c:pt>
                <c:pt idx="7">
                  <c:v>16.463000000000001</c:v>
                </c:pt>
                <c:pt idx="8">
                  <c:v>22.283999999999999</c:v>
                </c:pt>
                <c:pt idx="9">
                  <c:v>11.1</c:v>
                </c:pt>
              </c:numCache>
            </c:numRef>
          </c:val>
          <c:extLst>
            <c:ext xmlns:c16="http://schemas.microsoft.com/office/drawing/2014/chart" uri="{C3380CC4-5D6E-409C-BE32-E72D297353CC}">
              <c16:uniqueId val="{00000000-0840-4F08-90CA-20328A03A9EE}"/>
            </c:ext>
          </c:extLst>
        </c:ser>
        <c:dLbls>
          <c:showLegendKey val="0"/>
          <c:showVal val="0"/>
          <c:showCatName val="0"/>
          <c:showSerName val="0"/>
          <c:showPercent val="0"/>
          <c:showBubbleSize val="0"/>
        </c:dLbls>
        <c:gapWidth val="30"/>
        <c:overlap val="-27"/>
        <c:axId val="714233504"/>
        <c:axId val="714234488"/>
      </c:barChart>
      <c:lineChart>
        <c:grouping val="standard"/>
        <c:varyColors val="0"/>
        <c:ser>
          <c:idx val="1"/>
          <c:order val="1"/>
          <c:spPr>
            <a:ln w="28575" cap="rnd">
              <a:solidFill>
                <a:schemeClr val="tx1"/>
              </a:solidFill>
              <a:round/>
            </a:ln>
            <a:effectLst/>
          </c:spPr>
          <c:marker>
            <c:symbol val="none"/>
          </c:marker>
          <c:trendline>
            <c:spPr>
              <a:ln w="25400" cap="rnd">
                <a:solidFill>
                  <a:srgbClr val="FF0000"/>
                </a:solidFill>
                <a:prstDash val="dash"/>
              </a:ln>
              <a:effectLst/>
            </c:spPr>
            <c:trendlineType val="linear"/>
            <c:dispRSqr val="0"/>
            <c:dispEq val="0"/>
          </c:trendline>
          <c:cat>
            <c:numRef>
              <c:f>'15b-Charts Comp'!$D$222:$M$222</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Comp'!$D$224:$M$224</c:f>
              <c:numCache>
                <c:formatCode>0.0%</c:formatCode>
                <c:ptCount val="10"/>
                <c:pt idx="0" formatCode="0.00%">
                  <c:v>9.6000000000000002E-2</c:v>
                </c:pt>
                <c:pt idx="1">
                  <c:v>0</c:v>
                </c:pt>
                <c:pt idx="2">
                  <c:v>0</c:v>
                </c:pt>
                <c:pt idx="3">
                  <c:v>0</c:v>
                </c:pt>
                <c:pt idx="4">
                  <c:v>0</c:v>
                </c:pt>
                <c:pt idx="5">
                  <c:v>0</c:v>
                </c:pt>
                <c:pt idx="6">
                  <c:v>0.19669751406278335</c:v>
                </c:pt>
                <c:pt idx="7">
                  <c:v>1.4962850644427599</c:v>
                </c:pt>
                <c:pt idx="8">
                  <c:v>0.35358075684869084</c:v>
                </c:pt>
                <c:pt idx="9">
                  <c:v>-0.50188476036618201</c:v>
                </c:pt>
              </c:numCache>
            </c:numRef>
          </c:val>
          <c:smooth val="1"/>
          <c:extLst>
            <c:ext xmlns:c16="http://schemas.microsoft.com/office/drawing/2014/chart" uri="{C3380CC4-5D6E-409C-BE32-E72D297353CC}">
              <c16:uniqueId val="{00000001-0840-4F08-90CA-20328A03A9EE}"/>
            </c:ext>
          </c:extLst>
        </c:ser>
        <c:dLbls>
          <c:showLegendKey val="0"/>
          <c:showVal val="0"/>
          <c:showCatName val="0"/>
          <c:showSerName val="0"/>
          <c:showPercent val="0"/>
          <c:showBubbleSize val="0"/>
        </c:dLbls>
        <c:marker val="1"/>
        <c:smooth val="0"/>
        <c:axId val="717534152"/>
        <c:axId val="717533824"/>
      </c:lineChart>
      <c:dateAx>
        <c:axId val="71423350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0"/>
          <a:lstStyle/>
          <a:p>
            <a:pPr>
              <a:defRPr sz="900" b="1" i="0" u="none" strike="noStrike" kern="1200" baseline="0">
                <a:solidFill>
                  <a:schemeClr val="tx1">
                    <a:lumMod val="65000"/>
                    <a:lumOff val="35000"/>
                  </a:schemeClr>
                </a:solidFill>
                <a:latin typeface="+mn-lt"/>
                <a:ea typeface="+mn-ea"/>
                <a:cs typeface="+mn-cs"/>
              </a:defRPr>
            </a:pPr>
            <a:endParaRPr lang="en-US"/>
          </a:p>
        </c:txPr>
        <c:crossAx val="714234488"/>
        <c:crosses val="autoZero"/>
        <c:auto val="0"/>
        <c:lblOffset val="100"/>
        <c:baseTimeUnit val="days"/>
      </c:dateAx>
      <c:valAx>
        <c:axId val="714234488"/>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solidFill>
                      <a:schemeClr val="tx2">
                        <a:lumMod val="75000"/>
                      </a:schemeClr>
                    </a:solidFill>
                  </a:rPr>
                  <a:t>Total Sales (bar)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4233504"/>
        <c:crossesAt val="2008"/>
        <c:crossBetween val="between"/>
      </c:valAx>
      <c:valAx>
        <c:axId val="71753382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Growth Rate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7534152"/>
        <c:crosses val="max"/>
        <c:crossBetween val="between"/>
      </c:valAx>
      <c:dateAx>
        <c:axId val="717534152"/>
        <c:scaling>
          <c:orientation val="minMax"/>
        </c:scaling>
        <c:delete val="1"/>
        <c:axPos val="b"/>
        <c:numFmt formatCode="General" sourceLinked="1"/>
        <c:majorTickMark val="none"/>
        <c:minorTickMark val="none"/>
        <c:tickLblPos val="nextTo"/>
        <c:crossAx val="717533824"/>
        <c:crosses val="autoZero"/>
        <c:auto val="0"/>
        <c:lblOffset val="100"/>
        <c:baseTimeUnit val="days"/>
      </c:dateAx>
      <c:spPr>
        <a:solidFill>
          <a:schemeClr val="bg1">
            <a:lumMod val="75000"/>
          </a:schemeClr>
        </a:solidFill>
        <a:ln>
          <a:noFill/>
        </a:ln>
        <a:effectLst/>
      </c:spPr>
    </c:plotArea>
    <c:plotVisOnly val="1"/>
    <c:dispBlanksAs val="gap"/>
    <c:showDLblsOverMax val="0"/>
  </c:chart>
  <c:spPr>
    <a:solidFill>
      <a:schemeClr val="bg1">
        <a:lumMod val="75000"/>
      </a:schemeClr>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NZ" sz="1200" baseline="0">
                <a:solidFill>
                  <a:sysClr val="windowText" lastClr="000000"/>
                </a:solidFill>
              </a:rPr>
              <a:t>Market Value and Capital</a:t>
            </a:r>
          </a:p>
          <a:p>
            <a:pPr>
              <a:defRPr sz="1200"/>
            </a:pPr>
            <a:r>
              <a:rPr lang="en-NZ" sz="1200" baseline="0">
                <a:solidFill>
                  <a:srgbClr val="0070C0"/>
                </a:solidFill>
              </a:rPr>
              <a:t> Briscoe</a:t>
            </a:r>
            <a:endParaRPr lang="en-NZ" sz="1200" baseline="0"/>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5.2844873126339398E-2"/>
          <c:y val="0.23309325007106169"/>
          <c:w val="0.92388945993675464"/>
          <c:h val="0.60893928541325426"/>
        </c:manualLayout>
      </c:layout>
      <c:barChart>
        <c:barDir val="col"/>
        <c:grouping val="clustered"/>
        <c:varyColors val="0"/>
        <c:ser>
          <c:idx val="0"/>
          <c:order val="0"/>
          <c:tx>
            <c:strRef>
              <c:f>'15b-Charts Comp'!$B$257</c:f>
              <c:strCache>
                <c:ptCount val="1"/>
                <c:pt idx="0">
                  <c:v>Market Value </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6-E3E0-43F1-A340-044715451A73}"/>
              </c:ext>
            </c:extLst>
          </c:dPt>
          <c:dPt>
            <c:idx val="1"/>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7-E3E0-43F1-A340-044715451A73}"/>
              </c:ext>
            </c:extLst>
          </c:dPt>
          <c:dPt>
            <c:idx val="2"/>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8-E3E0-43F1-A340-044715451A73}"/>
              </c:ext>
            </c:extLst>
          </c:dPt>
          <c:dPt>
            <c:idx val="3"/>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9-E3E0-43F1-A340-044715451A73}"/>
              </c:ext>
            </c:extLst>
          </c:dPt>
          <c:dPt>
            <c:idx val="4"/>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A-E3E0-43F1-A340-044715451A73}"/>
              </c:ext>
            </c:extLst>
          </c:dPt>
          <c:dPt>
            <c:idx val="5"/>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B-E3E0-43F1-A340-044715451A73}"/>
              </c:ext>
            </c:extLst>
          </c:dPt>
          <c:dPt>
            <c:idx val="6"/>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C-E3E0-43F1-A340-044715451A73}"/>
              </c:ext>
            </c:extLst>
          </c:dPt>
          <c:dPt>
            <c:idx val="7"/>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D-E3E0-43F1-A340-044715451A73}"/>
              </c:ext>
            </c:extLst>
          </c:dPt>
          <c:dPt>
            <c:idx val="8"/>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5-E3E0-43F1-A340-044715451A73}"/>
              </c:ext>
            </c:extLst>
          </c:dPt>
          <c:cat>
            <c:numRef>
              <c:f>'15b-Charts Comp'!$D$256:$L$256</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'15b-Charts Comp'!$D$257:$L$257</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2A2-43E2-B2AE-C1527F93348D}"/>
            </c:ext>
          </c:extLst>
        </c:ser>
        <c:ser>
          <c:idx val="1"/>
          <c:order val="1"/>
          <c:tx>
            <c:strRef>
              <c:f>'15b-Charts Comp'!$B$258</c:f>
              <c:strCache>
                <c:ptCount val="1"/>
                <c:pt idx="0">
                  <c:v>Operating Capital</c:v>
                </c:pt>
              </c:strCache>
            </c:strRef>
          </c:tx>
          <c:spPr>
            <a:solidFill>
              <a:srgbClr val="000000"/>
            </a:solidFill>
            <a:ln w="9525" cap="flat" cmpd="sng" algn="ctr">
              <a:solidFill>
                <a:schemeClr val="lt1">
                  <a:alpha val="50000"/>
                </a:schemeClr>
              </a:solidFill>
              <a:round/>
            </a:ln>
            <a:effectLst/>
          </c:spPr>
          <c:invertIfNegative val="0"/>
          <c:cat>
            <c:numRef>
              <c:f>'15b-Charts Comp'!$D$256:$L$256</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'15b-Charts Comp'!$D$258:$L$258</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D2A2-43E2-B2AE-C1527F93348D}"/>
            </c:ext>
          </c:extLst>
        </c:ser>
        <c:dLbls>
          <c:showLegendKey val="0"/>
          <c:showVal val="0"/>
          <c:showCatName val="0"/>
          <c:showSerName val="0"/>
          <c:showPercent val="0"/>
          <c:showBubbleSize val="0"/>
        </c:dLbls>
        <c:gapWidth val="65"/>
        <c:axId val="644842552"/>
        <c:axId val="644843536"/>
      </c:barChart>
      <c:catAx>
        <c:axId val="644842552"/>
        <c:scaling>
          <c:orientation val="minMax"/>
        </c:scaling>
        <c:delete val="0"/>
        <c:axPos val="b"/>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44843536"/>
        <c:crosses val="autoZero"/>
        <c:auto val="1"/>
        <c:lblAlgn val="ctr"/>
        <c:lblOffset val="100"/>
        <c:noMultiLvlLbl val="0"/>
      </c:catAx>
      <c:valAx>
        <c:axId val="64484353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64484255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ranklin Gothic Demi Cond" panose="020B0706030402020204" pitchFamily="34" charset="0"/>
                <a:ea typeface="+mn-ea"/>
                <a:cs typeface="+mn-cs"/>
              </a:defRPr>
            </a:pPr>
            <a:r>
              <a:rPr lang="en-US">
                <a:latin typeface="Franklin Gothic Demi Cond" panose="020B0706030402020204" pitchFamily="34" charset="0"/>
              </a:rPr>
              <a:t>TSR per annum ave.</a:t>
            </a:r>
          </a:p>
          <a:p>
            <a:pPr>
              <a:defRPr>
                <a:latin typeface="Franklin Gothic Demi Cond" panose="020B0706030402020204" pitchFamily="34" charset="0"/>
              </a:defRPr>
            </a:pPr>
            <a:r>
              <a:rPr lang="en-US">
                <a:latin typeface="Franklin Gothic Demi Cond" panose="020B0706030402020204" pitchFamily="34" charset="0"/>
              </a:rPr>
              <a:t>Briscoe Group</a:t>
            </a:r>
          </a:p>
        </c:rich>
      </c:tx>
      <c:layout>
        <c:manualLayout>
          <c:xMode val="edge"/>
          <c:yMode val="edge"/>
          <c:x val="0.3202575403893797"/>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ranklin Gothic Demi Cond" panose="020B0706030402020204" pitchFamily="34" charset="0"/>
              <a:ea typeface="+mn-ea"/>
              <a:cs typeface="+mn-cs"/>
            </a:defRPr>
          </a:pPr>
          <a:endParaRPr lang="en-US"/>
        </a:p>
      </c:txPr>
    </c:title>
    <c:autoTitleDeleted val="0"/>
    <c:plotArea>
      <c:layout/>
      <c:barChart>
        <c:barDir val="bar"/>
        <c:grouping val="clustered"/>
        <c:varyColors val="0"/>
        <c:ser>
          <c:idx val="0"/>
          <c:order val="0"/>
          <c:tx>
            <c:strRef>
              <c:f>'15b-Charts Comp'!$B$340</c:f>
              <c:strCache>
                <c:ptCount val="1"/>
                <c:pt idx="0">
                  <c:v>TSR pa ave.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'15b-Charts Comp'!$B$338:$L$339</c:f>
              <c:strCache>
                <c:ptCount val="11"/>
                <c:pt idx="0">
                  <c:v>years</c:v>
                </c:pt>
                <c:pt idx="1">
                  <c:v>#REF!</c:v>
                </c:pt>
                <c:pt idx="2">
                  <c:v>#REF!</c:v>
                </c:pt>
                <c:pt idx="3">
                  <c:v>#REF!</c:v>
                </c:pt>
                <c:pt idx="4">
                  <c:v>#REF!</c:v>
                </c:pt>
                <c:pt idx="5">
                  <c:v>#REF!</c:v>
                </c:pt>
                <c:pt idx="6">
                  <c:v>#REF!</c:v>
                </c:pt>
                <c:pt idx="7">
                  <c:v>#REF!</c:v>
                </c:pt>
                <c:pt idx="8">
                  <c:v>#REF!</c:v>
                </c:pt>
                <c:pt idx="9">
                  <c:v>#REF!</c:v>
                </c:pt>
                <c:pt idx="10">
                  <c:v>#REF!</c:v>
                </c:pt>
              </c:strCache>
            </c:strRef>
          </c:cat>
          <c:val>
            <c:numRef>
              <c:f>'15b-Charts Comp'!$B$340:$L$340</c:f>
              <c:numCache>
                <c:formatCode>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F485-4C08-B51E-ED8E44B80886}"/>
            </c:ext>
          </c:extLst>
        </c:ser>
        <c:dLbls>
          <c:showLegendKey val="0"/>
          <c:showVal val="0"/>
          <c:showCatName val="0"/>
          <c:showSerName val="0"/>
          <c:showPercent val="0"/>
          <c:showBubbleSize val="0"/>
        </c:dLbls>
        <c:gapWidth val="30"/>
        <c:axId val="525468240"/>
        <c:axId val="525464304"/>
      </c:barChart>
      <c:catAx>
        <c:axId val="5254682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464304"/>
        <c:crosses val="autoZero"/>
        <c:auto val="1"/>
        <c:lblAlgn val="ctr"/>
        <c:lblOffset val="100"/>
        <c:noMultiLvlLbl val="0"/>
      </c:catAx>
      <c:valAx>
        <c:axId val="525464304"/>
        <c:scaling>
          <c:orientation val="minMax"/>
        </c:scaling>
        <c:delete val="0"/>
        <c:axPos val="b"/>
        <c:majorGridlines>
          <c:spPr>
            <a:ln w="9525" cap="flat" cmpd="sng" algn="ctr">
              <a:solidFill>
                <a:schemeClr val="tx1">
                  <a:lumMod val="15000"/>
                  <a:lumOff val="85000"/>
                </a:schemeClr>
              </a:solidFill>
              <a:round/>
            </a:ln>
            <a:effectLst/>
          </c:spPr>
        </c:majorGridlines>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468240"/>
        <c:crosses val="autoZero"/>
        <c:crossBetween val="between"/>
      </c:valAx>
      <c:spPr>
        <a:noFill/>
        <a:ln>
          <a:noFill/>
        </a:ln>
        <a:effectLst/>
      </c:spPr>
    </c:plotArea>
    <c:plotVisOnly val="1"/>
    <c:dispBlanksAs val="gap"/>
    <c:showDLblsOverMax val="0"/>
  </c:chart>
  <c:spPr>
    <a:solidFill>
      <a:schemeClr val="bg1">
        <a:lumMod val="8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NZ"/>
              <a:t>Market Value and Capital</a:t>
            </a:r>
          </a:p>
          <a:p>
            <a:pPr>
              <a:defRPr sz="1200"/>
            </a:pPr>
            <a:r>
              <a:rPr lang="en-NZ">
                <a:solidFill>
                  <a:srgbClr val="FF0000"/>
                </a:solidFill>
              </a:rPr>
              <a:t>The Warehouse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5.2844873126339398E-2"/>
          <c:y val="0.23309325007106169"/>
          <c:w val="0.92388945993675464"/>
          <c:h val="0.60893928541325426"/>
        </c:manualLayout>
      </c:layout>
      <c:barChart>
        <c:barDir val="col"/>
        <c:grouping val="clustered"/>
        <c:varyColors val="0"/>
        <c:ser>
          <c:idx val="0"/>
          <c:order val="0"/>
          <c:tx>
            <c:strRef>
              <c:f>'15b-Charts Comp'!$B$507:$C$507</c:f>
              <c:strCache>
                <c:ptCount val="2"/>
                <c:pt idx="0">
                  <c:v>Market Value Added</c:v>
                </c:pt>
              </c:strCache>
            </c:strRef>
          </c:tx>
          <c:spPr>
            <a:solidFill>
              <a:srgbClr val="E60019"/>
            </a:solidFill>
            <a:ln w="9525" cap="flat" cmpd="sng" algn="ctr">
              <a:solidFill>
                <a:schemeClr val="lt1">
                  <a:alpha val="50000"/>
                </a:schemeClr>
              </a:solidFill>
              <a:round/>
            </a:ln>
            <a:effectLst/>
          </c:spPr>
          <c:invertIfNegative val="0"/>
          <c:dPt>
            <c:idx val="0"/>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6-E3E0-43F1-A340-044715451A73}"/>
              </c:ext>
            </c:extLst>
          </c:dPt>
          <c:dPt>
            <c:idx val="1"/>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7-E3E0-43F1-A340-044715451A73}"/>
              </c:ext>
            </c:extLst>
          </c:dPt>
          <c:dPt>
            <c:idx val="2"/>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8-E3E0-43F1-A340-044715451A73}"/>
              </c:ext>
            </c:extLst>
          </c:dPt>
          <c:dPt>
            <c:idx val="3"/>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9-E3E0-43F1-A340-044715451A73}"/>
              </c:ext>
            </c:extLst>
          </c:dPt>
          <c:dPt>
            <c:idx val="4"/>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A-E3E0-43F1-A340-044715451A73}"/>
              </c:ext>
            </c:extLst>
          </c:dPt>
          <c:dPt>
            <c:idx val="5"/>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B-E3E0-43F1-A340-044715451A73}"/>
              </c:ext>
            </c:extLst>
          </c:dPt>
          <c:dPt>
            <c:idx val="6"/>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C-E3E0-43F1-A340-044715451A73}"/>
              </c:ext>
            </c:extLst>
          </c:dPt>
          <c:dPt>
            <c:idx val="7"/>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D-E3E0-43F1-A340-044715451A73}"/>
              </c:ext>
            </c:extLst>
          </c:dPt>
          <c:dPt>
            <c:idx val="8"/>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5-E3E0-43F1-A340-044715451A73}"/>
              </c:ext>
            </c:extLst>
          </c:dPt>
          <c:cat>
            <c:numRef>
              <c:f>'15b-Charts Comp'!$D$506:$M$506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Comp'!$D$507:$M$507</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2A2-43E2-B2AE-C1527F93348D}"/>
            </c:ext>
          </c:extLst>
        </c:ser>
        <c:ser>
          <c:idx val="1"/>
          <c:order val="1"/>
          <c:tx>
            <c:strRef>
              <c:f>'15b-Charts Comp'!$B$508:$C$508</c:f>
              <c:strCache>
                <c:ptCount val="2"/>
                <c:pt idx="0">
                  <c:v>Capital</c:v>
                </c:pt>
              </c:strCache>
            </c:strRef>
          </c:tx>
          <c:spPr>
            <a:solidFill>
              <a:srgbClr val="000000"/>
            </a:solidFill>
            <a:ln w="9525" cap="flat" cmpd="sng" algn="ctr">
              <a:solidFill>
                <a:schemeClr val="lt1">
                  <a:alpha val="50000"/>
                </a:schemeClr>
              </a:solidFill>
              <a:round/>
            </a:ln>
            <a:effectLst/>
          </c:spPr>
          <c:invertIfNegative val="0"/>
          <c:cat>
            <c:numRef>
              <c:f>'15b-Charts Comp'!$D$506:$M$506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Comp'!$D$508:$M$508</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D2A2-43E2-B2AE-C1527F93348D}"/>
            </c:ext>
          </c:extLst>
        </c:ser>
        <c:dLbls>
          <c:showLegendKey val="0"/>
          <c:showVal val="0"/>
          <c:showCatName val="0"/>
          <c:showSerName val="0"/>
          <c:showPercent val="0"/>
          <c:showBubbleSize val="0"/>
        </c:dLbls>
        <c:gapWidth val="65"/>
        <c:axId val="644842552"/>
        <c:axId val="644843536"/>
      </c:barChart>
      <c:catAx>
        <c:axId val="64484255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44843536"/>
        <c:crosses val="autoZero"/>
        <c:auto val="1"/>
        <c:lblAlgn val="ctr"/>
        <c:lblOffset val="100"/>
        <c:noMultiLvlLbl val="0"/>
      </c:catAx>
      <c:valAx>
        <c:axId val="64484353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NZ"/>
                  <a:t>Title</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64484255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802862013830467"/>
          <c:y val="0.19971008106018423"/>
          <c:w val="0.8271837501977235"/>
          <c:h val="0.67738145099627001"/>
        </c:manualLayout>
      </c:layout>
      <c:areaChart>
        <c:grouping val="standard"/>
        <c:varyColors val="0"/>
        <c:ser>
          <c:idx val="1"/>
          <c:order val="1"/>
          <c:spPr>
            <a:solidFill>
              <a:schemeClr val="bg1">
                <a:lumMod val="50000"/>
              </a:schemeClr>
            </a:solidFill>
            <a:ln w="9525" cap="flat" cmpd="sng" algn="ctr">
              <a:solidFill>
                <a:schemeClr val="tx1"/>
              </a:solidFill>
              <a:round/>
            </a:ln>
            <a:effectLst>
              <a:outerShdw blurRad="40000" dist="20000" dir="5400000" rotWithShape="0">
                <a:srgbClr val="000000">
                  <a:alpha val="38000"/>
                </a:srgbClr>
              </a:outerShdw>
            </a:effectLst>
          </c:spPr>
          <c:val>
            <c:numRef>
              <c:f>'15b-Charts Comp'!$N$92:$S$92</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E314-476A-B763-4956C2EE2DBA}"/>
            </c:ext>
          </c:extLst>
        </c:ser>
        <c:dLbls>
          <c:showLegendKey val="0"/>
          <c:showVal val="0"/>
          <c:showCatName val="0"/>
          <c:showSerName val="0"/>
          <c:showPercent val="0"/>
          <c:showBubbleSize val="0"/>
        </c:dLbls>
        <c:axId val="387771160"/>
        <c:axId val="387772144"/>
      </c:areaChart>
      <c:barChart>
        <c:barDir val="col"/>
        <c:grouping val="clustered"/>
        <c:varyColors val="0"/>
        <c:ser>
          <c:idx val="0"/>
          <c:order val="0"/>
          <c:spPr>
            <a:solidFill>
              <a:schemeClr val="accent1">
                <a:lumMod val="75000"/>
              </a:schemeClr>
            </a:solidFill>
            <a:ln w="25400" cap="flat" cmpd="sng" algn="ctr">
              <a:noFill/>
              <a:round/>
            </a:ln>
            <a:effectLst>
              <a:outerShdw blurRad="40000" dist="20000" dir="5400000" rotWithShape="0">
                <a:srgbClr val="000000">
                  <a:alpha val="38000"/>
                </a:srgbClr>
              </a:outerShdw>
            </a:effectLst>
          </c:spPr>
          <c:invertIfNegative val="0"/>
          <c:cat>
            <c:numRef>
              <c:f>'15b-Charts Comp'!$N$90:$S$90</c:f>
              <c:numCache>
                <c:formatCode>General</c:formatCode>
                <c:ptCount val="6"/>
                <c:pt idx="0">
                  <c:v>2013</c:v>
                </c:pt>
                <c:pt idx="1">
                  <c:v>2014</c:v>
                </c:pt>
                <c:pt idx="2">
                  <c:v>2015</c:v>
                </c:pt>
                <c:pt idx="3">
                  <c:v>2016</c:v>
                </c:pt>
                <c:pt idx="4">
                  <c:v>2017</c:v>
                </c:pt>
                <c:pt idx="5">
                  <c:v>2018</c:v>
                </c:pt>
              </c:numCache>
            </c:numRef>
          </c:cat>
          <c:val>
            <c:numRef>
              <c:f>'15b-Charts Comp'!$N$91:$S$91</c:f>
              <c:numCache>
                <c:formatCode>0.0%</c:formatCode>
                <c:ptCount val="6"/>
                <c:pt idx="0">
                  <c:v>0.188</c:v>
                </c:pt>
                <c:pt idx="1">
                  <c:v>0.189</c:v>
                </c:pt>
                <c:pt idx="2">
                  <c:v>0.188</c:v>
                </c:pt>
                <c:pt idx="3">
                  <c:v>0.20899999999999999</c:v>
                </c:pt>
                <c:pt idx="4">
                  <c:v>0.2</c:v>
                </c:pt>
                <c:pt idx="5">
                  <c:v>0.16800000000000001</c:v>
                </c:pt>
              </c:numCache>
            </c:numRef>
          </c:val>
          <c:extLst>
            <c:ext xmlns:c16="http://schemas.microsoft.com/office/drawing/2014/chart" uri="{C3380CC4-5D6E-409C-BE32-E72D297353CC}">
              <c16:uniqueId val="{00000000-E314-476A-B763-4956C2EE2DBA}"/>
            </c:ext>
          </c:extLst>
        </c:ser>
        <c:ser>
          <c:idx val="2"/>
          <c:order val="2"/>
          <c:spPr>
            <a:solidFill>
              <a:srgbClr val="C00000"/>
            </a:solidFill>
            <a:ln w="9525" cap="flat" cmpd="sng" algn="ctr">
              <a:noFill/>
              <a:round/>
            </a:ln>
            <a:effectLst>
              <a:outerShdw blurRad="40000" dist="20000" dir="5400000" rotWithShape="0">
                <a:srgbClr val="000000">
                  <a:alpha val="38000"/>
                </a:srgbClr>
              </a:outerShdw>
            </a:effectLst>
          </c:spPr>
          <c:invertIfNegative val="0"/>
          <c:cat>
            <c:numRef>
              <c:f>'15b-Charts Comp'!$N$90:$S$90</c:f>
              <c:numCache>
                <c:formatCode>General</c:formatCode>
                <c:ptCount val="6"/>
                <c:pt idx="0">
                  <c:v>2013</c:v>
                </c:pt>
                <c:pt idx="1">
                  <c:v>2014</c:v>
                </c:pt>
                <c:pt idx="2">
                  <c:v>2015</c:v>
                </c:pt>
                <c:pt idx="3">
                  <c:v>2016</c:v>
                </c:pt>
                <c:pt idx="4">
                  <c:v>2017</c:v>
                </c:pt>
                <c:pt idx="5">
                  <c:v>2018</c:v>
                </c:pt>
              </c:numCache>
            </c:numRef>
          </c:cat>
          <c:val>
            <c:numRef>
              <c:f>'15b-Charts Comp'!$N$93:$S$93</c:f>
              <c:numCache>
                <c:formatCode>0.0%</c:formatCode>
                <c:ptCount val="6"/>
                <c:pt idx="0">
                  <c:v>0</c:v>
                </c:pt>
                <c:pt idx="1">
                  <c:v>0.18</c:v>
                </c:pt>
                <c:pt idx="2">
                  <c:v>5.7000000000000002E-2</c:v>
                </c:pt>
                <c:pt idx="3">
                  <c:v>0.17199999999999999</c:v>
                </c:pt>
                <c:pt idx="4">
                  <c:v>0.27</c:v>
                </c:pt>
                <c:pt idx="5">
                  <c:v>0.20899999999999999</c:v>
                </c:pt>
              </c:numCache>
            </c:numRef>
          </c:val>
          <c:extLst>
            <c:ext xmlns:c16="http://schemas.microsoft.com/office/drawing/2014/chart" uri="{C3380CC4-5D6E-409C-BE32-E72D297353CC}">
              <c16:uniqueId val="{00000006-E314-476A-B763-4956C2EE2DBA}"/>
            </c:ext>
          </c:extLst>
        </c:ser>
        <c:dLbls>
          <c:showLegendKey val="0"/>
          <c:showVal val="0"/>
          <c:showCatName val="0"/>
          <c:showSerName val="0"/>
          <c:showPercent val="0"/>
          <c:showBubbleSize val="0"/>
        </c:dLbls>
        <c:gapWidth val="150"/>
        <c:axId val="387771160"/>
        <c:axId val="387772144"/>
      </c:barChart>
      <c:catAx>
        <c:axId val="3877711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2144"/>
        <c:crosses val="autoZero"/>
        <c:auto val="1"/>
        <c:lblAlgn val="ctr"/>
        <c:lblOffset val="100"/>
        <c:noMultiLvlLbl val="0"/>
      </c:catAx>
      <c:valAx>
        <c:axId val="387772144"/>
        <c:scaling>
          <c:orientation val="minMax"/>
        </c:scaling>
        <c:delete val="0"/>
        <c:axPos val="l"/>
        <c:majorGridlines>
          <c:spPr>
            <a:ln w="3175">
              <a:solidFill>
                <a:schemeClr val="bg1"/>
              </a:solidFill>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1160"/>
        <c:crosses val="autoZero"/>
        <c:crossBetween val="between"/>
      </c:valAx>
      <c:spPr>
        <a:solidFill>
          <a:schemeClr val="bg1">
            <a:lumMod val="75000"/>
            <a:alpha val="90000"/>
          </a:schemeClr>
        </a:solidFill>
        <a:ln w="3175">
          <a:noFill/>
        </a:ln>
        <a:effectLst/>
      </c:spPr>
    </c:plotArea>
    <c:plotVisOnly val="1"/>
    <c:dispBlanksAs val="gap"/>
    <c:showDLblsOverMax val="0"/>
  </c:chart>
  <c:spPr>
    <a:solidFill>
      <a:schemeClr val="bg1">
        <a:lumMod val="75000"/>
      </a:schemeClr>
    </a:solidFill>
    <a:ln w="9525" cap="flat" cmpd="sng" algn="ctr">
      <a:no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802862013830467"/>
          <c:y val="0.19971008106018423"/>
          <c:w val="0.8271837501977235"/>
          <c:h val="0.67738145099627001"/>
        </c:manualLayout>
      </c:layout>
      <c:areaChart>
        <c:grouping val="stacked"/>
        <c:varyColors val="0"/>
        <c:ser>
          <c:idx val="1"/>
          <c:order val="1"/>
          <c:spPr>
            <a:solidFill>
              <a:schemeClr val="bg1">
                <a:lumMod val="50000"/>
              </a:schemeClr>
            </a:solidFill>
            <a:ln w="9525" cap="flat" cmpd="sng" algn="ctr">
              <a:solidFill>
                <a:schemeClr val="tx1"/>
              </a:solidFill>
              <a:round/>
            </a:ln>
            <a:effectLst>
              <a:outerShdw blurRad="40000" dist="20000" dir="5400000" rotWithShape="0">
                <a:srgbClr val="000000">
                  <a:alpha val="38000"/>
                </a:srgbClr>
              </a:outerShdw>
            </a:effectLst>
          </c:spPr>
          <c:val>
            <c:numRef>
              <c:f>'15b-Charts Comp'!$D$92:$I$92</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CA9-4BAE-8FC8-D0FC80ED9AA8}"/>
            </c:ext>
          </c:extLst>
        </c:ser>
        <c:dLbls>
          <c:showLegendKey val="0"/>
          <c:showVal val="0"/>
          <c:showCatName val="0"/>
          <c:showSerName val="0"/>
          <c:showPercent val="0"/>
          <c:showBubbleSize val="0"/>
        </c:dLbls>
        <c:axId val="387771160"/>
        <c:axId val="387772144"/>
      </c:areaChart>
      <c:barChart>
        <c:barDir val="col"/>
        <c:grouping val="clustered"/>
        <c:varyColors val="0"/>
        <c:ser>
          <c:idx val="0"/>
          <c:order val="0"/>
          <c:spPr>
            <a:solidFill>
              <a:srgbClr val="C00000"/>
            </a:solidFill>
            <a:ln w="25400" cap="flat" cmpd="sng" algn="ctr">
              <a:noFill/>
              <a:round/>
            </a:ln>
            <a:effectLst>
              <a:outerShdw blurRad="40000" dist="20000" dir="5400000" rotWithShape="0">
                <a:srgbClr val="000000">
                  <a:alpha val="38000"/>
                </a:srgbClr>
              </a:outerShdw>
            </a:effectLst>
          </c:spPr>
          <c:invertIfNegative val="0"/>
          <c:cat>
            <c:numRef>
              <c:f>'15b-Charts Comp'!$D$90:$I$90</c:f>
              <c:numCache>
                <c:formatCode>General</c:formatCode>
                <c:ptCount val="6"/>
                <c:pt idx="0">
                  <c:v>2013</c:v>
                </c:pt>
                <c:pt idx="1">
                  <c:v>2014</c:v>
                </c:pt>
                <c:pt idx="2">
                  <c:v>2015</c:v>
                </c:pt>
                <c:pt idx="3">
                  <c:v>2016</c:v>
                </c:pt>
                <c:pt idx="4">
                  <c:v>2017</c:v>
                </c:pt>
                <c:pt idx="5">
                  <c:v>2018</c:v>
                </c:pt>
              </c:numCache>
            </c:numRef>
          </c:cat>
          <c:val>
            <c:numRef>
              <c:f>'15b-Charts Comp'!$D$93:$I$93</c:f>
              <c:numCache>
                <c:formatCode>0.0%</c:formatCode>
                <c:ptCount val="6"/>
                <c:pt idx="0">
                  <c:v>0</c:v>
                </c:pt>
                <c:pt idx="1">
                  <c:v>0.189</c:v>
                </c:pt>
                <c:pt idx="2">
                  <c:v>0.188</c:v>
                </c:pt>
                <c:pt idx="3">
                  <c:v>0.20899999999999999</c:v>
                </c:pt>
                <c:pt idx="4">
                  <c:v>0.2</c:v>
                </c:pt>
                <c:pt idx="5">
                  <c:v>0.16800000000000001</c:v>
                </c:pt>
              </c:numCache>
            </c:numRef>
          </c:val>
          <c:extLst>
            <c:ext xmlns:c16="http://schemas.microsoft.com/office/drawing/2014/chart" uri="{C3380CC4-5D6E-409C-BE32-E72D297353CC}">
              <c16:uniqueId val="{00000000-CEFB-42BB-85B9-D8B96C37BF96}"/>
            </c:ext>
          </c:extLst>
        </c:ser>
        <c:ser>
          <c:idx val="2"/>
          <c:order val="2"/>
          <c:spPr>
            <a:solidFill>
              <a:srgbClr val="FFC000"/>
            </a:solidFill>
            <a:ln w="9525" cap="flat" cmpd="sng" algn="ctr">
              <a:noFill/>
              <a:round/>
            </a:ln>
            <a:effectLst>
              <a:outerShdw blurRad="40000" dist="20000" dir="5400000" rotWithShape="0">
                <a:srgbClr val="000000">
                  <a:alpha val="38000"/>
                </a:srgbClr>
              </a:outerShdw>
            </a:effectLst>
          </c:spPr>
          <c:invertIfNegative val="0"/>
          <c:cat>
            <c:numRef>
              <c:f>'15b-Charts Comp'!$D$90:$I$90</c:f>
              <c:numCache>
                <c:formatCode>General</c:formatCode>
                <c:ptCount val="6"/>
                <c:pt idx="0">
                  <c:v>2013</c:v>
                </c:pt>
                <c:pt idx="1">
                  <c:v>2014</c:v>
                </c:pt>
                <c:pt idx="2">
                  <c:v>2015</c:v>
                </c:pt>
                <c:pt idx="3">
                  <c:v>2016</c:v>
                </c:pt>
                <c:pt idx="4">
                  <c:v>2017</c:v>
                </c:pt>
                <c:pt idx="5">
                  <c:v>2018</c:v>
                </c:pt>
              </c:numCache>
            </c:numRef>
          </c:cat>
          <c:val>
            <c:numRef>
              <c:f>'15b-Charts Comp'!$D$91:$I$91</c:f>
              <c:numCache>
                <c:formatCode>0.0%</c:formatCode>
                <c:ptCount val="6"/>
                <c:pt idx="0">
                  <c:v>0.188</c:v>
                </c:pt>
                <c:pt idx="1">
                  <c:v>0.18</c:v>
                </c:pt>
                <c:pt idx="2">
                  <c:v>5.7000000000000002E-2</c:v>
                </c:pt>
                <c:pt idx="3">
                  <c:v>0.17199999999999999</c:v>
                </c:pt>
                <c:pt idx="4">
                  <c:v>0.27</c:v>
                </c:pt>
                <c:pt idx="5">
                  <c:v>0.20899999999999999</c:v>
                </c:pt>
              </c:numCache>
            </c:numRef>
          </c:val>
          <c:extLst>
            <c:ext xmlns:c16="http://schemas.microsoft.com/office/drawing/2014/chart" uri="{C3380CC4-5D6E-409C-BE32-E72D297353CC}">
              <c16:uniqueId val="{00000000-3AF8-432A-BB50-FB48FA5248C8}"/>
            </c:ext>
          </c:extLst>
        </c:ser>
        <c:dLbls>
          <c:showLegendKey val="0"/>
          <c:showVal val="0"/>
          <c:showCatName val="0"/>
          <c:showSerName val="0"/>
          <c:showPercent val="0"/>
          <c:showBubbleSize val="0"/>
        </c:dLbls>
        <c:gapWidth val="150"/>
        <c:axId val="387771160"/>
        <c:axId val="387772144"/>
      </c:barChart>
      <c:catAx>
        <c:axId val="3877711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2144"/>
        <c:crosses val="autoZero"/>
        <c:auto val="1"/>
        <c:lblAlgn val="ctr"/>
        <c:lblOffset val="100"/>
        <c:noMultiLvlLbl val="0"/>
      </c:catAx>
      <c:valAx>
        <c:axId val="387772144"/>
        <c:scaling>
          <c:orientation val="minMax"/>
        </c:scaling>
        <c:delete val="0"/>
        <c:axPos val="l"/>
        <c:majorGridlines>
          <c:spPr>
            <a:ln w="3175">
              <a:solidFill>
                <a:schemeClr val="bg1"/>
              </a:solidFill>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1160"/>
        <c:crosses val="autoZero"/>
        <c:crossBetween val="between"/>
      </c:valAx>
      <c:spPr>
        <a:solidFill>
          <a:schemeClr val="bg1">
            <a:lumMod val="75000"/>
            <a:alpha val="90000"/>
          </a:schemeClr>
        </a:solidFill>
        <a:ln w="3175">
          <a:noFill/>
        </a:ln>
        <a:effectLst/>
      </c:spPr>
    </c:plotArea>
    <c:plotVisOnly val="1"/>
    <c:dispBlanksAs val="gap"/>
    <c:showDLblsOverMax val="0"/>
  </c:chart>
  <c:spPr>
    <a:solidFill>
      <a:schemeClr val="bg1">
        <a:lumMod val="75000"/>
      </a:schemeClr>
    </a:solidFill>
    <a:ln w="9525" cap="flat" cmpd="sng" algn="ctr">
      <a:no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rgbClr val="FF0000"/>
                </a:solidFill>
                <a:latin typeface="+mn-lt"/>
                <a:ea typeface="+mn-ea"/>
                <a:cs typeface="+mn-cs"/>
              </a:defRPr>
            </a:pPr>
            <a:r>
              <a:rPr lang="en-NZ">
                <a:solidFill>
                  <a:srgbClr val="FF0000"/>
                </a:solidFill>
              </a:rPr>
              <a:t>The Warehouse</a:t>
            </a:r>
          </a:p>
        </c:rich>
      </c:tx>
      <c:overlay val="0"/>
      <c:spPr>
        <a:noFill/>
        <a:ln>
          <a:noFill/>
        </a:ln>
        <a:effectLst/>
      </c:spPr>
      <c:txPr>
        <a:bodyPr rot="0" spcFirstLastPara="1" vertOverflow="ellipsis" vert="horz" wrap="square" anchor="ctr" anchorCtr="1"/>
        <a:lstStyle/>
        <a:p>
          <a:pPr>
            <a:defRPr sz="1800" b="1" i="0" u="none" strike="noStrike" kern="1200" baseline="0">
              <a:solidFill>
                <a:srgbClr val="FF0000"/>
              </a:solidFill>
              <a:latin typeface="+mn-lt"/>
              <a:ea typeface="+mn-ea"/>
              <a:cs typeface="+mn-cs"/>
            </a:defRPr>
          </a:pPr>
          <a:endParaRPr lang="en-US"/>
        </a:p>
      </c:txPr>
    </c:title>
    <c:autoTitleDeleted val="0"/>
    <c:plotArea>
      <c:layout>
        <c:manualLayout>
          <c:layoutTarget val="inner"/>
          <c:xMode val="edge"/>
          <c:yMode val="edge"/>
          <c:x val="5.8801058439482128E-2"/>
          <c:y val="0.23564789174062256"/>
          <c:w val="0.93888888888888888"/>
          <c:h val="0.69827172645086033"/>
        </c:manualLayout>
      </c:layout>
      <c:barChart>
        <c:barDir val="col"/>
        <c:grouping val="clustered"/>
        <c:varyColors val="0"/>
        <c:ser>
          <c:idx val="0"/>
          <c:order val="0"/>
          <c:spPr>
            <a:solidFill>
              <a:schemeClr val="accent4">
                <a:alpha val="85000"/>
              </a:schemeClr>
            </a:solidFill>
            <a:ln w="9525" cap="flat" cmpd="sng" algn="ctr">
              <a:solidFill>
                <a:schemeClr val="lt1">
                  <a:alpha val="50000"/>
                </a:schemeClr>
              </a:solidFill>
              <a:round/>
            </a:ln>
            <a:effectLst/>
          </c:spPr>
          <c:invertIfNegative val="0"/>
          <c:dLbls>
            <c:spPr>
              <a:solidFill>
                <a:schemeClr val="tx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'15c-Charts Stores'!$I$141:$M$141</c:f>
              <c:strCache>
                <c:ptCount val="5"/>
                <c:pt idx="0">
                  <c:v>Market Value</c:v>
                </c:pt>
                <c:pt idx="1">
                  <c:v>Capital</c:v>
                </c:pt>
                <c:pt idx="2">
                  <c:v>MVA</c:v>
                </c:pt>
                <c:pt idx="3">
                  <c:v>CVA</c:v>
                </c:pt>
                <c:pt idx="4">
                  <c:v>FVA</c:v>
                </c:pt>
              </c:strCache>
            </c:strRef>
          </c:cat>
          <c:val>
            <c:numRef>
              <c:f>'15c-Charts Stores'!$I$142:$M$142</c:f>
              <c:numCache>
                <c:formatCode>0%</c:formatCode>
                <c:ptCount val="5"/>
                <c:pt idx="0">
                  <c:v>1</c:v>
                </c:pt>
                <c:pt idx="1">
                  <c:v>0.75295536791314832</c:v>
                </c:pt>
                <c:pt idx="2">
                  <c:v>0.24704463208685162</c:v>
                </c:pt>
                <c:pt idx="3">
                  <c:v>9.1917973462002409E-2</c:v>
                </c:pt>
                <c:pt idx="4">
                  <c:v>0.15512665862484923</c:v>
                </c:pt>
              </c:numCache>
            </c:numRef>
          </c:val>
          <c:extLst>
            <c:ext xmlns:c16="http://schemas.microsoft.com/office/drawing/2014/chart" uri="{C3380CC4-5D6E-409C-BE32-E72D297353CC}">
              <c16:uniqueId val="{00000000-8614-44AA-9071-E79132F3D907}"/>
            </c:ext>
          </c:extLst>
        </c:ser>
        <c:dLbls>
          <c:dLblPos val="inEnd"/>
          <c:showLegendKey val="0"/>
          <c:showVal val="1"/>
          <c:showCatName val="0"/>
          <c:showSerName val="0"/>
          <c:showPercent val="0"/>
          <c:showBubbleSize val="0"/>
        </c:dLbls>
        <c:gapWidth val="65"/>
        <c:axId val="724925720"/>
        <c:axId val="724928672"/>
      </c:barChart>
      <c:catAx>
        <c:axId val="72492572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00" b="1" i="0" u="none" strike="noStrike" kern="1200" cap="all" baseline="0">
                <a:solidFill>
                  <a:schemeClr val="dk1">
                    <a:lumMod val="75000"/>
                    <a:lumOff val="25000"/>
                  </a:schemeClr>
                </a:solidFill>
                <a:latin typeface="+mn-lt"/>
                <a:ea typeface="+mn-ea"/>
                <a:cs typeface="+mn-cs"/>
              </a:defRPr>
            </a:pPr>
            <a:endParaRPr lang="en-US"/>
          </a:p>
        </c:txPr>
        <c:crossAx val="724928672"/>
        <c:crosses val="autoZero"/>
        <c:auto val="1"/>
        <c:lblAlgn val="ctr"/>
        <c:lblOffset val="100"/>
        <c:noMultiLvlLbl val="0"/>
      </c:catAx>
      <c:valAx>
        <c:axId val="72492867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72492572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NZ" sz="1200" baseline="0"/>
              <a:t>The Warehouse </a:t>
            </a:r>
          </a:p>
          <a:p>
            <a:pPr>
              <a:defRPr sz="1200"/>
            </a:pPr>
            <a:r>
              <a:rPr lang="en-NZ" sz="1200" baseline="0"/>
              <a:t>Capital</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tx>
            <c:strRef>
              <c:f>'15b-Charts Comp'!$B$252</c:f>
              <c:strCache>
                <c:ptCount val="1"/>
                <c:pt idx="0">
                  <c:v>Market Value </c:v>
                </c:pt>
              </c:strCache>
            </c:strRef>
          </c:tx>
          <c:spPr>
            <a:solidFill>
              <a:schemeClr val="accent1">
                <a:alpha val="85000"/>
              </a:schemeClr>
            </a:solidFill>
            <a:ln w="9525" cap="flat" cmpd="sng" algn="ctr">
              <a:solidFill>
                <a:schemeClr val="lt1">
                  <a:alpha val="50000"/>
                </a:schemeClr>
              </a:solidFill>
              <a:round/>
            </a:ln>
            <a:effectLst/>
          </c:spPr>
          <c:invertIfNegative val="0"/>
          <c:cat>
            <c:numRef>
              <c:f>'15b-Charts Comp'!$D$251:$L$251</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'15b-Charts Comp'!$D$252:$L$252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9932-4F3C-9296-32AB8FA1518B}"/>
            </c:ext>
          </c:extLst>
        </c:ser>
        <c:ser>
          <c:idx val="1"/>
          <c:order val="1"/>
          <c:tx>
            <c:strRef>
              <c:f>'15b-Charts Comp'!$B$253</c:f>
              <c:strCache>
                <c:ptCount val="1"/>
                <c:pt idx="0">
                  <c:v>Operating Capital</c:v>
                </c:pt>
              </c:strCache>
            </c:strRef>
          </c:tx>
          <c:spPr>
            <a:solidFill>
              <a:schemeClr val="accent2">
                <a:alpha val="85000"/>
              </a:schemeClr>
            </a:solidFill>
            <a:ln w="9525" cap="flat" cmpd="sng" algn="ctr">
              <a:solidFill>
                <a:schemeClr val="lt1">
                  <a:alpha val="50000"/>
                </a:schemeClr>
              </a:solidFill>
              <a:round/>
            </a:ln>
            <a:effectLst/>
          </c:spPr>
          <c:invertIfNegative val="0"/>
          <c:cat>
            <c:numRef>
              <c:f>'15b-Charts Comp'!$D$251:$L$251</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'15b-Charts Comp'!$D$253:$L$253</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9932-4F3C-9296-32AB8FA1518B}"/>
            </c:ext>
          </c:extLst>
        </c:ser>
        <c:dLbls>
          <c:showLegendKey val="0"/>
          <c:showVal val="0"/>
          <c:showCatName val="0"/>
          <c:showSerName val="0"/>
          <c:showPercent val="0"/>
          <c:showBubbleSize val="0"/>
        </c:dLbls>
        <c:gapWidth val="65"/>
        <c:axId val="527325032"/>
        <c:axId val="527329296"/>
      </c:barChart>
      <c:catAx>
        <c:axId val="5273250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527329296"/>
        <c:crosses val="autoZero"/>
        <c:auto val="1"/>
        <c:lblAlgn val="ctr"/>
        <c:lblOffset val="100"/>
        <c:noMultiLvlLbl val="0"/>
      </c:catAx>
      <c:valAx>
        <c:axId val="5273292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NZ"/>
                  <a:t>$'000</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_(* #,##0_);_(* \(#,##0\);_(* &quot;-&quot;??_);_(@_)" sourceLinked="1"/>
        <c:majorTickMark val="none"/>
        <c:minorTickMark val="none"/>
        <c:tickLblPos val="nextTo"/>
        <c:crossAx val="527325032"/>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chemeClr val="tx2">
                    <a:lumMod val="75000"/>
                  </a:schemeClr>
                </a:solidFill>
                <a:latin typeface="+mn-lt"/>
                <a:ea typeface="+mn-ea"/>
                <a:cs typeface="+mn-cs"/>
              </a:defRPr>
            </a:pPr>
            <a:r>
              <a:rPr lang="en-NZ">
                <a:solidFill>
                  <a:srgbClr val="0070C0"/>
                </a:solidFill>
              </a:rPr>
              <a:t>Briscoe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lumMod val="75000"/>
                </a:schemeClr>
              </a:solidFill>
              <a:latin typeface="+mn-lt"/>
              <a:ea typeface="+mn-ea"/>
              <a:cs typeface="+mn-cs"/>
            </a:defRPr>
          </a:pPr>
          <a:endParaRPr lang="en-US"/>
        </a:p>
      </c:txPr>
    </c:title>
    <c:autoTitleDeleted val="0"/>
    <c:plotArea>
      <c:layout>
        <c:manualLayout>
          <c:layoutTarget val="inner"/>
          <c:xMode val="edge"/>
          <c:yMode val="edge"/>
          <c:x val="2.5449412579464287E-2"/>
          <c:y val="0.1249987689476965"/>
          <c:w val="0.94401129232517855"/>
          <c:h val="0.79552785721234509"/>
        </c:manualLayout>
      </c:layout>
      <c:barChart>
        <c:barDir val="col"/>
        <c:grouping val="clustered"/>
        <c:varyColors val="0"/>
        <c:ser>
          <c:idx val="0"/>
          <c:order val="0"/>
          <c:spPr>
            <a:solidFill>
              <a:schemeClr val="accent4">
                <a:alpha val="85000"/>
              </a:schemeClr>
            </a:solidFill>
            <a:ln w="9525" cap="flat" cmpd="sng" algn="ctr">
              <a:solidFill>
                <a:schemeClr val="accent1"/>
              </a:solidFill>
              <a:round/>
            </a:ln>
            <a:effectLst/>
          </c:spPr>
          <c:invertIfNegative val="0"/>
          <c:dLbls>
            <c:spPr>
              <a:solidFill>
                <a:schemeClr val="tx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'15c-Charts Stores'!$I$144:$M$144</c:f>
              <c:strCache>
                <c:ptCount val="5"/>
                <c:pt idx="0">
                  <c:v>Market Value</c:v>
                </c:pt>
                <c:pt idx="1">
                  <c:v>Capital</c:v>
                </c:pt>
                <c:pt idx="2">
                  <c:v>MVA</c:v>
                </c:pt>
                <c:pt idx="3">
                  <c:v>CVA</c:v>
                </c:pt>
                <c:pt idx="4">
                  <c:v>FVA</c:v>
                </c:pt>
              </c:strCache>
            </c:strRef>
          </c:cat>
          <c:val>
            <c:numRef>
              <c:f>'15c-Charts Stores'!$I$145:$M$145</c:f>
              <c:numCache>
                <c:formatCode>0%</c:formatCode>
                <c:ptCount val="5"/>
                <c:pt idx="0">
                  <c:v>0</c:v>
                </c:pt>
                <c:pt idx="1">
                  <c:v>0.39760239760239763</c:v>
                </c:pt>
                <c:pt idx="2">
                  <c:v>0.60239760239760243</c:v>
                </c:pt>
                <c:pt idx="3">
                  <c:v>0.5641025641025641</c:v>
                </c:pt>
                <c:pt idx="4">
                  <c:v>3.8295038295038296E-2</c:v>
                </c:pt>
              </c:numCache>
            </c:numRef>
          </c:val>
          <c:extLst>
            <c:ext xmlns:c16="http://schemas.microsoft.com/office/drawing/2014/chart" uri="{C3380CC4-5D6E-409C-BE32-E72D297353CC}">
              <c16:uniqueId val="{00000000-BB28-4849-B820-7182665A5480}"/>
            </c:ext>
          </c:extLst>
        </c:ser>
        <c:dLbls>
          <c:dLblPos val="inEnd"/>
          <c:showLegendKey val="0"/>
          <c:showVal val="1"/>
          <c:showCatName val="0"/>
          <c:showSerName val="0"/>
          <c:showPercent val="0"/>
          <c:showBubbleSize val="0"/>
        </c:dLbls>
        <c:gapWidth val="65"/>
        <c:axId val="390447824"/>
        <c:axId val="390454384"/>
      </c:barChart>
      <c:catAx>
        <c:axId val="390447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00" b="1" i="0" u="none" strike="noStrike" kern="1200" cap="all" baseline="0">
                <a:solidFill>
                  <a:schemeClr val="dk1">
                    <a:lumMod val="75000"/>
                    <a:lumOff val="25000"/>
                  </a:schemeClr>
                </a:solidFill>
                <a:latin typeface="+mn-lt"/>
                <a:ea typeface="+mn-ea"/>
                <a:cs typeface="+mn-cs"/>
              </a:defRPr>
            </a:pPr>
            <a:endParaRPr lang="en-US"/>
          </a:p>
        </c:txPr>
        <c:crossAx val="390454384"/>
        <c:crosses val="autoZero"/>
        <c:auto val="1"/>
        <c:lblAlgn val="ctr"/>
        <c:lblOffset val="100"/>
        <c:noMultiLvlLbl val="0"/>
      </c:catAx>
      <c:valAx>
        <c:axId val="39045438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9044782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017553569971"/>
          <c:y val="0.19945570250020417"/>
          <c:w val="0.7377751614389082"/>
          <c:h val="0.58329608150353818"/>
        </c:manualLayout>
      </c:layout>
      <c:barChart>
        <c:barDir val="col"/>
        <c:grouping val="clustered"/>
        <c:varyColors val="0"/>
        <c:ser>
          <c:idx val="0"/>
          <c:order val="0"/>
          <c:tx>
            <c:strRef>
              <c:f>'15b-Charts Comp'!$B$316</c:f>
              <c:strCache>
                <c:ptCount val="1"/>
                <c:pt idx="0">
                  <c:v>MVA</c:v>
                </c:pt>
              </c:strCache>
            </c:strRef>
          </c:tx>
          <c:spPr>
            <a:solidFill>
              <a:schemeClr val="tx1"/>
            </a:solidFill>
            <a:ln>
              <a:solidFill>
                <a:schemeClr val="tx1">
                  <a:alpha val="99000"/>
                </a:schemeClr>
              </a:solidFill>
            </a:ln>
            <a:effectLst>
              <a:outerShdw blurRad="40000" dist="23000" dir="5400000" rotWithShape="0">
                <a:srgbClr val="000000">
                  <a:alpha val="35000"/>
                </a:srgbClr>
              </a:outerShdw>
            </a:effectLst>
          </c:spPr>
          <c:invertIfNegative val="0"/>
          <c:trendline>
            <c:spPr>
              <a:ln w="19050" cap="rnd">
                <a:solidFill>
                  <a:schemeClr val="tx1"/>
                </a:solidFill>
                <a:prstDash val="sysDash"/>
              </a:ln>
              <a:effectLst/>
            </c:spPr>
            <c:trendlineType val="linear"/>
            <c:dispRSqr val="0"/>
            <c:dispEq val="0"/>
          </c:trendline>
          <c:cat>
            <c:numRef>
              <c:f>'15b-Charts Comp'!$D$315:$M$315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Comp'!$D$316:$M$316</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BE-41D9-B86F-C61887FFED7A}"/>
            </c:ext>
          </c:extLst>
        </c:ser>
        <c:dLbls>
          <c:showLegendKey val="0"/>
          <c:showVal val="0"/>
          <c:showCatName val="0"/>
          <c:showSerName val="0"/>
          <c:showPercent val="0"/>
          <c:showBubbleSize val="0"/>
        </c:dLbls>
        <c:gapWidth val="30"/>
        <c:overlap val="-27"/>
        <c:axId val="644856656"/>
        <c:axId val="644859608"/>
      </c:barChart>
      <c:lineChart>
        <c:grouping val="standard"/>
        <c:varyColors val="0"/>
        <c:ser>
          <c:idx val="1"/>
          <c:order val="1"/>
          <c:tx>
            <c:strRef>
              <c:f>'15b-Charts Comp'!$B$317</c:f>
              <c:strCache>
                <c:ptCount val="1"/>
                <c:pt idx="0">
                  <c:v>EVA</c:v>
                </c:pt>
              </c:strCache>
            </c:strRef>
          </c:tx>
          <c:spPr>
            <a:ln w="25400" cap="rnd">
              <a:solidFill>
                <a:srgbClr val="0070C0"/>
              </a:solidFill>
              <a:round/>
            </a:ln>
            <a:effectLst>
              <a:outerShdw blurRad="40000" dist="23000" dir="5400000" rotWithShape="0">
                <a:srgbClr val="000000">
                  <a:alpha val="35000"/>
                </a:srgbClr>
              </a:outerShdw>
            </a:effectLst>
          </c:spPr>
          <c:marker>
            <c:symbol val="none"/>
          </c:marker>
          <c:trendline>
            <c:spPr>
              <a:ln w="19050" cap="rnd">
                <a:solidFill>
                  <a:srgbClr val="0070C0"/>
                </a:solidFill>
                <a:prstDash val="sysDash"/>
              </a:ln>
              <a:effectLst/>
            </c:spPr>
            <c:trendlineType val="linear"/>
            <c:dispRSqr val="0"/>
            <c:dispEq val="0"/>
          </c:trendline>
          <c:cat>
            <c:numRef>
              <c:f>'15b-Charts Comp'!$D$315:$M$315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Comp'!$D$317:$M$317</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1-D4BE-41D9-B86F-C61887FFED7A}"/>
            </c:ext>
          </c:extLst>
        </c:ser>
        <c:dLbls>
          <c:showLegendKey val="0"/>
          <c:showVal val="0"/>
          <c:showCatName val="0"/>
          <c:showSerName val="0"/>
          <c:showPercent val="0"/>
          <c:showBubbleSize val="0"/>
        </c:dLbls>
        <c:marker val="1"/>
        <c:smooth val="0"/>
        <c:axId val="527293216"/>
        <c:axId val="527292888"/>
      </c:lineChart>
      <c:catAx>
        <c:axId val="644856656"/>
        <c:scaling>
          <c:orientation val="minMax"/>
        </c:scaling>
        <c:delete val="0"/>
        <c:axPos val="b"/>
        <c:numFmt formatCode="General" sourceLinked="1"/>
        <c:majorTickMark val="out"/>
        <c:minorTickMark val="none"/>
        <c:tickLblPos val="nextTo"/>
        <c:spPr>
          <a:solidFill>
            <a:schemeClr val="bg1">
              <a:lumMod val="75000"/>
            </a:schemeClr>
          </a:solid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4859608"/>
        <c:crosses val="autoZero"/>
        <c:auto val="1"/>
        <c:lblAlgn val="ctr"/>
        <c:lblOffset val="100"/>
        <c:noMultiLvlLbl val="0"/>
      </c:catAx>
      <c:valAx>
        <c:axId val="644859608"/>
        <c:scaling>
          <c:orientation val="minMax"/>
        </c:scaling>
        <c:delete val="0"/>
        <c:axPos val="l"/>
        <c:majorGridlines>
          <c:spPr>
            <a:ln w="3175" cap="flat" cmpd="sng" algn="ctr">
              <a:solidFill>
                <a:schemeClr val="bg1"/>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solidFill>
                      <a:schemeClr val="tx1"/>
                    </a:solidFill>
                  </a:rPr>
                  <a:t>MVA (bar)</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644856656"/>
        <c:crosses val="autoZero"/>
        <c:crossBetween val="between"/>
      </c:valAx>
      <c:valAx>
        <c:axId val="527292888"/>
        <c:scaling>
          <c:orientation val="minMax"/>
        </c:scaling>
        <c:delete val="0"/>
        <c:axPos val="r"/>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solidFill>
                      <a:srgbClr val="0070C0"/>
                    </a:solidFill>
                  </a:rPr>
                  <a:t>EVA (line)</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7293216"/>
        <c:crosses val="max"/>
        <c:crossBetween val="between"/>
      </c:valAx>
      <c:catAx>
        <c:axId val="527293216"/>
        <c:scaling>
          <c:orientation val="minMax"/>
        </c:scaling>
        <c:delete val="1"/>
        <c:axPos val="b"/>
        <c:numFmt formatCode="General" sourceLinked="1"/>
        <c:majorTickMark val="none"/>
        <c:minorTickMark val="none"/>
        <c:tickLblPos val="nextTo"/>
        <c:crossAx val="527292888"/>
        <c:crosses val="autoZero"/>
        <c:auto val="1"/>
        <c:lblAlgn val="ctr"/>
        <c:lblOffset val="100"/>
        <c:noMultiLvlLbl val="0"/>
      </c:catAx>
      <c:spPr>
        <a:solidFill>
          <a:schemeClr val="bg1">
            <a:lumMod val="75000"/>
          </a:schemeClr>
        </a:solidFill>
        <a:ln w="3175">
          <a:noFill/>
        </a:ln>
        <a:effectLst/>
      </c:spPr>
    </c:plotArea>
    <c:plotVisOnly val="1"/>
    <c:dispBlanksAs val="gap"/>
    <c:showDLblsOverMax val="0"/>
  </c:chart>
  <c:spPr>
    <a:solidFill>
      <a:schemeClr val="bg1">
        <a:lumMod val="75000"/>
      </a:schemeClr>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NZ" sz="1400">
                <a:solidFill>
                  <a:srgbClr val="0070C0"/>
                </a:solidFill>
              </a:rPr>
              <a:t>Briscoe</a:t>
            </a:r>
          </a:p>
          <a:p>
            <a:pPr>
              <a:defRPr sz="1400"/>
            </a:pPr>
            <a:r>
              <a:rPr lang="en-NZ" sz="1400"/>
              <a:t>Valuation Components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tx>
            <c:strRef>
              <c:f>'15b-Charts Comp'!$B$459</c:f>
              <c:strCache>
                <c:ptCount val="1"/>
                <c:pt idx="0">
                  <c:v>Future Value Added</c:v>
                </c:pt>
              </c:strCache>
            </c:strRef>
          </c:tx>
          <c:spPr>
            <a:solidFill>
              <a:schemeClr val="accent2">
                <a:alpha val="85000"/>
              </a:schemeClr>
            </a:solidFill>
            <a:ln w="9525" cap="flat" cmpd="sng" algn="ctr">
              <a:solidFill>
                <a:schemeClr val="lt1">
                  <a:alpha val="50000"/>
                </a:schemeClr>
              </a:solidFill>
              <a:round/>
            </a:ln>
            <a:effectLst/>
          </c:spPr>
          <c:invertIfNegative val="0"/>
          <c:cat>
            <c:numRef>
              <c:f>'15b-Charts Comp'!$D$458:$M$458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Comp'!$D$459:$M$459</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F48-40DC-AB49-B5A67B39D211}"/>
            </c:ext>
          </c:extLst>
        </c:ser>
        <c:ser>
          <c:idx val="1"/>
          <c:order val="1"/>
          <c:tx>
            <c:strRef>
              <c:f>'15b-Charts Comp'!$B$460</c:f>
              <c:strCache>
                <c:ptCount val="1"/>
                <c:pt idx="0">
                  <c:v>Current Value Added</c:v>
                </c:pt>
              </c:strCache>
            </c:strRef>
          </c:tx>
          <c:spPr>
            <a:solidFill>
              <a:schemeClr val="accent4">
                <a:alpha val="85000"/>
              </a:schemeClr>
            </a:solidFill>
            <a:ln w="9525" cap="flat" cmpd="sng" algn="ctr">
              <a:solidFill>
                <a:schemeClr val="lt1">
                  <a:alpha val="50000"/>
                </a:schemeClr>
              </a:solidFill>
              <a:round/>
            </a:ln>
            <a:effectLst/>
          </c:spPr>
          <c:invertIfNegative val="0"/>
          <c:cat>
            <c:numRef>
              <c:f>'15b-Charts Comp'!$D$458:$M$458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Comp'!$D$460:$M$460</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F48-40DC-AB49-B5A67B39D211}"/>
            </c:ext>
          </c:extLst>
        </c:ser>
        <c:ser>
          <c:idx val="2"/>
          <c:order val="2"/>
          <c:tx>
            <c:strRef>
              <c:f>'15b-Charts Comp'!$B$461</c:f>
              <c:strCache>
                <c:ptCount val="1"/>
                <c:pt idx="0">
                  <c:v>Capital</c:v>
                </c:pt>
              </c:strCache>
            </c:strRef>
          </c:tx>
          <c:spPr>
            <a:solidFill>
              <a:schemeClr val="accent6">
                <a:alpha val="85000"/>
              </a:schemeClr>
            </a:solidFill>
            <a:ln w="9525" cap="flat" cmpd="sng" algn="ctr">
              <a:solidFill>
                <a:schemeClr val="lt1">
                  <a:alpha val="50000"/>
                </a:schemeClr>
              </a:solidFill>
              <a:round/>
            </a:ln>
            <a:effectLst/>
          </c:spPr>
          <c:invertIfNegative val="0"/>
          <c:cat>
            <c:numRef>
              <c:f>'15b-Charts Comp'!$D$458:$M$458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Comp'!$D$461:$M$461</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FF48-40DC-AB49-B5A67B39D211}"/>
            </c:ext>
          </c:extLst>
        </c:ser>
        <c:dLbls>
          <c:showLegendKey val="0"/>
          <c:showVal val="0"/>
          <c:showCatName val="0"/>
          <c:showSerName val="0"/>
          <c:showPercent val="0"/>
          <c:showBubbleSize val="0"/>
        </c:dLbls>
        <c:gapWidth val="65"/>
        <c:axId val="529933280"/>
        <c:axId val="529930328"/>
      </c:barChart>
      <c:catAx>
        <c:axId val="52993328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529930328"/>
        <c:crosses val="autoZero"/>
        <c:auto val="1"/>
        <c:lblAlgn val="ctr"/>
        <c:lblOffset val="100"/>
        <c:noMultiLvlLbl val="0"/>
      </c:catAx>
      <c:valAx>
        <c:axId val="529930328"/>
        <c:scaling>
          <c:orientation val="minMax"/>
        </c:scaling>
        <c:delete val="1"/>
        <c:axPos val="l"/>
        <c:numFmt formatCode="0%" sourceLinked="1"/>
        <c:majorTickMark val="none"/>
        <c:minorTickMark val="none"/>
        <c:tickLblPos val="nextTo"/>
        <c:crossAx val="529933280"/>
        <c:crosses val="autoZero"/>
        <c:crossBetween val="between"/>
      </c:valAx>
      <c:spPr>
        <a:noFill/>
        <a:ln>
          <a:noFill/>
        </a:ln>
        <a:effectLst/>
      </c:spPr>
    </c:plotArea>
    <c:plotVisOnly val="1"/>
    <c:dispBlanksAs val="gap"/>
    <c:showDLblsOverMax val="0"/>
  </c:chart>
  <c:spPr>
    <a:solidFill>
      <a:schemeClr val="bg1">
        <a:lumMod val="75000"/>
      </a:schemeClr>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NZ" baseline="0"/>
              <a:t>Valuation </a:t>
            </a:r>
            <a:r>
              <a:rPr lang="en-NZ"/>
              <a:t>Components</a:t>
            </a:r>
          </a:p>
          <a:p>
            <a:pPr>
              <a:defRPr sz="1400"/>
            </a:pPr>
            <a:r>
              <a:rPr lang="en-NZ">
                <a:solidFill>
                  <a:srgbClr val="E60019"/>
                </a:solidFill>
              </a:rPr>
              <a:t>The Warehouse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tx>
            <c:strRef>
              <c:f>'15b-Charts Comp'!$B$432</c:f>
              <c:strCache>
                <c:ptCount val="1"/>
                <c:pt idx="0">
                  <c:v>Future Value Added</c:v>
                </c:pt>
              </c:strCache>
            </c:strRef>
          </c:tx>
          <c:spPr>
            <a:solidFill>
              <a:schemeClr val="accent2">
                <a:alpha val="85000"/>
              </a:schemeClr>
            </a:solidFill>
            <a:ln w="9525" cap="flat" cmpd="sng" algn="ctr">
              <a:solidFill>
                <a:schemeClr val="lt1">
                  <a:alpha val="50000"/>
                </a:schemeClr>
              </a:solidFill>
              <a:round/>
            </a:ln>
            <a:effectLst/>
          </c:spPr>
          <c:invertIfNegative val="0"/>
          <c:cat>
            <c:numRef>
              <c:f>'15b-Charts Comp'!$D$431:$M$431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Comp'!$D$432:$M$432</c:f>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FF48-40DC-AB49-B5A67B39D211}"/>
            </c:ext>
          </c:extLst>
        </c:ser>
        <c:ser>
          <c:idx val="1"/>
          <c:order val="1"/>
          <c:tx>
            <c:strRef>
              <c:f>'15b-Charts Comp'!$B$433</c:f>
              <c:strCache>
                <c:ptCount val="1"/>
                <c:pt idx="0">
                  <c:v>Current Value Added</c:v>
                </c:pt>
              </c:strCache>
            </c:strRef>
          </c:tx>
          <c:spPr>
            <a:solidFill>
              <a:schemeClr val="accent4">
                <a:alpha val="85000"/>
              </a:schemeClr>
            </a:solidFill>
            <a:ln w="9525" cap="flat" cmpd="sng" algn="ctr">
              <a:solidFill>
                <a:schemeClr val="lt1">
                  <a:alpha val="50000"/>
                </a:schemeClr>
              </a:solidFill>
              <a:round/>
            </a:ln>
            <a:effectLst/>
          </c:spPr>
          <c:invertIfNegative val="0"/>
          <c:cat>
            <c:numRef>
              <c:f>'15b-Charts Comp'!$D$431:$M$431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Comp'!$D$433:$M$433</c:f>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FF48-40DC-AB49-B5A67B39D211}"/>
            </c:ext>
          </c:extLst>
        </c:ser>
        <c:ser>
          <c:idx val="2"/>
          <c:order val="2"/>
          <c:tx>
            <c:strRef>
              <c:f>'15b-Charts Comp'!$B$434</c:f>
              <c:strCache>
                <c:ptCount val="1"/>
                <c:pt idx="0">
                  <c:v>Capital</c:v>
                </c:pt>
              </c:strCache>
            </c:strRef>
          </c:tx>
          <c:spPr>
            <a:solidFill>
              <a:schemeClr val="accent6">
                <a:alpha val="85000"/>
              </a:schemeClr>
            </a:solidFill>
            <a:ln w="9525" cap="flat" cmpd="sng" algn="ctr">
              <a:solidFill>
                <a:schemeClr val="lt1">
                  <a:alpha val="50000"/>
                </a:schemeClr>
              </a:solidFill>
              <a:round/>
            </a:ln>
            <a:effectLst/>
          </c:spPr>
          <c:invertIfNegative val="0"/>
          <c:cat>
            <c:numRef>
              <c:f>'15b-Charts Comp'!$D$431:$M$431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Comp'!$D$434:$M$434</c:f>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FF48-40DC-AB49-B5A67B39D211}"/>
            </c:ext>
          </c:extLst>
        </c:ser>
        <c:dLbls>
          <c:showLegendKey val="0"/>
          <c:showVal val="0"/>
          <c:showCatName val="0"/>
          <c:showSerName val="0"/>
          <c:showPercent val="0"/>
          <c:showBubbleSize val="0"/>
        </c:dLbls>
        <c:gapWidth val="65"/>
        <c:axId val="529933280"/>
        <c:axId val="529930328"/>
      </c:barChart>
      <c:catAx>
        <c:axId val="52993328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529930328"/>
        <c:crosses val="autoZero"/>
        <c:auto val="1"/>
        <c:lblAlgn val="ctr"/>
        <c:lblOffset val="100"/>
        <c:noMultiLvlLbl val="0"/>
      </c:catAx>
      <c:valAx>
        <c:axId val="529930328"/>
        <c:scaling>
          <c:orientation val="minMax"/>
        </c:scaling>
        <c:delete val="1"/>
        <c:axPos val="l"/>
        <c:numFmt formatCode="0%" sourceLinked="1"/>
        <c:majorTickMark val="none"/>
        <c:minorTickMark val="none"/>
        <c:tickLblPos val="nextTo"/>
        <c:crossAx val="52993328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680597617605493"/>
          <c:y val="0.1971938211795142"/>
          <c:w val="0.73882062819070693"/>
          <c:h val="0.58802161603421688"/>
        </c:manualLayout>
      </c:layout>
      <c:barChart>
        <c:barDir val="col"/>
        <c:grouping val="clustered"/>
        <c:varyColors val="0"/>
        <c:ser>
          <c:idx val="0"/>
          <c:order val="0"/>
          <c:tx>
            <c:strRef>
              <c:f>'15b-Charts Comp'!$B$290</c:f>
              <c:strCache>
                <c:ptCount val="1"/>
                <c:pt idx="0">
                  <c:v>MVA</c:v>
                </c:pt>
              </c:strCache>
            </c:strRef>
          </c:tx>
          <c:spPr>
            <a:solidFill>
              <a:sysClr val="windowText" lastClr="000000"/>
            </a:solidFill>
            <a:ln w="6350">
              <a:solidFill>
                <a:srgbClr val="000000"/>
              </a:solidFill>
            </a:ln>
            <a:effectLst>
              <a:outerShdw blurRad="40000" dist="23000" dir="5400000" rotWithShape="0">
                <a:srgbClr val="000000">
                  <a:alpha val="35000"/>
                </a:srgbClr>
              </a:outerShdw>
            </a:effectLst>
          </c:spPr>
          <c:invertIfNegative val="0"/>
          <c:trendline>
            <c:spPr>
              <a:ln w="19050" cap="rnd">
                <a:solidFill>
                  <a:sysClr val="windowText" lastClr="000000"/>
                </a:solidFill>
                <a:prstDash val="dash"/>
              </a:ln>
              <a:effectLst/>
            </c:spPr>
            <c:trendlineType val="linear"/>
            <c:dispRSqr val="0"/>
            <c:dispEq val="0"/>
          </c:trendline>
          <c:cat>
            <c:numRef>
              <c:f>'15b-Charts Comp'!$D$289:$M$289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Comp'!$D$290:$M$290</c:f>
              <c:numCache>
                <c:formatCode>_-* #,##0_-;\-* #,##0_-;_-*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BE-41D9-B86F-C61887FFED7A}"/>
            </c:ext>
          </c:extLst>
        </c:ser>
        <c:dLbls>
          <c:showLegendKey val="0"/>
          <c:showVal val="0"/>
          <c:showCatName val="0"/>
          <c:showSerName val="0"/>
          <c:showPercent val="0"/>
          <c:showBubbleSize val="0"/>
        </c:dLbls>
        <c:gapWidth val="30"/>
        <c:overlap val="-27"/>
        <c:axId val="644856656"/>
        <c:axId val="644859608"/>
      </c:barChart>
      <c:lineChart>
        <c:grouping val="standard"/>
        <c:varyColors val="0"/>
        <c:ser>
          <c:idx val="1"/>
          <c:order val="1"/>
          <c:tx>
            <c:strRef>
              <c:f>'15b-Charts Comp'!$B$291</c:f>
              <c:strCache>
                <c:ptCount val="1"/>
                <c:pt idx="0">
                  <c:v>EVA</c:v>
                </c:pt>
              </c:strCache>
            </c:strRef>
          </c:tx>
          <c:spPr>
            <a:ln w="25400" cap="rnd">
              <a:solidFill>
                <a:srgbClr val="E60019"/>
              </a:solidFill>
              <a:round/>
            </a:ln>
            <a:effectLst>
              <a:outerShdw blurRad="40000" dist="23000" dir="5400000" rotWithShape="0">
                <a:srgbClr val="000000">
                  <a:alpha val="35000"/>
                </a:srgbClr>
              </a:outerShdw>
            </a:effectLst>
          </c:spPr>
          <c:marker>
            <c:symbol val="none"/>
          </c:marker>
          <c:trendline>
            <c:spPr>
              <a:ln w="19050" cap="rnd">
                <a:solidFill>
                  <a:srgbClr val="C0504D"/>
                </a:solidFill>
                <a:prstDash val="dash"/>
              </a:ln>
              <a:effectLst/>
            </c:spPr>
            <c:trendlineType val="linear"/>
            <c:dispRSqr val="0"/>
            <c:dispEq val="0"/>
          </c:trendline>
          <c:cat>
            <c:numRef>
              <c:f>'15b-Charts Comp'!$D$289:$M$289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Comp'!$D$291:$M$291</c:f>
              <c:numCache>
                <c:formatCode>_(* #,##0_);_(* \(#,##0\);_(* "-"??_);_(@_)</c:formatCode>
                <c:ptCount val="10"/>
                <c:pt idx="0">
                  <c:v>0</c:v>
                </c:pt>
                <c:pt idx="1">
                  <c:v>0</c:v>
                </c:pt>
                <c:pt idx="2">
                  <c:v>0</c:v>
                </c:pt>
                <c:pt idx="3">
                  <c:v>0</c:v>
                </c:pt>
                <c:pt idx="4">
                  <c:v>0</c:v>
                </c:pt>
                <c:pt idx="5">
                  <c:v>0</c:v>
                </c:pt>
                <c:pt idx="6">
                  <c:v>0</c:v>
                </c:pt>
                <c:pt idx="7">
                  <c:v>0</c:v>
                </c:pt>
                <c:pt idx="8">
                  <c:v>0</c:v>
                </c:pt>
              </c:numCache>
            </c:numRef>
          </c:val>
          <c:smooth val="1"/>
          <c:extLst>
            <c:ext xmlns:c16="http://schemas.microsoft.com/office/drawing/2014/chart" uri="{C3380CC4-5D6E-409C-BE32-E72D297353CC}">
              <c16:uniqueId val="{00000001-D4BE-41D9-B86F-C61887FFED7A}"/>
            </c:ext>
          </c:extLst>
        </c:ser>
        <c:dLbls>
          <c:showLegendKey val="0"/>
          <c:showVal val="0"/>
          <c:showCatName val="0"/>
          <c:showSerName val="0"/>
          <c:showPercent val="0"/>
          <c:showBubbleSize val="0"/>
        </c:dLbls>
        <c:marker val="1"/>
        <c:smooth val="0"/>
        <c:axId val="527293216"/>
        <c:axId val="527292888"/>
      </c:lineChart>
      <c:catAx>
        <c:axId val="644856656"/>
        <c:scaling>
          <c:orientation val="minMax"/>
        </c:scaling>
        <c:delete val="0"/>
        <c:axPos val="b"/>
        <c:numFmt formatCode="General" sourceLinked="1"/>
        <c:majorTickMark val="out"/>
        <c:minorTickMark val="none"/>
        <c:tickLblPos val="nextTo"/>
        <c:spPr>
          <a:solidFill>
            <a:sysClr val="window" lastClr="FFFFFF">
              <a:lumMod val="75000"/>
            </a:sysClr>
          </a:solid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4859608"/>
        <c:crosses val="autoZero"/>
        <c:auto val="1"/>
        <c:lblAlgn val="ctr"/>
        <c:lblOffset val="100"/>
        <c:noMultiLvlLbl val="0"/>
      </c:catAx>
      <c:valAx>
        <c:axId val="644859608"/>
        <c:scaling>
          <c:orientation val="minMax"/>
        </c:scaling>
        <c:delete val="0"/>
        <c:axPos val="l"/>
        <c:majorGridlines>
          <c:spPr>
            <a:ln w="3175" cap="flat" cmpd="sng" algn="ctr">
              <a:solidFill>
                <a:sysClr val="window" lastClr="FFFFFF"/>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a:solidFill>
                      <a:schemeClr val="tx1"/>
                    </a:solidFill>
                  </a:rPr>
                  <a:t>MVA (bar)</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44856656"/>
        <c:crosses val="autoZero"/>
        <c:crossBetween val="between"/>
      </c:valAx>
      <c:valAx>
        <c:axId val="527292888"/>
        <c:scaling>
          <c:orientation val="minMax"/>
        </c:scaling>
        <c:delete val="0"/>
        <c:axPos val="r"/>
        <c:title>
          <c:tx>
            <c:rich>
              <a:bodyPr rot="-5400000" spcFirstLastPara="1" vertOverflow="ellipsis" vert="horz" wrap="square" anchor="ctr" anchorCtr="1"/>
              <a:lstStyle/>
              <a:p>
                <a:pPr>
                  <a:defRPr sz="900" b="1" i="0" u="none" strike="noStrike" kern="1200" baseline="0">
                    <a:solidFill>
                      <a:srgbClr val="FF0000"/>
                    </a:solidFill>
                    <a:latin typeface="+mn-lt"/>
                    <a:ea typeface="+mn-ea"/>
                    <a:cs typeface="+mn-cs"/>
                  </a:defRPr>
                </a:pPr>
                <a:r>
                  <a:rPr lang="en-US">
                    <a:solidFill>
                      <a:srgbClr val="FF0000"/>
                    </a:solidFill>
                  </a:rPr>
                  <a:t>EVA (line)</a:t>
                </a:r>
              </a:p>
            </c:rich>
          </c:tx>
          <c:overlay val="0"/>
          <c:spPr>
            <a:noFill/>
            <a:ln>
              <a:noFill/>
            </a:ln>
            <a:effectLst/>
          </c:spPr>
          <c:txPr>
            <a:bodyPr rot="-5400000" spcFirstLastPara="1" vertOverflow="ellipsis" vert="horz" wrap="square" anchor="ctr" anchorCtr="1"/>
            <a:lstStyle/>
            <a:p>
              <a:pPr>
                <a:defRPr sz="900" b="1" i="0" u="none" strike="noStrike" kern="1200" baseline="0">
                  <a:solidFill>
                    <a:srgbClr val="FF0000"/>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7293216"/>
        <c:crosses val="max"/>
        <c:crossBetween val="between"/>
      </c:valAx>
      <c:catAx>
        <c:axId val="527293216"/>
        <c:scaling>
          <c:orientation val="minMax"/>
        </c:scaling>
        <c:delete val="1"/>
        <c:axPos val="b"/>
        <c:numFmt formatCode="General" sourceLinked="1"/>
        <c:majorTickMark val="none"/>
        <c:minorTickMark val="none"/>
        <c:tickLblPos val="nextTo"/>
        <c:crossAx val="527292888"/>
        <c:crosses val="autoZero"/>
        <c:auto val="1"/>
        <c:lblAlgn val="ctr"/>
        <c:lblOffset val="100"/>
        <c:noMultiLvlLbl val="0"/>
      </c:catAx>
      <c:spPr>
        <a:noFill/>
        <a:ln w="3175">
          <a:noFill/>
        </a:ln>
        <a:effectLst/>
      </c:spPr>
    </c:plotArea>
    <c:plotVisOnly val="1"/>
    <c:dispBlanksAs val="gap"/>
    <c:showDLblsOverMax val="0"/>
  </c:chart>
  <c:spPr>
    <a:solidFill>
      <a:sysClr val="window" lastClr="FFFFFF">
        <a:lumMod val="75000"/>
      </a:sysClr>
    </a:solidFill>
    <a:ln w="1587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880568767703421E-2"/>
          <c:y val="0.1635194910646941"/>
          <c:w val="0.82439134601719277"/>
          <c:h val="0.77090899103669397"/>
        </c:manualLayout>
      </c:layout>
      <c:barChart>
        <c:barDir val="col"/>
        <c:grouping val="clustered"/>
        <c:varyColors val="0"/>
        <c:ser>
          <c:idx val="0"/>
          <c:order val="0"/>
          <c:tx>
            <c:strRef>
              <c:f>'15b-Charts Comp'!$B$153</c:f>
              <c:strCache>
                <c:ptCount val="1"/>
                <c:pt idx="0">
                  <c:v>Economic value added</c:v>
                </c:pt>
              </c:strCache>
            </c:strRef>
          </c:tx>
          <c:spPr>
            <a:solidFill>
              <a:srgbClr val="FFC000"/>
            </a:solidFill>
            <a:ln>
              <a:solidFill>
                <a:schemeClr val="accent1"/>
              </a:solidFill>
            </a:ln>
            <a:effectLst/>
          </c:spPr>
          <c:invertIfNegative val="1"/>
          <c:dPt>
            <c:idx val="3"/>
            <c:invertIfNegative val="1"/>
            <c:bubble3D val="0"/>
            <c:spPr>
              <a:solidFill>
                <a:srgbClr val="C00000"/>
              </a:solidFill>
              <a:ln>
                <a:solidFill>
                  <a:srgbClr val="C00000"/>
                </a:solidFill>
              </a:ln>
              <a:effectLst/>
            </c:spPr>
            <c:extLst>
              <c:ext xmlns:c16="http://schemas.microsoft.com/office/drawing/2014/chart" uri="{C3380CC4-5D6E-409C-BE32-E72D297353CC}">
                <c16:uniqueId val="{00000005-2E24-4395-BBEC-90D4E4B5845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'15b-Charts Comp'!$C$152:$I$152</c15:sqref>
                  </c15:fullRef>
                </c:ext>
              </c:extLst>
              <c:f>'15b-Charts Comp'!$D$152:$I$152</c:f>
              <c:numCache>
                <c:formatCode>General</c:formatCode>
                <c:ptCount val="6"/>
                <c:pt idx="0">
                  <c:v>2013</c:v>
                </c:pt>
                <c:pt idx="1">
                  <c:v>2014</c:v>
                </c:pt>
                <c:pt idx="2">
                  <c:v>2015</c:v>
                </c:pt>
                <c:pt idx="3">
                  <c:v>2016</c:v>
                </c:pt>
                <c:pt idx="4">
                  <c:v>2017</c:v>
                </c:pt>
                <c:pt idx="5">
                  <c:v>2018</c:v>
                </c:pt>
              </c:numCache>
            </c:numRef>
          </c:cat>
          <c:val>
            <c:numRef>
              <c:extLst>
                <c:ext xmlns:c15="http://schemas.microsoft.com/office/drawing/2012/chart" uri="{02D57815-91ED-43cb-92C2-25804820EDAC}">
                  <c15:fullRef>
                    <c15:sqref>'15b-Charts Comp'!$C$153:$I$153</c15:sqref>
                  </c15:fullRef>
                </c:ext>
              </c:extLst>
              <c:f>'15b-Charts Comp'!$D$153:$I$153</c:f>
              <c:numCache>
                <c:formatCode>_-* #,##0_-;\-* #,##0_-;_-* "-"??_-;_-@_-</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a:solidFill>
                      <a:schemeClr val="accent1"/>
                    </a:solidFill>
                  </a:ln>
                  <a:effectLst/>
                </c14:spPr>
              </c14:invertSolidFillFmt>
            </c:ext>
            <c:ext xmlns:c16="http://schemas.microsoft.com/office/drawing/2014/chart" uri="{C3380CC4-5D6E-409C-BE32-E72D297353CC}">
              <c16:uniqueId val="{00000000-5A1B-4A31-A723-2C9D7740FF56}"/>
            </c:ext>
          </c:extLst>
        </c:ser>
        <c:dLbls>
          <c:dLblPos val="outEnd"/>
          <c:showLegendKey val="0"/>
          <c:showVal val="1"/>
          <c:showCatName val="0"/>
          <c:showSerName val="0"/>
          <c:showPercent val="0"/>
          <c:showBubbleSize val="0"/>
        </c:dLbls>
        <c:gapWidth val="10"/>
        <c:overlap val="-27"/>
        <c:axId val="718273384"/>
        <c:axId val="718270760"/>
      </c:barChart>
      <c:catAx>
        <c:axId val="7182733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18270760"/>
        <c:crosses val="autoZero"/>
        <c:auto val="1"/>
        <c:lblAlgn val="ctr"/>
        <c:lblOffset val="100"/>
        <c:noMultiLvlLbl val="0"/>
      </c:catAx>
      <c:valAx>
        <c:axId val="718270760"/>
        <c:scaling>
          <c:orientation val="minMax"/>
        </c:scaling>
        <c:delete val="1"/>
        <c:axPos val="l"/>
        <c:majorGridlines>
          <c:spPr>
            <a:ln w="3175" cap="flat" cmpd="sng" algn="ctr">
              <a:solidFill>
                <a:schemeClr val="bg1"/>
              </a:solidFill>
              <a:round/>
            </a:ln>
            <a:effectLst/>
          </c:spPr>
        </c:majorGridlines>
        <c:numFmt formatCode="0%" sourceLinked="0"/>
        <c:majorTickMark val="out"/>
        <c:minorTickMark val="none"/>
        <c:tickLblPos val="nextTo"/>
        <c:crossAx val="718273384"/>
        <c:crosses val="autoZero"/>
        <c:crossBetween val="between"/>
      </c:valAx>
      <c:spPr>
        <a:solidFill>
          <a:schemeClr val="bg1">
            <a:lumMod val="75000"/>
          </a:schemeClr>
        </a:solidFill>
        <a:ln w="9525">
          <a:noFill/>
        </a:ln>
        <a:effectLst/>
      </c:spPr>
    </c:plotArea>
    <c:plotVisOnly val="1"/>
    <c:dispBlanksAs val="gap"/>
    <c:showDLblsOverMax val="0"/>
  </c:chart>
  <c:spPr>
    <a:solidFill>
      <a:schemeClr val="bg1">
        <a:lumMod val="75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97039398530299"/>
          <c:y val="0.21117910835468148"/>
          <c:w val="0.82457425015901786"/>
          <c:h val="0.64235617008659662"/>
        </c:manualLayout>
      </c:layout>
      <c:barChart>
        <c:barDir val="col"/>
        <c:grouping val="clustered"/>
        <c:varyColors val="0"/>
        <c:ser>
          <c:idx val="0"/>
          <c:order val="0"/>
          <c:tx>
            <c:strRef>
              <c:f>'15b-Charts Comp'!$B$262:$C$262</c:f>
              <c:strCache>
                <c:ptCount val="2"/>
                <c:pt idx="0">
                  <c:v>The Warehouse</c:v>
                </c:pt>
              </c:strCache>
            </c:strRef>
          </c:tx>
          <c:spPr>
            <a:solidFill>
              <a:srgbClr val="FF0000"/>
            </a:solidFill>
            <a:ln>
              <a:noFill/>
            </a:ln>
            <a:effectLst/>
          </c:spPr>
          <c:invertIfNegative val="0"/>
          <c:cat>
            <c:numRef>
              <c:f>'15b-Charts Comp'!$D$261:$M$261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Comp'!$D$262:$M$262</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FFF-41C9-BE51-67186CF430E9}"/>
            </c:ext>
          </c:extLst>
        </c:ser>
        <c:ser>
          <c:idx val="1"/>
          <c:order val="1"/>
          <c:tx>
            <c:strRef>
              <c:f>'15b-Charts Comp'!$B$263:$C$263</c:f>
              <c:strCache>
                <c:ptCount val="2"/>
                <c:pt idx="0">
                  <c:v>Briscoe Group</c:v>
                </c:pt>
              </c:strCache>
            </c:strRef>
          </c:tx>
          <c:spPr>
            <a:solidFill>
              <a:srgbClr val="0070C0"/>
            </a:solidFill>
            <a:ln>
              <a:noFill/>
            </a:ln>
            <a:effectLst/>
          </c:spPr>
          <c:invertIfNegative val="0"/>
          <c:cat>
            <c:numRef>
              <c:f>'15b-Charts Comp'!$D$261:$M$261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Comp'!$D$263:$M$263</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FFF-41C9-BE51-67186CF430E9}"/>
            </c:ext>
          </c:extLst>
        </c:ser>
        <c:dLbls>
          <c:showLegendKey val="0"/>
          <c:showVal val="0"/>
          <c:showCatName val="0"/>
          <c:showSerName val="0"/>
          <c:showPercent val="0"/>
          <c:showBubbleSize val="0"/>
        </c:dLbls>
        <c:gapWidth val="30"/>
        <c:overlap val="-27"/>
        <c:axId val="666449952"/>
        <c:axId val="666452248"/>
      </c:barChart>
      <c:catAx>
        <c:axId val="66644995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666452248"/>
        <c:crosses val="autoZero"/>
        <c:auto val="1"/>
        <c:lblAlgn val="ctr"/>
        <c:lblOffset val="100"/>
        <c:noMultiLvlLbl val="0"/>
      </c:catAx>
      <c:valAx>
        <c:axId val="666452248"/>
        <c:scaling>
          <c:orientation val="minMax"/>
        </c:scaling>
        <c:delete val="0"/>
        <c:axPos val="l"/>
        <c:majorGridlines>
          <c:spPr>
            <a:ln w="3175" cap="flat" cmpd="sng" algn="ctr">
              <a:solidFill>
                <a:schemeClr val="bg1"/>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6449952"/>
        <c:crosses val="autoZero"/>
        <c:crossBetween val="between"/>
      </c:valAx>
      <c:spPr>
        <a:solidFill>
          <a:schemeClr val="bg1">
            <a:lumMod val="75000"/>
          </a:schemeClr>
        </a:solidFill>
        <a:ln w="15875">
          <a:noFill/>
        </a:ln>
        <a:effectLst/>
      </c:spPr>
    </c:plotArea>
    <c:plotVisOnly val="1"/>
    <c:dispBlanksAs val="gap"/>
    <c:showDLblsOverMax val="0"/>
  </c:chart>
  <c:spPr>
    <a:solidFill>
      <a:schemeClr val="bg1">
        <a:lumMod val="75000"/>
      </a:schemeClr>
    </a:solidFill>
    <a:ln w="1587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523709585083701"/>
          <c:y val="8.8259303404687656E-2"/>
          <c:w val="0.80579514576214017"/>
          <c:h val="0.74864555798436849"/>
        </c:manualLayout>
      </c:layout>
      <c:barChart>
        <c:barDir val="col"/>
        <c:grouping val="clustered"/>
        <c:varyColors val="0"/>
        <c:ser>
          <c:idx val="0"/>
          <c:order val="0"/>
          <c:tx>
            <c:strRef>
              <c:f>'15b-Charts Comp'!$B$63:$C$63</c:f>
              <c:strCache>
                <c:ptCount val="2"/>
                <c:pt idx="0">
                  <c:v>The Warehouse</c:v>
                </c:pt>
              </c:strCache>
            </c:strRef>
          </c:tx>
          <c:spPr>
            <a:solidFill>
              <a:srgbClr val="FF0000"/>
            </a:solidFill>
            <a:ln>
              <a:noFill/>
            </a:ln>
            <a:effectLst/>
          </c:spPr>
          <c:invertIfNegative val="0"/>
          <c:trendline>
            <c:spPr>
              <a:ln w="25400" cap="rnd">
                <a:solidFill>
                  <a:schemeClr val="accent2"/>
                </a:solidFill>
                <a:prstDash val="sysDot"/>
              </a:ln>
              <a:effectLst/>
            </c:spPr>
            <c:trendlineType val="linear"/>
            <c:dispRSqr val="0"/>
            <c:dispEq val="0"/>
          </c:trendline>
          <c:val>
            <c:numRef>
              <c:f>'15b-Charts Comp'!$D$63:$I$63</c:f>
              <c:numCache>
                <c:formatCode>0.0%</c:formatCode>
                <c:ptCount val="6"/>
                <c:pt idx="0">
                  <c:v>0</c:v>
                </c:pt>
                <c:pt idx="1">
                  <c:v>0</c:v>
                </c:pt>
                <c:pt idx="2">
                  <c:v>0</c:v>
                </c:pt>
                <c:pt idx="3">
                  <c:v>0</c:v>
                </c:pt>
                <c:pt idx="4">
                  <c:v>0</c:v>
                </c:pt>
                <c:pt idx="5">
                  <c:v>0</c:v>
                </c:pt>
              </c:numCache>
            </c:numRef>
          </c:val>
          <c:extLst>
            <c:ext xmlns:c15="http://schemas.microsoft.com/office/drawing/2012/chart" uri="{02D57815-91ED-43cb-92C2-25804820EDAC}">
              <c15:filteredCategoryTitle>
                <c15:cat>
                  <c:multiLvlStrRef>
                    <c:extLst>
                      <c:ext uri="{02D57815-91ED-43cb-92C2-25804820EDAC}">
                        <c15:formulaRef>
                          <c15:sqref>'15b-Charts Comp'!$D$62:$I$62</c15:sqref>
                        </c15:formulaRef>
                      </c:ext>
                    </c:extLst>
                  </c:multiLvlStrRef>
                </c15:cat>
              </c15:filteredCategoryTitle>
            </c:ext>
            <c:ext xmlns:c16="http://schemas.microsoft.com/office/drawing/2014/chart" uri="{C3380CC4-5D6E-409C-BE32-E72D297353CC}">
              <c16:uniqueId val="{00000000-D3CA-4EA8-B09F-0CB0312CC6E8}"/>
            </c:ext>
          </c:extLst>
        </c:ser>
        <c:ser>
          <c:idx val="1"/>
          <c:order val="1"/>
          <c:tx>
            <c:strRef>
              <c:f>'15b-Charts Comp'!$B$64:$C$64</c:f>
              <c:strCache>
                <c:ptCount val="2"/>
                <c:pt idx="0">
                  <c:v>Briscoe Group</c:v>
                </c:pt>
              </c:strCache>
            </c:strRef>
          </c:tx>
          <c:spPr>
            <a:solidFill>
              <a:srgbClr val="0070C0"/>
            </a:solidFill>
            <a:ln>
              <a:noFill/>
            </a:ln>
            <a:effectLst/>
          </c:spPr>
          <c:invertIfNegative val="0"/>
          <c:trendline>
            <c:spPr>
              <a:ln w="25400" cap="rnd">
                <a:solidFill>
                  <a:schemeClr val="accent4"/>
                </a:solidFill>
                <a:prstDash val="sysDot"/>
              </a:ln>
              <a:effectLst/>
            </c:spPr>
            <c:trendlineType val="linear"/>
            <c:dispRSqr val="0"/>
            <c:dispEq val="0"/>
          </c:trendline>
          <c:val>
            <c:numRef>
              <c:f>'15b-Charts Comp'!$D$64:$I$64</c:f>
              <c:numCache>
                <c:formatCode>0.0%</c:formatCode>
                <c:ptCount val="6"/>
                <c:pt idx="0">
                  <c:v>0</c:v>
                </c:pt>
                <c:pt idx="1">
                  <c:v>0</c:v>
                </c:pt>
                <c:pt idx="2">
                  <c:v>0</c:v>
                </c:pt>
                <c:pt idx="3">
                  <c:v>0</c:v>
                </c:pt>
                <c:pt idx="4">
                  <c:v>0</c:v>
                </c:pt>
                <c:pt idx="5">
                  <c:v>0</c:v>
                </c:pt>
              </c:numCache>
            </c:numRef>
          </c:val>
          <c:extLst>
            <c:ext xmlns:c15="http://schemas.microsoft.com/office/drawing/2012/chart" uri="{02D57815-91ED-43cb-92C2-25804820EDAC}">
              <c15:filteredCategoryTitle>
                <c15:cat>
                  <c:multiLvlStrRef>
                    <c:extLst>
                      <c:ext uri="{02D57815-91ED-43cb-92C2-25804820EDAC}">
                        <c15:formulaRef>
                          <c15:sqref>'15b-Charts Comp'!$D$62:$I$62</c15:sqref>
                        </c15:formulaRef>
                      </c:ext>
                    </c:extLst>
                  </c:multiLvlStrRef>
                </c15:cat>
              </c15:filteredCategoryTitle>
            </c:ext>
            <c:ext xmlns:c16="http://schemas.microsoft.com/office/drawing/2014/chart" uri="{C3380CC4-5D6E-409C-BE32-E72D297353CC}">
              <c16:uniqueId val="{00000001-D3CA-4EA8-B09F-0CB0312CC6E8}"/>
            </c:ext>
          </c:extLst>
        </c:ser>
        <c:dLbls>
          <c:showLegendKey val="0"/>
          <c:showVal val="0"/>
          <c:showCatName val="0"/>
          <c:showSerName val="0"/>
          <c:showPercent val="0"/>
          <c:showBubbleSize val="0"/>
        </c:dLbls>
        <c:gapWidth val="10"/>
        <c:overlap val="-27"/>
        <c:axId val="678909840"/>
        <c:axId val="678903936"/>
      </c:barChart>
      <c:catAx>
        <c:axId val="678909840"/>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78903936"/>
        <c:crosses val="autoZero"/>
        <c:auto val="1"/>
        <c:lblAlgn val="ctr"/>
        <c:lblOffset val="100"/>
        <c:noMultiLvlLbl val="1"/>
      </c:catAx>
      <c:valAx>
        <c:axId val="678903936"/>
        <c:scaling>
          <c:orientation val="minMax"/>
        </c:scaling>
        <c:delete val="0"/>
        <c:axPos val="l"/>
        <c:majorGridlines>
          <c:spPr>
            <a:ln w="3175" cap="flat" cmpd="sng" algn="ctr">
              <a:solidFill>
                <a:sysClr val="window" lastClr="FFFFFF"/>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78909840"/>
        <c:crosses val="autoZero"/>
        <c:crossBetween val="between"/>
      </c:valAx>
      <c:spPr>
        <a:noFill/>
        <a:ln>
          <a:noFill/>
        </a:ln>
        <a:effectLst/>
      </c:spPr>
    </c:plotArea>
    <c:plotVisOnly val="1"/>
    <c:dispBlanksAs val="gap"/>
    <c:showDLblsOverMax val="0"/>
  </c:chart>
  <c:spPr>
    <a:solidFill>
      <a:schemeClr val="bg1">
        <a:lumMod val="75000"/>
      </a:schemeClr>
    </a:solidFill>
    <a:ln w="1587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9.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7">
  <a:schemeClr val="accent4"/>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customXml" Target="../ink/ink93.xml"/><Relationship Id="rId3" Type="http://schemas.openxmlformats.org/officeDocument/2006/relationships/customXml" Target="../ink/ink90.xml"/><Relationship Id="rId7" Type="http://schemas.openxmlformats.org/officeDocument/2006/relationships/chart" Target="../charts/chart20.xml"/><Relationship Id="rId2" Type="http://schemas.openxmlformats.org/officeDocument/2006/relationships/customXml" Target="../ink/ink89.xml"/><Relationship Id="rId1" Type="http://schemas.openxmlformats.org/officeDocument/2006/relationships/customXml" Target="../ink/ink88.xml"/><Relationship Id="rId6" Type="http://schemas.openxmlformats.org/officeDocument/2006/relationships/chart" Target="../charts/chart19.xml"/><Relationship Id="rId5" Type="http://schemas.openxmlformats.org/officeDocument/2006/relationships/customXml" Target="../ink/ink92.xml"/><Relationship Id="rId10" Type="http://schemas.openxmlformats.org/officeDocument/2006/relationships/customXml" Target="../ink/ink94.xml"/><Relationship Id="rId4" Type="http://schemas.openxmlformats.org/officeDocument/2006/relationships/customXml" Target="../ink/ink91.xml"/><Relationship Id="rId9" Type="http://schemas.openxmlformats.org/officeDocument/2006/relationships/image" Target="../media/image30.png"/></Relationships>
</file>

<file path=xl/drawings/_rels/drawing13.xml.rels><?xml version="1.0" encoding="UTF-8" standalone="yes"?>
<Relationships xmlns="http://schemas.openxmlformats.org/package/2006/relationships"><Relationship Id="rId3" Type="http://schemas.openxmlformats.org/officeDocument/2006/relationships/customXml" Target="../ink/ink95.xml"/><Relationship Id="rId2" Type="http://schemas.openxmlformats.org/officeDocument/2006/relationships/image" Target="../media/image7.jpeg"/><Relationship Id="rId1" Type="http://schemas.openxmlformats.org/officeDocument/2006/relationships/image" Target="../media/image6.png"/><Relationship Id="rId5" Type="http://schemas.openxmlformats.org/officeDocument/2006/relationships/image" Target="../media/image9.png"/><Relationship Id="rId4"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drawing16.xml.rels><?xml version="1.0" encoding="UTF-8" standalone="yes"?>
<Relationships xmlns="http://schemas.openxmlformats.org/package/2006/relationships"><Relationship Id="rId8" Type="http://schemas.openxmlformats.org/officeDocument/2006/relationships/image" Target="../media/image25.emf"/><Relationship Id="rId3" Type="http://schemas.openxmlformats.org/officeDocument/2006/relationships/image" Target="../media/image20.emf"/><Relationship Id="rId7" Type="http://schemas.openxmlformats.org/officeDocument/2006/relationships/image" Target="../media/image24.emf"/><Relationship Id="rId12" Type="http://schemas.openxmlformats.org/officeDocument/2006/relationships/image" Target="../media/image29.emf"/><Relationship Id="rId2" Type="http://schemas.openxmlformats.org/officeDocument/2006/relationships/image" Target="../media/image19.emf"/><Relationship Id="rId1" Type="http://schemas.openxmlformats.org/officeDocument/2006/relationships/image" Target="../media/image18.emf"/><Relationship Id="rId6" Type="http://schemas.openxmlformats.org/officeDocument/2006/relationships/image" Target="../media/image23.emf"/><Relationship Id="rId11" Type="http://schemas.openxmlformats.org/officeDocument/2006/relationships/image" Target="../media/image28.emf"/><Relationship Id="rId5" Type="http://schemas.openxmlformats.org/officeDocument/2006/relationships/image" Target="../media/image22.emf"/><Relationship Id="rId10" Type="http://schemas.openxmlformats.org/officeDocument/2006/relationships/image" Target="../media/image27.emf"/><Relationship Id="rId4" Type="http://schemas.openxmlformats.org/officeDocument/2006/relationships/image" Target="../media/image21.emf"/><Relationship Id="rId9" Type="http://schemas.openxmlformats.org/officeDocument/2006/relationships/image" Target="../media/image2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xml.rels><?xml version="1.0" encoding="UTF-8" standalone="yes"?>
<Relationships xmlns="http://schemas.openxmlformats.org/package/2006/relationships"><Relationship Id="rId8" Type="http://schemas.openxmlformats.org/officeDocument/2006/relationships/customXml" Target="../ink/ink5.xml"/><Relationship Id="rId3" Type="http://schemas.openxmlformats.org/officeDocument/2006/relationships/customXml" Target="../ink/ink2.xml"/><Relationship Id="rId7" Type="http://schemas.openxmlformats.org/officeDocument/2006/relationships/customXml" Target="../ink/ink4.xml"/><Relationship Id="rId2" Type="http://schemas.openxmlformats.org/officeDocument/2006/relationships/image" Target="../media/image3.png"/><Relationship Id="rId1" Type="http://schemas.openxmlformats.org/officeDocument/2006/relationships/customXml" Target="../ink/ink1.xml"/><Relationship Id="rId6" Type="http://schemas.openxmlformats.org/officeDocument/2006/relationships/image" Target="../media/image5.png"/><Relationship Id="rId5" Type="http://schemas.openxmlformats.org/officeDocument/2006/relationships/customXml" Target="../ink/ink3.xml"/><Relationship Id="rId4" Type="http://schemas.openxmlformats.org/officeDocument/2006/relationships/image" Target="../media/image4.png"/><Relationship Id="rId9" Type="http://schemas.openxmlformats.org/officeDocument/2006/relationships/customXml" Target="../ink/ink6.xml"/></Relationships>
</file>

<file path=xl/drawings/_rels/drawing3.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customXml" Target="../ink/ink7.xml"/></Relationships>
</file>

<file path=xl/drawings/_rels/drawing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26" Type="http://schemas.openxmlformats.org/officeDocument/2006/relationships/customXml" Target="../ink/ink26.xml"/><Relationship Id="rId117" Type="http://schemas.openxmlformats.org/officeDocument/2006/relationships/customXml" Target="../ink/ink53.xml"/><Relationship Id="rId21" Type="http://schemas.openxmlformats.org/officeDocument/2006/relationships/customXml" Target="../ink/ink21.xml"/><Relationship Id="rId34" Type="http://schemas.openxmlformats.org/officeDocument/2006/relationships/customXml" Target="../ink/ink34.xml"/><Relationship Id="rId42" Type="http://schemas.openxmlformats.org/officeDocument/2006/relationships/customXml" Target="../ink/ink42.xml"/><Relationship Id="rId47" Type="http://schemas.openxmlformats.org/officeDocument/2006/relationships/customXml" Target="../ink/ink47.xml"/><Relationship Id="rId112" Type="http://schemas.openxmlformats.org/officeDocument/2006/relationships/customXml" Target="../ink/ink49.xml"/><Relationship Id="rId120" Type="http://schemas.openxmlformats.org/officeDocument/2006/relationships/customXml" Target="../ink/ink56.xml"/><Relationship Id="rId125" Type="http://schemas.openxmlformats.org/officeDocument/2006/relationships/chart" Target="../charts/chart10.xml"/><Relationship Id="rId133" Type="http://schemas.openxmlformats.org/officeDocument/2006/relationships/customXml" Target="../ink/ink61.xml"/><Relationship Id="rId138" Type="http://schemas.openxmlformats.org/officeDocument/2006/relationships/chart" Target="../charts/chart16.xml"/><Relationship Id="rId141" Type="http://schemas.openxmlformats.org/officeDocument/2006/relationships/customXml" Target="../ink/ink68.xml"/><Relationship Id="rId146" Type="http://schemas.openxmlformats.org/officeDocument/2006/relationships/customXml" Target="../ink/ink73.xml"/><Relationship Id="rId154" Type="http://schemas.openxmlformats.org/officeDocument/2006/relationships/customXml" Target="../ink/ink80.xml"/><Relationship Id="rId159" Type="http://schemas.openxmlformats.org/officeDocument/2006/relationships/customXml" Target="../ink/ink85.xml"/><Relationship Id="rId7" Type="http://schemas.openxmlformats.org/officeDocument/2006/relationships/customXml" Target="../ink/ink11.xml"/><Relationship Id="rId162" Type="http://schemas.openxmlformats.org/officeDocument/2006/relationships/chart" Target="../charts/chart18.xml"/><Relationship Id="rId2" Type="http://schemas.openxmlformats.org/officeDocument/2006/relationships/chart" Target="../charts/chart2.xml"/><Relationship Id="rId16" Type="http://schemas.openxmlformats.org/officeDocument/2006/relationships/chart" Target="../charts/chart6.xml"/><Relationship Id="rId29" Type="http://schemas.openxmlformats.org/officeDocument/2006/relationships/customXml" Target="../ink/ink29.xml"/><Relationship Id="rId11" Type="http://schemas.openxmlformats.org/officeDocument/2006/relationships/chart" Target="../charts/chart5.xml"/><Relationship Id="rId24" Type="http://schemas.openxmlformats.org/officeDocument/2006/relationships/customXml" Target="../ink/ink24.xml"/><Relationship Id="rId32" Type="http://schemas.openxmlformats.org/officeDocument/2006/relationships/customXml" Target="../ink/ink32.xml"/><Relationship Id="rId37" Type="http://schemas.openxmlformats.org/officeDocument/2006/relationships/customXml" Target="../ink/ink37.xml"/><Relationship Id="rId40" Type="http://schemas.openxmlformats.org/officeDocument/2006/relationships/customXml" Target="../ink/ink40.xml"/><Relationship Id="rId45" Type="http://schemas.openxmlformats.org/officeDocument/2006/relationships/customXml" Target="../ink/ink45.xml"/><Relationship Id="rId115" Type="http://schemas.openxmlformats.org/officeDocument/2006/relationships/customXml" Target="../ink/ink51.xml"/><Relationship Id="rId123" Type="http://schemas.openxmlformats.org/officeDocument/2006/relationships/chart" Target="../charts/chart8.xml"/><Relationship Id="rId128" Type="http://schemas.openxmlformats.org/officeDocument/2006/relationships/chart" Target="../charts/chart13.xml"/><Relationship Id="rId131" Type="http://schemas.openxmlformats.org/officeDocument/2006/relationships/chart" Target="../charts/chart15.xml"/><Relationship Id="rId136" Type="http://schemas.openxmlformats.org/officeDocument/2006/relationships/customXml" Target="../ink/ink64.xml"/><Relationship Id="rId144" Type="http://schemas.openxmlformats.org/officeDocument/2006/relationships/customXml" Target="../ink/ink71.xml"/><Relationship Id="rId149" Type="http://schemas.openxmlformats.org/officeDocument/2006/relationships/customXml" Target="../ink/ink76.xml"/><Relationship Id="rId157" Type="http://schemas.openxmlformats.org/officeDocument/2006/relationships/customXml" Target="../ink/ink83.xml"/><Relationship Id="rId5" Type="http://schemas.openxmlformats.org/officeDocument/2006/relationships/customXml" Target="../ink/ink10.xml"/><Relationship Id="rId152" Type="http://schemas.openxmlformats.org/officeDocument/2006/relationships/customXml" Target="../ink/ink78.xml"/><Relationship Id="rId160" Type="http://schemas.openxmlformats.org/officeDocument/2006/relationships/customXml" Target="../ink/ink86.xml"/><Relationship Id="rId19" Type="http://schemas.openxmlformats.org/officeDocument/2006/relationships/chart" Target="../charts/chart7.xml"/><Relationship Id="rId14" Type="http://schemas.openxmlformats.org/officeDocument/2006/relationships/customXml" Target="../ink/ink16.xml"/><Relationship Id="rId22" Type="http://schemas.openxmlformats.org/officeDocument/2006/relationships/customXml" Target="../ink/ink22.xml"/><Relationship Id="rId27" Type="http://schemas.openxmlformats.org/officeDocument/2006/relationships/customXml" Target="../ink/ink27.xml"/><Relationship Id="rId30" Type="http://schemas.openxmlformats.org/officeDocument/2006/relationships/customXml" Target="../ink/ink30.xml"/><Relationship Id="rId35" Type="http://schemas.openxmlformats.org/officeDocument/2006/relationships/customXml" Target="../ink/ink35.xml"/><Relationship Id="rId43" Type="http://schemas.openxmlformats.org/officeDocument/2006/relationships/customXml" Target="../ink/ink43.xml"/><Relationship Id="rId48" Type="http://schemas.openxmlformats.org/officeDocument/2006/relationships/customXml" Target="../ink/ink48.xml"/><Relationship Id="rId113" Type="http://schemas.openxmlformats.org/officeDocument/2006/relationships/image" Target="../media/image90.png"/><Relationship Id="rId118" Type="http://schemas.openxmlformats.org/officeDocument/2006/relationships/customXml" Target="../ink/ink54.xml"/><Relationship Id="rId126" Type="http://schemas.openxmlformats.org/officeDocument/2006/relationships/chart" Target="../charts/chart11.xml"/><Relationship Id="rId134" Type="http://schemas.openxmlformats.org/officeDocument/2006/relationships/customXml" Target="../ink/ink62.xml"/><Relationship Id="rId139" Type="http://schemas.openxmlformats.org/officeDocument/2006/relationships/customXml" Target="../ink/ink66.xml"/><Relationship Id="rId147" Type="http://schemas.openxmlformats.org/officeDocument/2006/relationships/customXml" Target="../ink/ink74.xml"/><Relationship Id="rId8" Type="http://schemas.openxmlformats.org/officeDocument/2006/relationships/customXml" Target="../ink/ink12.xml"/><Relationship Id="rId121" Type="http://schemas.openxmlformats.org/officeDocument/2006/relationships/customXml" Target="../ink/ink57.xml"/><Relationship Id="rId142" Type="http://schemas.openxmlformats.org/officeDocument/2006/relationships/customXml" Target="../ink/ink69.xml"/><Relationship Id="rId150" Type="http://schemas.openxmlformats.org/officeDocument/2006/relationships/customXml" Target="../ink/ink77.xml"/><Relationship Id="rId155" Type="http://schemas.openxmlformats.org/officeDocument/2006/relationships/customXml" Target="../ink/ink81.xml"/><Relationship Id="rId3" Type="http://schemas.openxmlformats.org/officeDocument/2006/relationships/customXml" Target="../ink/ink8.xml"/><Relationship Id="rId12" Type="http://schemas.openxmlformats.org/officeDocument/2006/relationships/customXml" Target="../ink/ink14.xml"/><Relationship Id="rId17" Type="http://schemas.openxmlformats.org/officeDocument/2006/relationships/customXml" Target="../ink/ink18.xml"/><Relationship Id="rId25" Type="http://schemas.openxmlformats.org/officeDocument/2006/relationships/customXml" Target="../ink/ink25.xml"/><Relationship Id="rId33" Type="http://schemas.openxmlformats.org/officeDocument/2006/relationships/customXml" Target="../ink/ink33.xml"/><Relationship Id="rId38" Type="http://schemas.openxmlformats.org/officeDocument/2006/relationships/customXml" Target="../ink/ink38.xml"/><Relationship Id="rId46" Type="http://schemas.openxmlformats.org/officeDocument/2006/relationships/customXml" Target="../ink/ink46.xml"/><Relationship Id="rId116" Type="http://schemas.openxmlformats.org/officeDocument/2006/relationships/customXml" Target="../ink/ink52.xml"/><Relationship Id="rId124" Type="http://schemas.openxmlformats.org/officeDocument/2006/relationships/chart" Target="../charts/chart9.xml"/><Relationship Id="rId129" Type="http://schemas.openxmlformats.org/officeDocument/2006/relationships/chart" Target="../charts/chart14.xml"/><Relationship Id="rId137" Type="http://schemas.openxmlformats.org/officeDocument/2006/relationships/customXml" Target="../ink/ink65.xml"/><Relationship Id="rId158" Type="http://schemas.openxmlformats.org/officeDocument/2006/relationships/customXml" Target="../ink/ink84.xml"/><Relationship Id="rId20" Type="http://schemas.openxmlformats.org/officeDocument/2006/relationships/customXml" Target="../ink/ink20.xml"/><Relationship Id="rId41" Type="http://schemas.openxmlformats.org/officeDocument/2006/relationships/customXml" Target="../ink/ink41.xml"/><Relationship Id="rId111" Type="http://schemas.openxmlformats.org/officeDocument/2006/relationships/image" Target="../media/image80.png"/><Relationship Id="rId132" Type="http://schemas.openxmlformats.org/officeDocument/2006/relationships/customXml" Target="../ink/ink60.xml"/><Relationship Id="rId140" Type="http://schemas.openxmlformats.org/officeDocument/2006/relationships/customXml" Target="../ink/ink67.xml"/><Relationship Id="rId145" Type="http://schemas.openxmlformats.org/officeDocument/2006/relationships/customXml" Target="../ink/ink72.xml"/><Relationship Id="rId153" Type="http://schemas.openxmlformats.org/officeDocument/2006/relationships/customXml" Target="../ink/ink79.xml"/><Relationship Id="rId161" Type="http://schemas.openxmlformats.org/officeDocument/2006/relationships/customXml" Target="../ink/ink87.xml"/><Relationship Id="rId1" Type="http://schemas.openxmlformats.org/officeDocument/2006/relationships/chart" Target="../charts/chart1.xml"/><Relationship Id="rId6" Type="http://schemas.openxmlformats.org/officeDocument/2006/relationships/chart" Target="../charts/chart3.xml"/><Relationship Id="rId15" Type="http://schemas.openxmlformats.org/officeDocument/2006/relationships/customXml" Target="../ink/ink17.xml"/><Relationship Id="rId23" Type="http://schemas.openxmlformats.org/officeDocument/2006/relationships/customXml" Target="../ink/ink23.xml"/><Relationship Id="rId28" Type="http://schemas.openxmlformats.org/officeDocument/2006/relationships/customXml" Target="../ink/ink28.xml"/><Relationship Id="rId36" Type="http://schemas.openxmlformats.org/officeDocument/2006/relationships/customXml" Target="../ink/ink36.xml"/><Relationship Id="rId114" Type="http://schemas.openxmlformats.org/officeDocument/2006/relationships/customXml" Target="../ink/ink50.xml"/><Relationship Id="rId119" Type="http://schemas.openxmlformats.org/officeDocument/2006/relationships/customXml" Target="../ink/ink55.xml"/><Relationship Id="rId127" Type="http://schemas.openxmlformats.org/officeDocument/2006/relationships/chart" Target="../charts/chart12.xml"/><Relationship Id="rId10" Type="http://schemas.openxmlformats.org/officeDocument/2006/relationships/chart" Target="../charts/chart4.xml"/><Relationship Id="rId31" Type="http://schemas.openxmlformats.org/officeDocument/2006/relationships/customXml" Target="../ink/ink31.xml"/><Relationship Id="rId44" Type="http://schemas.openxmlformats.org/officeDocument/2006/relationships/customXml" Target="../ink/ink44.xml"/><Relationship Id="rId122" Type="http://schemas.openxmlformats.org/officeDocument/2006/relationships/customXml" Target="../ink/ink58.xml"/><Relationship Id="rId130" Type="http://schemas.openxmlformats.org/officeDocument/2006/relationships/customXml" Target="../ink/ink59.xml"/><Relationship Id="rId135" Type="http://schemas.openxmlformats.org/officeDocument/2006/relationships/customXml" Target="../ink/ink63.xml"/><Relationship Id="rId143" Type="http://schemas.openxmlformats.org/officeDocument/2006/relationships/customXml" Target="../ink/ink70.xml"/><Relationship Id="rId148" Type="http://schemas.openxmlformats.org/officeDocument/2006/relationships/customXml" Target="../ink/ink75.xml"/><Relationship Id="rId151" Type="http://schemas.openxmlformats.org/officeDocument/2006/relationships/chart" Target="../charts/chart17.xml"/><Relationship Id="rId156" Type="http://schemas.openxmlformats.org/officeDocument/2006/relationships/customXml" Target="../ink/ink82.xml"/><Relationship Id="rId4" Type="http://schemas.openxmlformats.org/officeDocument/2006/relationships/customXml" Target="../ink/ink9.xml"/><Relationship Id="rId9" Type="http://schemas.openxmlformats.org/officeDocument/2006/relationships/customXml" Target="../ink/ink13.xml"/><Relationship Id="rId13" Type="http://schemas.openxmlformats.org/officeDocument/2006/relationships/customXml" Target="../ink/ink15.xml"/><Relationship Id="rId18" Type="http://schemas.openxmlformats.org/officeDocument/2006/relationships/customXml" Target="../ink/ink19.xml"/><Relationship Id="rId39" Type="http://schemas.openxmlformats.org/officeDocument/2006/relationships/customXml" Target="../ink/ink39.xml"/></Relationships>
</file>

<file path=xl/drawings/drawing1.xml><?xml version="1.0" encoding="utf-8"?>
<xdr:wsDr xmlns:xdr="http://schemas.openxmlformats.org/drawingml/2006/spreadsheetDrawing" xmlns:a="http://schemas.openxmlformats.org/drawingml/2006/main">
  <xdr:twoCellAnchor editAs="oneCell">
    <xdr:from>
      <xdr:col>0</xdr:col>
      <xdr:colOff>201612</xdr:colOff>
      <xdr:row>1</xdr:row>
      <xdr:rowOff>104775</xdr:rowOff>
    </xdr:from>
    <xdr:to>
      <xdr:col>2</xdr:col>
      <xdr:colOff>9525</xdr:colOff>
      <xdr:row>5</xdr:row>
      <xdr:rowOff>112652</xdr:rowOff>
    </xdr:to>
    <xdr:pic>
      <xdr:nvPicPr>
        <xdr:cNvPr id="17" name="Picture 16" descr="Image result for meridian energy">
          <a:extLst>
            <a:ext uri="{FF2B5EF4-FFF2-40B4-BE49-F238E27FC236}">
              <a16:creationId xmlns:a16="http://schemas.microsoft.com/office/drawing/2014/main" id="{60AEAF85-7484-46D0-9262-91C677F718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612" y="276225"/>
          <a:ext cx="979488" cy="9826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0.48249</cdr:x>
      <cdr:y>0.25958</cdr:y>
    </cdr:from>
    <cdr:to>
      <cdr:x>0.63516</cdr:x>
      <cdr:y>0.33275</cdr:y>
    </cdr:to>
    <cdr:sp macro="" textlink="">
      <cdr:nvSpPr>
        <cdr:cNvPr id="2" name="TextBox 1">
          <a:extLst xmlns:a="http://schemas.openxmlformats.org/drawingml/2006/main">
            <a:ext uri="{FF2B5EF4-FFF2-40B4-BE49-F238E27FC236}">
              <a16:creationId xmlns:a16="http://schemas.microsoft.com/office/drawing/2014/main" id="{FF70F9FA-0A15-47AB-B129-163856DC885C}"/>
            </a:ext>
          </a:extLst>
        </cdr:cNvPr>
        <cdr:cNvSpPr txBox="1"/>
      </cdr:nvSpPr>
      <cdr:spPr>
        <a:xfrm xmlns:a="http://schemas.openxmlformats.org/drawingml/2006/main">
          <a:off x="3476625" y="709613"/>
          <a:ext cx="1100138"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0.31917</cdr:x>
      <cdr:y>0.30362</cdr:y>
    </cdr:from>
    <cdr:to>
      <cdr:x>0.59338</cdr:x>
      <cdr:y>0.44712</cdr:y>
    </cdr:to>
    <cdr:sp macro="" textlink="">
      <cdr:nvSpPr>
        <cdr:cNvPr id="4" name="TextBox 3">
          <a:extLst xmlns:a="http://schemas.openxmlformats.org/drawingml/2006/main">
            <a:ext uri="{FF2B5EF4-FFF2-40B4-BE49-F238E27FC236}">
              <a16:creationId xmlns:a16="http://schemas.microsoft.com/office/drawing/2014/main" id="{7B47C464-584C-4B2C-96FB-A2075DD69659}"/>
            </a:ext>
          </a:extLst>
        </cdr:cNvPr>
        <cdr:cNvSpPr txBox="1"/>
      </cdr:nvSpPr>
      <cdr:spPr>
        <a:xfrm xmlns:a="http://schemas.openxmlformats.org/drawingml/2006/main">
          <a:off x="1301680" y="611810"/>
          <a:ext cx="1118337" cy="2891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000" b="1"/>
        </a:p>
      </cdr:txBody>
    </cdr:sp>
  </cdr:relSizeAnchor>
</c:userShapes>
</file>

<file path=xl/drawings/drawing11.xml><?xml version="1.0" encoding="utf-8"?>
<c:userShapes xmlns:c="http://schemas.openxmlformats.org/drawingml/2006/chart">
  <cdr:relSizeAnchor xmlns:cdr="http://schemas.openxmlformats.org/drawingml/2006/chartDrawing">
    <cdr:from>
      <cdr:x>0.48249</cdr:x>
      <cdr:y>0.25958</cdr:y>
    </cdr:from>
    <cdr:to>
      <cdr:x>0.63516</cdr:x>
      <cdr:y>0.33275</cdr:y>
    </cdr:to>
    <cdr:sp macro="" textlink="">
      <cdr:nvSpPr>
        <cdr:cNvPr id="2" name="TextBox 1">
          <a:extLst xmlns:a="http://schemas.openxmlformats.org/drawingml/2006/main">
            <a:ext uri="{FF2B5EF4-FFF2-40B4-BE49-F238E27FC236}">
              <a16:creationId xmlns:a16="http://schemas.microsoft.com/office/drawing/2014/main" id="{FF70F9FA-0A15-47AB-B129-163856DC885C}"/>
            </a:ext>
          </a:extLst>
        </cdr:cNvPr>
        <cdr:cNvSpPr txBox="1"/>
      </cdr:nvSpPr>
      <cdr:spPr>
        <a:xfrm xmlns:a="http://schemas.openxmlformats.org/drawingml/2006/main">
          <a:off x="3476625" y="709613"/>
          <a:ext cx="1100138"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0.31917</cdr:x>
      <cdr:y>0.30362</cdr:y>
    </cdr:from>
    <cdr:to>
      <cdr:x>0.59338</cdr:x>
      <cdr:y>0.44712</cdr:y>
    </cdr:to>
    <cdr:sp macro="" textlink="">
      <cdr:nvSpPr>
        <cdr:cNvPr id="4" name="TextBox 3">
          <a:extLst xmlns:a="http://schemas.openxmlformats.org/drawingml/2006/main">
            <a:ext uri="{FF2B5EF4-FFF2-40B4-BE49-F238E27FC236}">
              <a16:creationId xmlns:a16="http://schemas.microsoft.com/office/drawing/2014/main" id="{7B47C464-584C-4B2C-96FB-A2075DD69659}"/>
            </a:ext>
          </a:extLst>
        </cdr:cNvPr>
        <cdr:cNvSpPr txBox="1"/>
      </cdr:nvSpPr>
      <cdr:spPr>
        <a:xfrm xmlns:a="http://schemas.openxmlformats.org/drawingml/2006/main">
          <a:off x="1301680" y="611810"/>
          <a:ext cx="1118337" cy="2891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000" b="1"/>
        </a:p>
      </cdr:txBody>
    </cdr:sp>
  </cdr:relSizeAnchor>
  <cdr:relSizeAnchor xmlns:cdr="http://schemas.openxmlformats.org/drawingml/2006/chartDrawing">
    <cdr:from>
      <cdr:x>0.13744</cdr:x>
      <cdr:y>0.20444</cdr:y>
    </cdr:from>
    <cdr:to>
      <cdr:x>0.24709</cdr:x>
      <cdr:y>0.34194</cdr:y>
    </cdr:to>
    <cdr:sp macro="" textlink="">
      <cdr:nvSpPr>
        <cdr:cNvPr id="5" name="TextBox 4">
          <a:extLst xmlns:a="http://schemas.openxmlformats.org/drawingml/2006/main">
            <a:ext uri="{FF2B5EF4-FFF2-40B4-BE49-F238E27FC236}">
              <a16:creationId xmlns:a16="http://schemas.microsoft.com/office/drawing/2014/main" id="{6AB64ABA-0842-436F-9845-9936285449AC}"/>
            </a:ext>
          </a:extLst>
        </cdr:cNvPr>
        <cdr:cNvSpPr txBox="1"/>
      </cdr:nvSpPr>
      <cdr:spPr>
        <a:xfrm xmlns:a="http://schemas.openxmlformats.org/drawingml/2006/main">
          <a:off x="596217" y="411958"/>
          <a:ext cx="475672" cy="2770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b="1">
              <a:solidFill>
                <a:srgbClr val="FFFF00"/>
              </a:solidFill>
            </a:rPr>
            <a:t>FIFO</a:t>
          </a:r>
        </a:p>
      </cdr:txBody>
    </cdr:sp>
  </cdr:relSizeAnchor>
  <cdr:relSizeAnchor xmlns:cdr="http://schemas.openxmlformats.org/drawingml/2006/chartDrawing">
    <cdr:from>
      <cdr:x>0.3519</cdr:x>
      <cdr:y>0.2041</cdr:y>
    </cdr:from>
    <cdr:to>
      <cdr:x>0.46721</cdr:x>
      <cdr:y>0.3335</cdr:y>
    </cdr:to>
    <cdr:sp macro="" textlink="">
      <cdr:nvSpPr>
        <cdr:cNvPr id="6" name="TextBox 5">
          <a:extLst xmlns:a="http://schemas.openxmlformats.org/drawingml/2006/main">
            <a:ext uri="{FF2B5EF4-FFF2-40B4-BE49-F238E27FC236}">
              <a16:creationId xmlns:a16="http://schemas.microsoft.com/office/drawing/2014/main" id="{5605CF6B-1717-41BF-9069-5CBA283ACB68}"/>
            </a:ext>
          </a:extLst>
        </cdr:cNvPr>
        <cdr:cNvSpPr txBox="1"/>
      </cdr:nvSpPr>
      <cdr:spPr>
        <a:xfrm xmlns:a="http://schemas.openxmlformats.org/drawingml/2006/main">
          <a:off x="1526588" y="411277"/>
          <a:ext cx="500240" cy="260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b="1">
              <a:solidFill>
                <a:srgbClr val="C00000"/>
              </a:solidFill>
            </a:rPr>
            <a:t>LIFO</a:t>
          </a:r>
        </a:p>
      </cdr:txBody>
    </cdr:sp>
  </cdr:relSizeAnchor>
  <cdr:relSizeAnchor xmlns:cdr="http://schemas.openxmlformats.org/drawingml/2006/chartDrawing">
    <cdr:from>
      <cdr:x>0.6451</cdr:x>
      <cdr:y>0.05284</cdr:y>
    </cdr:from>
    <cdr:to>
      <cdr:x>0.85945</cdr:x>
      <cdr:y>0.19212</cdr:y>
    </cdr:to>
    <cdr:sp macro="" textlink="">
      <cdr:nvSpPr>
        <cdr:cNvPr id="3" name="TextBox 2">
          <a:extLst xmlns:a="http://schemas.openxmlformats.org/drawingml/2006/main">
            <a:ext uri="{FF2B5EF4-FFF2-40B4-BE49-F238E27FC236}">
              <a16:creationId xmlns:a16="http://schemas.microsoft.com/office/drawing/2014/main" id="{5D106844-562C-4571-88F3-D526BA16D9DF}"/>
            </a:ext>
          </a:extLst>
        </cdr:cNvPr>
        <cdr:cNvSpPr txBox="1"/>
      </cdr:nvSpPr>
      <cdr:spPr>
        <a:xfrm xmlns:a="http://schemas.openxmlformats.org/drawingml/2006/main">
          <a:off x="2751875" y="106476"/>
          <a:ext cx="914400" cy="2806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0.52652</cdr:x>
      <cdr:y>0.1056</cdr:y>
    </cdr:from>
    <cdr:to>
      <cdr:x>0.73731</cdr:x>
      <cdr:y>0.18579</cdr:y>
    </cdr:to>
    <cdr:sp macro="" textlink="">
      <cdr:nvSpPr>
        <cdr:cNvPr id="7" name="TextBox 6">
          <a:extLst xmlns:a="http://schemas.openxmlformats.org/drawingml/2006/main">
            <a:ext uri="{FF2B5EF4-FFF2-40B4-BE49-F238E27FC236}">
              <a16:creationId xmlns:a16="http://schemas.microsoft.com/office/drawing/2014/main" id="{07C1806A-EC02-4041-A7C6-B2A9662AFE35}"/>
            </a:ext>
          </a:extLst>
        </cdr:cNvPr>
        <cdr:cNvSpPr txBox="1"/>
      </cdr:nvSpPr>
      <cdr:spPr>
        <a:xfrm xmlns:a="http://schemas.openxmlformats.org/drawingml/2006/main">
          <a:off x="2284130" y="212782"/>
          <a:ext cx="914400" cy="1615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100"/>
        </a:p>
      </cdr:txBody>
    </cdr:sp>
  </cdr:relSizeAnchor>
</c:userShapes>
</file>

<file path=xl/drawings/drawing12.xml><?xml version="1.0" encoding="utf-8"?>
<xdr:wsDr xmlns:xdr="http://schemas.openxmlformats.org/drawingml/2006/spreadsheetDrawing" xmlns:a="http://schemas.openxmlformats.org/drawingml/2006/main">
  <xdr:twoCellAnchor>
    <xdr:from>
      <xdr:col>17</xdr:col>
      <xdr:colOff>327952</xdr:colOff>
      <xdr:row>20</xdr:row>
      <xdr:rowOff>84367</xdr:rowOff>
    </xdr:from>
    <xdr:to>
      <xdr:col>17</xdr:col>
      <xdr:colOff>328132</xdr:colOff>
      <xdr:row>20</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9" name="Ink 8">
              <a:extLst>
                <a:ext uri="{FF2B5EF4-FFF2-40B4-BE49-F238E27FC236}">
                  <a16:creationId xmlns:a16="http://schemas.microsoft.com/office/drawing/2014/main" id="{5831A2CA-5AF4-4442-B839-A79FEB078EBC}"/>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34</xdr:row>
      <xdr:rowOff>84367</xdr:rowOff>
    </xdr:from>
    <xdr:to>
      <xdr:col>17</xdr:col>
      <xdr:colOff>328132</xdr:colOff>
      <xdr:row>34</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11" name="Ink 10">
              <a:extLst>
                <a:ext uri="{FF2B5EF4-FFF2-40B4-BE49-F238E27FC236}">
                  <a16:creationId xmlns:a16="http://schemas.microsoft.com/office/drawing/2014/main" id="{CE74CF0C-4E5F-43EA-B6F9-2190A32977CF}"/>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41</xdr:row>
      <xdr:rowOff>84367</xdr:rowOff>
    </xdr:from>
    <xdr:to>
      <xdr:col>17</xdr:col>
      <xdr:colOff>328132</xdr:colOff>
      <xdr:row>41</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2" name="Ink 11">
              <a:extLst>
                <a:ext uri="{FF2B5EF4-FFF2-40B4-BE49-F238E27FC236}">
                  <a16:creationId xmlns:a16="http://schemas.microsoft.com/office/drawing/2014/main" id="{5E8E17F6-C29A-401D-8A6B-4A9AF9027E9F}"/>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55</xdr:row>
      <xdr:rowOff>84367</xdr:rowOff>
    </xdr:from>
    <xdr:to>
      <xdr:col>17</xdr:col>
      <xdr:colOff>328132</xdr:colOff>
      <xdr:row>55</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4" name="Ink 13">
              <a:extLst>
                <a:ext uri="{FF2B5EF4-FFF2-40B4-BE49-F238E27FC236}">
                  <a16:creationId xmlns:a16="http://schemas.microsoft.com/office/drawing/2014/main" id="{CC76207C-63BF-4D21-AD9E-DD1E7BB59F49}"/>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76</xdr:row>
      <xdr:rowOff>84367</xdr:rowOff>
    </xdr:from>
    <xdr:to>
      <xdr:col>17</xdr:col>
      <xdr:colOff>328132</xdr:colOff>
      <xdr:row>76</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7" name="Ink 16">
              <a:extLst>
                <a:ext uri="{FF2B5EF4-FFF2-40B4-BE49-F238E27FC236}">
                  <a16:creationId xmlns:a16="http://schemas.microsoft.com/office/drawing/2014/main" id="{033BCAD4-7303-40DC-8ED2-7F95D9B7B9A7}"/>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7</xdr:col>
      <xdr:colOff>9526</xdr:colOff>
      <xdr:row>78</xdr:row>
      <xdr:rowOff>171449</xdr:rowOff>
    </xdr:from>
    <xdr:to>
      <xdr:col>14</xdr:col>
      <xdr:colOff>4763</xdr:colOff>
      <xdr:row>103</xdr:row>
      <xdr:rowOff>157162</xdr:rowOff>
    </xdr:to>
    <xdr:graphicFrame macro="">
      <xdr:nvGraphicFramePr>
        <xdr:cNvPr id="18" name="Chart 17">
          <a:extLst>
            <a:ext uri="{FF2B5EF4-FFF2-40B4-BE49-F238E27FC236}">
              <a16:creationId xmlns:a16="http://schemas.microsoft.com/office/drawing/2014/main" id="{2DECA599-CDD3-4BB6-8633-39A80A587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109</xdr:row>
      <xdr:rowOff>23813</xdr:rowOff>
    </xdr:from>
    <xdr:to>
      <xdr:col>14</xdr:col>
      <xdr:colOff>4763</xdr:colOff>
      <xdr:row>133</xdr:row>
      <xdr:rowOff>157163</xdr:rowOff>
    </xdr:to>
    <xdr:graphicFrame macro="">
      <xdr:nvGraphicFramePr>
        <xdr:cNvPr id="19" name="Chart 18">
          <a:extLst>
            <a:ext uri="{FF2B5EF4-FFF2-40B4-BE49-F238E27FC236}">
              <a16:creationId xmlns:a16="http://schemas.microsoft.com/office/drawing/2014/main" id="{678B29C1-2B56-4626-AFE2-4812F12C3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300038</xdr:colOff>
      <xdr:row>110</xdr:row>
      <xdr:rowOff>14286</xdr:rowOff>
    </xdr:from>
    <xdr:to>
      <xdr:col>8</xdr:col>
      <xdr:colOff>109658</xdr:colOff>
      <xdr:row>111</xdr:row>
      <xdr:rowOff>92632</xdr:rowOff>
    </xdr:to>
    <xdr:sp macro="" textlink="">
      <xdr:nvSpPr>
        <xdr:cNvPr id="20" name="TextBox 19">
          <a:extLst>
            <a:ext uri="{FF2B5EF4-FFF2-40B4-BE49-F238E27FC236}">
              <a16:creationId xmlns:a16="http://schemas.microsoft.com/office/drawing/2014/main" id="{50B69860-C346-448A-A88F-5BABDD93C4D7}"/>
            </a:ext>
          </a:extLst>
        </xdr:cNvPr>
        <xdr:cNvSpPr txBox="1"/>
      </xdr:nvSpPr>
      <xdr:spPr>
        <a:xfrm>
          <a:off x="4538663" y="75395136"/>
          <a:ext cx="495420" cy="240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2016</a:t>
          </a:r>
        </a:p>
      </xdr:txBody>
    </xdr:sp>
    <xdr:clientData/>
  </xdr:twoCellAnchor>
  <xdr:twoCellAnchor>
    <xdr:from>
      <xdr:col>12</xdr:col>
      <xdr:colOff>523875</xdr:colOff>
      <xdr:row>79</xdr:row>
      <xdr:rowOff>152400</xdr:rowOff>
    </xdr:from>
    <xdr:to>
      <xdr:col>13</xdr:col>
      <xdr:colOff>485894</xdr:colOff>
      <xdr:row>81</xdr:row>
      <xdr:rowOff>68820</xdr:rowOff>
    </xdr:to>
    <xdr:sp macro="" textlink="">
      <xdr:nvSpPr>
        <xdr:cNvPr id="21" name="TextBox 20">
          <a:extLst>
            <a:ext uri="{FF2B5EF4-FFF2-40B4-BE49-F238E27FC236}">
              <a16:creationId xmlns:a16="http://schemas.microsoft.com/office/drawing/2014/main" id="{41A72FB1-AC1E-48D6-9B2E-6F56E9188D84}"/>
            </a:ext>
          </a:extLst>
        </xdr:cNvPr>
        <xdr:cNvSpPr txBox="1"/>
      </xdr:nvSpPr>
      <xdr:spPr>
        <a:xfrm>
          <a:off x="7905750" y="70513575"/>
          <a:ext cx="576382" cy="2402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2016</a:t>
          </a:r>
        </a:p>
      </xdr:txBody>
    </xdr:sp>
    <xdr:clientData/>
  </xdr:twoCellAnchor>
  <xdr:twoCellAnchor>
    <xdr:from>
      <xdr:col>12</xdr:col>
      <xdr:colOff>11112</xdr:colOff>
      <xdr:row>111</xdr:row>
      <xdr:rowOff>92216</xdr:rowOff>
    </xdr:from>
    <xdr:to>
      <xdr:col>13</xdr:col>
      <xdr:colOff>514350</xdr:colOff>
      <xdr:row>118</xdr:row>
      <xdr:rowOff>47624</xdr:rowOff>
    </xdr:to>
    <xdr:sp macro="" textlink="">
      <xdr:nvSpPr>
        <xdr:cNvPr id="22" name="TextBox 21">
          <a:extLst>
            <a:ext uri="{FF2B5EF4-FFF2-40B4-BE49-F238E27FC236}">
              <a16:creationId xmlns:a16="http://schemas.microsoft.com/office/drawing/2014/main" id="{15F27CE6-19FD-42F1-9EF3-21D65056E440}"/>
            </a:ext>
          </a:extLst>
        </xdr:cNvPr>
        <xdr:cNvSpPr txBox="1"/>
      </xdr:nvSpPr>
      <xdr:spPr>
        <a:xfrm>
          <a:off x="7392987" y="75634991"/>
          <a:ext cx="1117601" cy="1088883"/>
        </a:xfrm>
        <a:prstGeom prst="rect">
          <a:avLst/>
        </a:prstGeom>
        <a:solidFill>
          <a:schemeClr val="accent3">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EVA per store  $423,000</a:t>
          </a:r>
        </a:p>
        <a:p>
          <a:r>
            <a:rPr lang="en-NZ" sz="1100" b="1"/>
            <a:t>Sales per store</a:t>
          </a:r>
          <a:r>
            <a:rPr lang="en-NZ" sz="1100" b="1" baseline="0"/>
            <a:t> </a:t>
          </a:r>
          <a:r>
            <a:rPr lang="en-NZ" sz="1100" b="1"/>
            <a:t>$6,743,000</a:t>
          </a:r>
        </a:p>
        <a:p>
          <a:r>
            <a:rPr lang="en-NZ" sz="1100" b="1"/>
            <a:t>EVA per $100 of sales  = $6.30</a:t>
          </a:r>
        </a:p>
      </xdr:txBody>
    </xdr:sp>
    <xdr:clientData/>
  </xdr:twoCellAnchor>
  <xdr:twoCellAnchor>
    <xdr:from>
      <xdr:col>12</xdr:col>
      <xdr:colOff>32433</xdr:colOff>
      <xdr:row>82</xdr:row>
      <xdr:rowOff>14826</xdr:rowOff>
    </xdr:from>
    <xdr:to>
      <xdr:col>13</xdr:col>
      <xdr:colOff>547687</xdr:colOff>
      <xdr:row>89</xdr:row>
      <xdr:rowOff>9524</xdr:rowOff>
    </xdr:to>
    <xdr:sp macro="" textlink="">
      <xdr:nvSpPr>
        <xdr:cNvPr id="23" name="TextBox 22">
          <a:extLst>
            <a:ext uri="{FF2B5EF4-FFF2-40B4-BE49-F238E27FC236}">
              <a16:creationId xmlns:a16="http://schemas.microsoft.com/office/drawing/2014/main" id="{B8D2D1A8-485E-472D-A438-9CB996DC4B84}"/>
            </a:ext>
          </a:extLst>
        </xdr:cNvPr>
        <xdr:cNvSpPr txBox="1"/>
      </xdr:nvSpPr>
      <xdr:spPr>
        <a:xfrm>
          <a:off x="7414308" y="70861776"/>
          <a:ext cx="1129617" cy="1128173"/>
        </a:xfrm>
        <a:prstGeom prst="rect">
          <a:avLst/>
        </a:prstGeom>
        <a:solidFill>
          <a:schemeClr val="accent3">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EVA per store</a:t>
          </a:r>
          <a:r>
            <a:rPr lang="en-NZ" sz="1100" b="1" baseline="0"/>
            <a:t> </a:t>
          </a:r>
          <a:r>
            <a:rPr lang="en-NZ" sz="1100" b="1"/>
            <a:t>$63,000</a:t>
          </a:r>
        </a:p>
        <a:p>
          <a:r>
            <a:rPr lang="en-NZ" sz="1100" b="1"/>
            <a:t>Sales per store $12,552,000</a:t>
          </a:r>
        </a:p>
        <a:p>
          <a:r>
            <a:rPr lang="en-NZ" sz="1100" b="1"/>
            <a:t>EVA per $100 of sales  = $0.50</a:t>
          </a:r>
        </a:p>
      </xdr:txBody>
    </xdr:sp>
    <xdr:clientData/>
  </xdr:twoCellAnchor>
  <xdr:oneCellAnchor>
    <xdr:from>
      <xdr:col>7</xdr:col>
      <xdr:colOff>14288</xdr:colOff>
      <xdr:row>78</xdr:row>
      <xdr:rowOff>161925</xdr:rowOff>
    </xdr:from>
    <xdr:ext cx="1362075" cy="638176"/>
    <xdr:sp macro="" textlink="">
      <xdr:nvSpPr>
        <xdr:cNvPr id="24" name="TextBox 23">
          <a:extLst>
            <a:ext uri="{FF2B5EF4-FFF2-40B4-BE49-F238E27FC236}">
              <a16:creationId xmlns:a16="http://schemas.microsoft.com/office/drawing/2014/main" id="{F52E94E4-09C1-4367-846F-CD2C03CF0548}"/>
            </a:ext>
          </a:extLst>
        </xdr:cNvPr>
        <xdr:cNvSpPr txBox="1"/>
      </xdr:nvSpPr>
      <xdr:spPr>
        <a:xfrm>
          <a:off x="4252913" y="70361175"/>
          <a:ext cx="1362075" cy="638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NZ" sz="1100" b="1" i="0" u="none" strike="noStrike">
              <a:solidFill>
                <a:schemeClr val="tx1"/>
              </a:solidFill>
              <a:effectLst/>
              <a:latin typeface="+mn-lt"/>
              <a:ea typeface="+mn-ea"/>
              <a:cs typeface="+mn-cs"/>
            </a:rPr>
            <a:t>EVA drives MVA</a:t>
          </a:r>
          <a:r>
            <a:rPr lang="en-NZ"/>
            <a:t>  </a:t>
          </a:r>
        </a:p>
        <a:p>
          <a:r>
            <a:rPr lang="en-NZ" sz="1100" b="1" i="0" u="none" strike="noStrike">
              <a:solidFill>
                <a:schemeClr val="tx1"/>
              </a:solidFill>
              <a:effectLst/>
              <a:latin typeface="+mn-lt"/>
              <a:ea typeface="+mn-ea"/>
              <a:cs typeface="+mn-cs"/>
            </a:rPr>
            <a:t>Briscoe</a:t>
          </a:r>
          <a:r>
            <a:rPr lang="en-NZ"/>
            <a:t> </a:t>
          </a:r>
        </a:p>
        <a:p>
          <a:r>
            <a:rPr lang="en-NZ" sz="1100" b="0" i="0" u="none" strike="noStrike">
              <a:solidFill>
                <a:schemeClr val="tx1"/>
              </a:solidFill>
              <a:effectLst/>
              <a:latin typeface="+mn-lt"/>
              <a:ea typeface="+mn-ea"/>
              <a:cs typeface="+mn-cs"/>
            </a:rPr>
            <a:t>Millions of Dollars</a:t>
          </a:r>
          <a:r>
            <a:rPr lang="en-NZ"/>
            <a:t> </a:t>
          </a:r>
          <a:endParaRPr lang="en-NZ" sz="1100"/>
        </a:p>
      </xdr:txBody>
    </xdr:sp>
    <xdr:clientData/>
  </xdr:oneCellAnchor>
  <xdr:twoCellAnchor>
    <xdr:from>
      <xdr:col>17</xdr:col>
      <xdr:colOff>61815</xdr:colOff>
      <xdr:row>8</xdr:row>
      <xdr:rowOff>153075</xdr:rowOff>
    </xdr:from>
    <xdr:to>
      <xdr:col>17</xdr:col>
      <xdr:colOff>226335</xdr:colOff>
      <xdr:row>11</xdr:row>
      <xdr:rowOff>157275</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3" name="Ink 2">
              <a:extLst>
                <a:ext uri="{FF2B5EF4-FFF2-40B4-BE49-F238E27FC236}">
                  <a16:creationId xmlns:a16="http://schemas.microsoft.com/office/drawing/2014/main" id="{6D29C7E2-610A-499E-AFEB-32F68566C542}"/>
                </a:ext>
              </a:extLst>
            </xdr14:cNvPr>
            <xdr14:cNvContentPartPr/>
          </xdr14:nvContentPartPr>
          <xdr14:nvPr macro=""/>
          <xdr14:xfrm>
            <a:off x="10510740" y="657900"/>
            <a:ext cx="164520" cy="499500"/>
          </xdr14:xfrm>
        </xdr:contentPart>
      </mc:Choice>
      <mc:Fallback xmlns="">
        <xdr:pic>
          <xdr:nvPicPr>
            <xdr:cNvPr id="3" name="Ink 2">
              <a:extLst>
                <a:ext uri="{FF2B5EF4-FFF2-40B4-BE49-F238E27FC236}">
                  <a16:creationId xmlns:a16="http://schemas.microsoft.com/office/drawing/2014/main" id="{6D29C7E2-610A-499E-AFEB-32F68566C542}"/>
                </a:ext>
              </a:extLst>
            </xdr:cNvPr>
            <xdr:cNvPicPr/>
          </xdr:nvPicPr>
          <xdr:blipFill>
            <a:blip xmlns:r="http://schemas.openxmlformats.org/officeDocument/2006/relationships" r:embed="rId9"/>
            <a:stretch>
              <a:fillRect/>
            </a:stretch>
          </xdr:blipFill>
          <xdr:spPr>
            <a:xfrm>
              <a:off x="10506429" y="653582"/>
              <a:ext cx="173141" cy="508137"/>
            </a:xfrm>
            <a:prstGeom prst="rect">
              <a:avLst/>
            </a:prstGeom>
          </xdr:spPr>
        </xdr:pic>
      </mc:Fallback>
    </mc:AlternateContent>
    <xdr:clientData/>
  </xdr:twoCellAnchor>
  <xdr:twoCellAnchor>
    <xdr:from>
      <xdr:col>17</xdr:col>
      <xdr:colOff>327952</xdr:colOff>
      <xdr:row>27</xdr:row>
      <xdr:rowOff>84367</xdr:rowOff>
    </xdr:from>
    <xdr:to>
      <xdr:col>17</xdr:col>
      <xdr:colOff>328132</xdr:colOff>
      <xdr:row>69</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4" name="Ink 3">
              <a:extLst>
                <a:ext uri="{FF2B5EF4-FFF2-40B4-BE49-F238E27FC236}">
                  <a16:creationId xmlns:a16="http://schemas.microsoft.com/office/drawing/2014/main" id="{9BC1E537-531B-42D4-B6F7-B14E4E1B8C82}"/>
                </a:ext>
              </a:extLst>
            </xdr14:cNvPr>
            <xdr14:cNvContentPartPr/>
          </xdr14:nvContentPartPr>
          <xdr14:nvPr macro=""/>
          <xdr14:xfrm>
            <a:off x="10776877" y="3970567"/>
            <a:ext cx="180" cy="7420155"/>
          </xdr14:xfrm>
        </xdr:contentPart>
      </mc:Choice>
      <mc:Fallback xmlns="">
        <xdr:pic>
          <xdr:nvPicPr>
            <xdr:cNvPr id="4" name="Ink 3">
              <a:extLst>
                <a:ext uri="{FF2B5EF4-FFF2-40B4-BE49-F238E27FC236}">
                  <a16:creationId xmlns:a16="http://schemas.microsoft.com/office/drawing/2014/main" id="{9BC1E537-531B-42D4-B6F7-B14E4E1B8C82}"/>
                </a:ext>
              </a:extLst>
            </xdr:cNvPr>
            <xdr:cNvPicPr/>
          </xdr:nvPicPr>
          <xdr:blipFill/>
          <xdr:spPr/>
        </xdr:pic>
      </mc:Fallback>
    </mc:AlternateContent>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29</xdr:row>
      <xdr:rowOff>0</xdr:rowOff>
    </xdr:from>
    <xdr:ext cx="2627421" cy="333190"/>
    <xdr:pic>
      <xdr:nvPicPr>
        <xdr:cNvPr id="2" name="Picture 1" descr="The Warehouse">
          <a:extLst>
            <a:ext uri="{FF2B5EF4-FFF2-40B4-BE49-F238E27FC236}">
              <a16:creationId xmlns:a16="http://schemas.microsoft.com/office/drawing/2014/main" id="{C163B170-2489-42B2-ACAD-0FD06B8E15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77813" y="0"/>
          <a:ext cx="2627421" cy="3331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32</xdr:row>
      <xdr:rowOff>0</xdr:rowOff>
    </xdr:from>
    <xdr:ext cx="1760027" cy="480619"/>
    <xdr:pic>
      <xdr:nvPicPr>
        <xdr:cNvPr id="3" name="Picture 2" descr="Briscoes Homeware">
          <a:extLst>
            <a:ext uri="{FF2B5EF4-FFF2-40B4-BE49-F238E27FC236}">
              <a16:creationId xmlns:a16="http://schemas.microsoft.com/office/drawing/2014/main" id="{B2D78EB0-12C2-4D09-B1D3-AC46D2350E8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77813" y="504825"/>
          <a:ext cx="1760027" cy="4806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576263</xdr:colOff>
      <xdr:row>42</xdr:row>
      <xdr:rowOff>166688</xdr:rowOff>
    </xdr:from>
    <xdr:ext cx="184731" cy="264560"/>
    <xdr:sp macro="" textlink="">
      <xdr:nvSpPr>
        <xdr:cNvPr id="4" name="TextBox 3">
          <a:extLst>
            <a:ext uri="{FF2B5EF4-FFF2-40B4-BE49-F238E27FC236}">
              <a16:creationId xmlns:a16="http://schemas.microsoft.com/office/drawing/2014/main" id="{A34F8600-F8F9-4A06-9E26-741E9BACB922}"/>
            </a:ext>
          </a:extLst>
        </xdr:cNvPr>
        <xdr:cNvSpPr txBox="1"/>
      </xdr:nvSpPr>
      <xdr:spPr>
        <a:xfrm>
          <a:off x="16297275" y="24431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NZ" sz="1100"/>
        </a:p>
      </xdr:txBody>
    </xdr:sp>
    <xdr:clientData/>
  </xdr:oneCellAnchor>
  <xdr:oneCellAnchor>
    <xdr:from>
      <xdr:col>7</xdr:col>
      <xdr:colOff>23812</xdr:colOff>
      <xdr:row>40</xdr:row>
      <xdr:rowOff>4763</xdr:rowOff>
    </xdr:from>
    <xdr:ext cx="881063" cy="166688"/>
    <xdr:sp macro="" textlink="">
      <xdr:nvSpPr>
        <xdr:cNvPr id="5" name="TextBox 4">
          <a:extLst>
            <a:ext uri="{FF2B5EF4-FFF2-40B4-BE49-F238E27FC236}">
              <a16:creationId xmlns:a16="http://schemas.microsoft.com/office/drawing/2014/main" id="{CA0C59AC-BE9E-406C-AE9D-F974DBEFEE84}"/>
            </a:ext>
          </a:extLst>
        </xdr:cNvPr>
        <xdr:cNvSpPr txBox="1"/>
      </xdr:nvSpPr>
      <xdr:spPr>
        <a:xfrm>
          <a:off x="16321087" y="1876426"/>
          <a:ext cx="881063" cy="16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NZ" sz="1100"/>
        </a:p>
      </xdr:txBody>
    </xdr:sp>
    <xdr:clientData/>
  </xdr:oneCellAnchor>
  <xdr:oneCellAnchor>
    <xdr:from>
      <xdr:col>7</xdr:col>
      <xdr:colOff>0</xdr:colOff>
      <xdr:row>40</xdr:row>
      <xdr:rowOff>214312</xdr:rowOff>
    </xdr:from>
    <xdr:ext cx="652463" cy="180975"/>
    <xdr:sp macro="" textlink="">
      <xdr:nvSpPr>
        <xdr:cNvPr id="6" name="TextBox 5">
          <a:extLst>
            <a:ext uri="{FF2B5EF4-FFF2-40B4-BE49-F238E27FC236}">
              <a16:creationId xmlns:a16="http://schemas.microsoft.com/office/drawing/2014/main" id="{1AB4E26B-A0E9-413F-9DB2-4BD6A9D8EFC1}"/>
            </a:ext>
          </a:extLst>
        </xdr:cNvPr>
        <xdr:cNvSpPr txBox="1"/>
      </xdr:nvSpPr>
      <xdr:spPr>
        <a:xfrm>
          <a:off x="16297275" y="2085975"/>
          <a:ext cx="652463" cy="180975"/>
        </a:xfrm>
        <a:prstGeom prst="rect">
          <a:avLst/>
        </a:prstGeom>
        <a:solidFill>
          <a:srgbClr val="EBF2F5"/>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NZ" sz="1100"/>
        </a:p>
      </xdr:txBody>
    </xdr:sp>
    <xdr:clientData/>
  </xdr:oneCellAnchor>
  <xdr:oneCellAnchor>
    <xdr:from>
      <xdr:col>7</xdr:col>
      <xdr:colOff>0</xdr:colOff>
      <xdr:row>43</xdr:row>
      <xdr:rowOff>9525</xdr:rowOff>
    </xdr:from>
    <xdr:ext cx="652463" cy="185739"/>
    <xdr:sp macro="" textlink="">
      <xdr:nvSpPr>
        <xdr:cNvPr id="7" name="TextBox 6">
          <a:extLst>
            <a:ext uri="{FF2B5EF4-FFF2-40B4-BE49-F238E27FC236}">
              <a16:creationId xmlns:a16="http://schemas.microsoft.com/office/drawing/2014/main" id="{E28308FC-3AB2-454F-BD8F-E711482D49A9}"/>
            </a:ext>
          </a:extLst>
        </xdr:cNvPr>
        <xdr:cNvSpPr txBox="1"/>
      </xdr:nvSpPr>
      <xdr:spPr>
        <a:xfrm>
          <a:off x="5181600" y="2571750"/>
          <a:ext cx="652463" cy="185739"/>
        </a:xfrm>
        <a:prstGeom prst="rect">
          <a:avLst/>
        </a:prstGeom>
        <a:solidFill>
          <a:srgbClr val="E6001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NZ" sz="1100"/>
        </a:p>
      </xdr:txBody>
    </xdr:sp>
    <xdr:clientData/>
  </xdr:oneCellAnchor>
  <xdr:oneCellAnchor>
    <xdr:from>
      <xdr:col>7</xdr:col>
      <xdr:colOff>1</xdr:colOff>
      <xdr:row>40</xdr:row>
      <xdr:rowOff>9525</xdr:rowOff>
    </xdr:from>
    <xdr:ext cx="633412" cy="190500"/>
    <xdr:sp macro="" textlink="">
      <xdr:nvSpPr>
        <xdr:cNvPr id="8" name="TextBox 7">
          <a:extLst>
            <a:ext uri="{FF2B5EF4-FFF2-40B4-BE49-F238E27FC236}">
              <a16:creationId xmlns:a16="http://schemas.microsoft.com/office/drawing/2014/main" id="{DBF1CFDD-B1F9-4E98-9311-9A38B7020380}"/>
            </a:ext>
          </a:extLst>
        </xdr:cNvPr>
        <xdr:cNvSpPr txBox="1"/>
      </xdr:nvSpPr>
      <xdr:spPr>
        <a:xfrm>
          <a:off x="16297276" y="1881188"/>
          <a:ext cx="633412" cy="190500"/>
        </a:xfrm>
        <a:prstGeom prst="rect">
          <a:avLst/>
        </a:prstGeom>
        <a:solidFill>
          <a:srgbClr val="C3D7E3"/>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NZ" sz="1100"/>
        </a:p>
      </xdr:txBody>
    </xdr:sp>
    <xdr:clientData/>
  </xdr:oneCellAnchor>
  <xdr:twoCellAnchor>
    <xdr:from>
      <xdr:col>9</xdr:col>
      <xdr:colOff>461962</xdr:colOff>
      <xdr:row>44</xdr:row>
      <xdr:rowOff>168594</xdr:rowOff>
    </xdr:from>
    <xdr:to>
      <xdr:col>9</xdr:col>
      <xdr:colOff>507681</xdr:colOff>
      <xdr:row>45</xdr:row>
      <xdr:rowOff>33338</xdr:rowOff>
    </xdr:to>
    <xdr:sp macro="" textlink="">
      <xdr:nvSpPr>
        <xdr:cNvPr id="9" name="TextBox 8">
          <a:extLst>
            <a:ext uri="{FF2B5EF4-FFF2-40B4-BE49-F238E27FC236}">
              <a16:creationId xmlns:a16="http://schemas.microsoft.com/office/drawing/2014/main" id="{49FC3AA7-CC67-42B9-9E3E-31095714C30F}"/>
            </a:ext>
          </a:extLst>
        </xdr:cNvPr>
        <xdr:cNvSpPr txBox="1"/>
      </xdr:nvSpPr>
      <xdr:spPr>
        <a:xfrm>
          <a:off x="17383125" y="2830832"/>
          <a:ext cx="45719" cy="361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NZ" sz="1100"/>
        </a:p>
      </xdr:txBody>
    </xdr:sp>
    <xdr:clientData/>
  </xdr:twoCellAnchor>
  <xdr:twoCellAnchor>
    <xdr:from>
      <xdr:col>7</xdr:col>
      <xdr:colOff>678592</xdr:colOff>
      <xdr:row>92</xdr:row>
      <xdr:rowOff>5437</xdr:rowOff>
    </xdr:from>
    <xdr:to>
      <xdr:col>7</xdr:col>
      <xdr:colOff>678772</xdr:colOff>
      <xdr:row>92</xdr:row>
      <xdr:rowOff>5617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0" name="Ink 9">
              <a:extLst>
                <a:ext uri="{FF2B5EF4-FFF2-40B4-BE49-F238E27FC236}">
                  <a16:creationId xmlns:a16="http://schemas.microsoft.com/office/drawing/2014/main" id="{46C79824-CB70-49C3-8F18-716487F29EAB}"/>
                </a:ext>
              </a:extLst>
            </xdr14:cNvPr>
            <xdr14:cNvContentPartPr/>
          </xdr14:nvContentPartPr>
          <xdr14:nvPr macro=""/>
          <xdr14:xfrm>
            <a:off x="10675080" y="657900"/>
            <a:ext cx="180" cy="180"/>
          </xdr14:xfrm>
        </xdr:contentPart>
      </mc:Choice>
      <mc:Fallback xmlns="">
        <xdr:pic>
          <xdr:nvPicPr>
            <xdr:cNvPr id="47" name="Ink 46">
              <a:extLst>
                <a:ext uri="{FF2B5EF4-FFF2-40B4-BE49-F238E27FC236}">
                  <a16:creationId xmlns:a16="http://schemas.microsoft.com/office/drawing/2014/main" id="{46C79824-CB70-49C3-8F18-716487F29EAB}"/>
                </a:ext>
              </a:extLst>
            </xdr:cNvPr>
            <xdr:cNvPicPr/>
          </xdr:nvPicPr>
          <xdr:blipFill/>
          <xdr:spPr/>
        </xdr:pic>
      </mc:Fallback>
    </mc:AlternateContent>
    <xdr:clientData/>
  </xdr:twoCellAnchor>
  <xdr:oneCellAnchor>
    <xdr:from>
      <xdr:col>10</xdr:col>
      <xdr:colOff>0</xdr:colOff>
      <xdr:row>28</xdr:row>
      <xdr:rowOff>161662</xdr:rowOff>
    </xdr:from>
    <xdr:ext cx="1760027" cy="480619"/>
    <xdr:pic>
      <xdr:nvPicPr>
        <xdr:cNvPr id="12" name="Picture 11" descr="Briscoes Homeware">
          <a:extLst>
            <a:ext uri="{FF2B5EF4-FFF2-40B4-BE49-F238E27FC236}">
              <a16:creationId xmlns:a16="http://schemas.microsoft.com/office/drawing/2014/main" id="{5C03CF6A-A12F-4251-B8E8-A089EADB88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19663" y="323587"/>
          <a:ext cx="1760027" cy="4806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0</xdr:colOff>
      <xdr:row>32</xdr:row>
      <xdr:rowOff>0</xdr:rowOff>
    </xdr:from>
    <xdr:to>
      <xdr:col>5</xdr:col>
      <xdr:colOff>227552</xdr:colOff>
      <xdr:row>33</xdr:row>
      <xdr:rowOff>38925</xdr:rowOff>
    </xdr:to>
    <xdr:pic>
      <xdr:nvPicPr>
        <xdr:cNvPr id="14" name="Picture 13" descr="Briscoe Group Ltd">
          <a:extLst>
            <a:ext uri="{FF2B5EF4-FFF2-40B4-BE49-F238E27FC236}">
              <a16:creationId xmlns:a16="http://schemas.microsoft.com/office/drawing/2014/main" id="{B753E3A0-DC84-42B8-8B75-F1825BF88E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76488" y="4824413"/>
          <a:ext cx="875252" cy="196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27</xdr:row>
      <xdr:rowOff>0</xdr:rowOff>
    </xdr:from>
    <xdr:to>
      <xdr:col>1</xdr:col>
      <xdr:colOff>340929</xdr:colOff>
      <xdr:row>28</xdr:row>
      <xdr:rowOff>39212</xdr:rowOff>
    </xdr:to>
    <xdr:pic>
      <xdr:nvPicPr>
        <xdr:cNvPr id="15" name="Picture 14" descr="http://z.co.nz/themes/base/images/z_logo.png">
          <a:extLst>
            <a:ext uri="{FF2B5EF4-FFF2-40B4-BE49-F238E27FC236}">
              <a16:creationId xmlns:a16="http://schemas.microsoft.com/office/drawing/2014/main" id="{B8F8F98D-532E-4037-A6CA-D5E4D4DED9D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50" y="4891088"/>
          <a:ext cx="336696" cy="20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396240</xdr:colOff>
      <xdr:row>329</xdr:row>
      <xdr:rowOff>99060</xdr:rowOff>
    </xdr:from>
    <xdr:to>
      <xdr:col>11</xdr:col>
      <xdr:colOff>746760</xdr:colOff>
      <xdr:row>329</xdr:row>
      <xdr:rowOff>99060</xdr:rowOff>
    </xdr:to>
    <xdr:sp macro="" textlink="">
      <xdr:nvSpPr>
        <xdr:cNvPr id="2" name="Line 3">
          <a:extLst>
            <a:ext uri="{FF2B5EF4-FFF2-40B4-BE49-F238E27FC236}">
              <a16:creationId xmlns:a16="http://schemas.microsoft.com/office/drawing/2014/main" id="{FC657C5D-14CA-442C-9D2A-22E285553CDB}"/>
            </a:ext>
          </a:extLst>
        </xdr:cNvPr>
        <xdr:cNvSpPr>
          <a:spLocks noChangeShapeType="1"/>
        </xdr:cNvSpPr>
      </xdr:nvSpPr>
      <xdr:spPr bwMode="auto">
        <a:xfrm>
          <a:off x="6818207" y="53408368"/>
          <a:ext cx="107018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388471</xdr:colOff>
      <xdr:row>333</xdr:row>
      <xdr:rowOff>134471</xdr:rowOff>
    </xdr:from>
    <xdr:to>
      <xdr:col>11</xdr:col>
      <xdr:colOff>700891</xdr:colOff>
      <xdr:row>333</xdr:row>
      <xdr:rowOff>134471</xdr:rowOff>
    </xdr:to>
    <xdr:sp macro="" textlink="">
      <xdr:nvSpPr>
        <xdr:cNvPr id="3" name="Line 3">
          <a:extLst>
            <a:ext uri="{FF2B5EF4-FFF2-40B4-BE49-F238E27FC236}">
              <a16:creationId xmlns:a16="http://schemas.microsoft.com/office/drawing/2014/main" id="{6233B7B8-6D9B-4B69-B4E1-862FA34AF8E1}"/>
            </a:ext>
          </a:extLst>
        </xdr:cNvPr>
        <xdr:cNvSpPr>
          <a:spLocks noChangeShapeType="1"/>
        </xdr:cNvSpPr>
      </xdr:nvSpPr>
      <xdr:spPr bwMode="auto">
        <a:xfrm>
          <a:off x="6809379" y="54091479"/>
          <a:ext cx="104690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456671</xdr:colOff>
      <xdr:row>25</xdr:row>
      <xdr:rowOff>75671</xdr:rowOff>
    </xdr:to>
    <xdr:pic>
      <xdr:nvPicPr>
        <xdr:cNvPr id="116" name="Picture 115">
          <a:extLst>
            <a:ext uri="{FF2B5EF4-FFF2-40B4-BE49-F238E27FC236}">
              <a16:creationId xmlns:a16="http://schemas.microsoft.com/office/drawing/2014/main" id="{37ACB501-65B8-4E1E-939D-E0A9F347A9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3690938" cy="3957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xdr:colOff>
      <xdr:row>1</xdr:row>
      <xdr:rowOff>9525</xdr:rowOff>
    </xdr:from>
    <xdr:to>
      <xdr:col>11</xdr:col>
      <xdr:colOff>457730</xdr:colOff>
      <xdr:row>25</xdr:row>
      <xdr:rowOff>29634</xdr:rowOff>
    </xdr:to>
    <xdr:pic>
      <xdr:nvPicPr>
        <xdr:cNvPr id="119" name="Picture 118">
          <a:extLst>
            <a:ext uri="{FF2B5EF4-FFF2-40B4-BE49-F238E27FC236}">
              <a16:creationId xmlns:a16="http://schemas.microsoft.com/office/drawing/2014/main" id="{505E449E-18CC-4ED3-A11D-1E3BDC7A06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5725" y="171450"/>
          <a:ext cx="3690938" cy="390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19050</xdr:rowOff>
    </xdr:from>
    <xdr:to>
      <xdr:col>5</xdr:col>
      <xdr:colOff>456671</xdr:colOff>
      <xdr:row>49</xdr:row>
      <xdr:rowOff>8466</xdr:rowOff>
    </xdr:to>
    <xdr:pic>
      <xdr:nvPicPr>
        <xdr:cNvPr id="121" name="Picture 120">
          <a:extLst>
            <a:ext uri="{FF2B5EF4-FFF2-40B4-BE49-F238E27FC236}">
              <a16:creationId xmlns:a16="http://schemas.microsoft.com/office/drawing/2014/main" id="{77B2E19D-CC72-4B03-9C54-6977D061281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229100"/>
          <a:ext cx="3690938" cy="371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26</xdr:row>
      <xdr:rowOff>9525</xdr:rowOff>
    </xdr:from>
    <xdr:to>
      <xdr:col>11</xdr:col>
      <xdr:colOff>456671</xdr:colOff>
      <xdr:row>49</xdr:row>
      <xdr:rowOff>8996</xdr:rowOff>
    </xdr:to>
    <xdr:pic>
      <xdr:nvPicPr>
        <xdr:cNvPr id="123" name="Picture 122">
          <a:extLst>
            <a:ext uri="{FF2B5EF4-FFF2-40B4-BE49-F238E27FC236}">
              <a16:creationId xmlns:a16="http://schemas.microsoft.com/office/drawing/2014/main" id="{F4DDB8E0-9B06-4EDC-8C56-9F4847F4748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86200" y="4219575"/>
          <a:ext cx="3690938" cy="3729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xdr:row>
      <xdr:rowOff>152400</xdr:rowOff>
    </xdr:from>
    <xdr:to>
      <xdr:col>11</xdr:col>
      <xdr:colOff>571500</xdr:colOff>
      <xdr:row>72</xdr:row>
      <xdr:rowOff>76200</xdr:rowOff>
    </xdr:to>
    <xdr:pic>
      <xdr:nvPicPr>
        <xdr:cNvPr id="124" name="Picture 123">
          <a:extLst>
            <a:ext uri="{FF2B5EF4-FFF2-40B4-BE49-F238E27FC236}">
              <a16:creationId xmlns:a16="http://schemas.microsoft.com/office/drawing/2014/main" id="{F3F6C0CA-D1A3-4D30-8CA2-207781A204A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8086725"/>
          <a:ext cx="7696200" cy="36480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14288</xdr:rowOff>
    </xdr:from>
    <xdr:to>
      <xdr:col>5</xdr:col>
      <xdr:colOff>456671</xdr:colOff>
      <xdr:row>91</xdr:row>
      <xdr:rowOff>113771</xdr:rowOff>
    </xdr:to>
    <xdr:pic>
      <xdr:nvPicPr>
        <xdr:cNvPr id="127" name="Picture 126">
          <a:extLst>
            <a:ext uri="{FF2B5EF4-FFF2-40B4-BE49-F238E27FC236}">
              <a16:creationId xmlns:a16="http://schemas.microsoft.com/office/drawing/2014/main" id="{D5CBF96B-DE9F-45B3-8B36-F4F6153361F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1834813"/>
          <a:ext cx="3690938" cy="300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73</xdr:row>
      <xdr:rowOff>23813</xdr:rowOff>
    </xdr:from>
    <xdr:to>
      <xdr:col>11</xdr:col>
      <xdr:colOff>456671</xdr:colOff>
      <xdr:row>92</xdr:row>
      <xdr:rowOff>1</xdr:rowOff>
    </xdr:to>
    <xdr:pic>
      <xdr:nvPicPr>
        <xdr:cNvPr id="129" name="Picture 128">
          <a:extLst>
            <a:ext uri="{FF2B5EF4-FFF2-40B4-BE49-F238E27FC236}">
              <a16:creationId xmlns:a16="http://schemas.microsoft.com/office/drawing/2014/main" id="{DC364329-18B9-4B85-96F8-7B3BB0F4587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86200" y="11844338"/>
          <a:ext cx="3690938" cy="3052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138113</xdr:rowOff>
    </xdr:from>
    <xdr:to>
      <xdr:col>12</xdr:col>
      <xdr:colOff>579966</xdr:colOff>
      <xdr:row>105</xdr:row>
      <xdr:rowOff>113771</xdr:rowOff>
    </xdr:to>
    <xdr:pic>
      <xdr:nvPicPr>
        <xdr:cNvPr id="130" name="Picture 129">
          <a:extLst>
            <a:ext uri="{FF2B5EF4-FFF2-40B4-BE49-F238E27FC236}">
              <a16:creationId xmlns:a16="http://schemas.microsoft.com/office/drawing/2014/main" id="{82C2A483-7880-41D6-A0CD-931E381F262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15035213"/>
          <a:ext cx="8353425" cy="207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8</xdr:col>
      <xdr:colOff>0</xdr:colOff>
      <xdr:row>26</xdr:row>
      <xdr:rowOff>90488</xdr:rowOff>
    </xdr:to>
    <xdr:pic>
      <xdr:nvPicPr>
        <xdr:cNvPr id="20" name="Picture 19">
          <a:extLst>
            <a:ext uri="{FF2B5EF4-FFF2-40B4-BE49-F238E27FC236}">
              <a16:creationId xmlns:a16="http://schemas.microsoft.com/office/drawing/2014/main" id="{6EB29F5F-6A61-4316-991A-31665DFD34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0" y="576263"/>
          <a:ext cx="3848100" cy="3814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158750</xdr:colOff>
      <xdr:row>3</xdr:row>
      <xdr:rowOff>47625</xdr:rowOff>
    </xdr:from>
    <xdr:to>
      <xdr:col>14</xdr:col>
      <xdr:colOff>117475</xdr:colOff>
      <xdr:row>26</xdr:row>
      <xdr:rowOff>119063</xdr:rowOff>
    </xdr:to>
    <xdr:pic>
      <xdr:nvPicPr>
        <xdr:cNvPr id="25" name="Picture 24">
          <a:extLst>
            <a:ext uri="{FF2B5EF4-FFF2-40B4-BE49-F238E27FC236}">
              <a16:creationId xmlns:a16="http://schemas.microsoft.com/office/drawing/2014/main" id="{FCC4AB53-5B7D-4846-BCC9-4BE4A26F92F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5750" y="619125"/>
          <a:ext cx="3863975" cy="3722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28</xdr:row>
      <xdr:rowOff>0</xdr:rowOff>
    </xdr:from>
    <xdr:to>
      <xdr:col>8</xdr:col>
      <xdr:colOff>0</xdr:colOff>
      <xdr:row>50</xdr:row>
      <xdr:rowOff>103188</xdr:rowOff>
    </xdr:to>
    <xdr:pic>
      <xdr:nvPicPr>
        <xdr:cNvPr id="29" name="Picture 28">
          <a:extLst>
            <a:ext uri="{FF2B5EF4-FFF2-40B4-BE49-F238E27FC236}">
              <a16:creationId xmlns:a16="http://schemas.microsoft.com/office/drawing/2014/main" id="{596E35ED-BBBA-4D69-9AC5-EB3F002A415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01750" y="4540250"/>
          <a:ext cx="3863975" cy="3595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190500</xdr:colOff>
      <xdr:row>27</xdr:row>
      <xdr:rowOff>142875</xdr:rowOff>
    </xdr:from>
    <xdr:to>
      <xdr:col>14</xdr:col>
      <xdr:colOff>149225</xdr:colOff>
      <xdr:row>50</xdr:row>
      <xdr:rowOff>152400</xdr:rowOff>
    </xdr:to>
    <xdr:pic>
      <xdr:nvPicPr>
        <xdr:cNvPr id="33" name="Picture 32">
          <a:extLst>
            <a:ext uri="{FF2B5EF4-FFF2-40B4-BE49-F238E27FC236}">
              <a16:creationId xmlns:a16="http://schemas.microsoft.com/office/drawing/2014/main" id="{CB70A6A1-EB7C-4580-892E-ACF077A04F1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97500" y="4524375"/>
          <a:ext cx="3863975" cy="366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246062</xdr:colOff>
      <xdr:row>51</xdr:row>
      <xdr:rowOff>142875</xdr:rowOff>
    </xdr:from>
    <xdr:to>
      <xdr:col>11</xdr:col>
      <xdr:colOff>204787</xdr:colOff>
      <xdr:row>75</xdr:row>
      <xdr:rowOff>122238</xdr:rowOff>
    </xdr:to>
    <xdr:pic>
      <xdr:nvPicPr>
        <xdr:cNvPr id="35" name="Picture 34">
          <a:extLst>
            <a:ext uri="{FF2B5EF4-FFF2-40B4-BE49-F238E27FC236}">
              <a16:creationId xmlns:a16="http://schemas.microsoft.com/office/drawing/2014/main" id="{47B3830A-0791-41A3-8136-686A94BADBB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0437" y="8334375"/>
          <a:ext cx="3863975" cy="3789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523875</xdr:colOff>
      <xdr:row>77</xdr:row>
      <xdr:rowOff>55562</xdr:rowOff>
    </xdr:from>
    <xdr:to>
      <xdr:col>13</xdr:col>
      <xdr:colOff>604838</xdr:colOff>
      <xdr:row>99</xdr:row>
      <xdr:rowOff>136525</xdr:rowOff>
    </xdr:to>
    <xdr:pic>
      <xdr:nvPicPr>
        <xdr:cNvPr id="37" name="Picture 36">
          <a:extLst>
            <a:ext uri="{FF2B5EF4-FFF2-40B4-BE49-F238E27FC236}">
              <a16:creationId xmlns:a16="http://schemas.microsoft.com/office/drawing/2014/main" id="{5FC2F389-33F4-41F6-B8D7-642CE752E9A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45125" y="12453937"/>
          <a:ext cx="7278688" cy="3573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325438</xdr:colOff>
      <xdr:row>101</xdr:row>
      <xdr:rowOff>119063</xdr:rowOff>
    </xdr:from>
    <xdr:to>
      <xdr:col>11</xdr:col>
      <xdr:colOff>284163</xdr:colOff>
      <xdr:row>122</xdr:row>
      <xdr:rowOff>31751</xdr:rowOff>
    </xdr:to>
    <xdr:pic>
      <xdr:nvPicPr>
        <xdr:cNvPr id="40" name="Picture 39">
          <a:extLst>
            <a:ext uri="{FF2B5EF4-FFF2-40B4-BE49-F238E27FC236}">
              <a16:creationId xmlns:a16="http://schemas.microsoft.com/office/drawing/2014/main" id="{BD6DAA13-8E09-43EB-8613-D9C74974987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79813" y="16248063"/>
          <a:ext cx="3863975" cy="3246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301625</xdr:colOff>
      <xdr:row>124</xdr:row>
      <xdr:rowOff>15875</xdr:rowOff>
    </xdr:from>
    <xdr:to>
      <xdr:col>8</xdr:col>
      <xdr:colOff>260350</xdr:colOff>
      <xdr:row>142</xdr:row>
      <xdr:rowOff>87313</xdr:rowOff>
    </xdr:to>
    <xdr:pic>
      <xdr:nvPicPr>
        <xdr:cNvPr id="42" name="Picture 41">
          <a:extLst>
            <a:ext uri="{FF2B5EF4-FFF2-40B4-BE49-F238E27FC236}">
              <a16:creationId xmlns:a16="http://schemas.microsoft.com/office/drawing/2014/main" id="{CDAF7C7D-2C54-44AA-8991-5C10947ACE7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222875" y="19875500"/>
          <a:ext cx="3863975" cy="2928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301626</xdr:colOff>
      <xdr:row>145</xdr:row>
      <xdr:rowOff>7937</xdr:rowOff>
    </xdr:from>
    <xdr:to>
      <xdr:col>8</xdr:col>
      <xdr:colOff>277814</xdr:colOff>
      <xdr:row>157</xdr:row>
      <xdr:rowOff>150812</xdr:rowOff>
    </xdr:to>
    <xdr:pic>
      <xdr:nvPicPr>
        <xdr:cNvPr id="46" name="Picture 45">
          <a:extLst>
            <a:ext uri="{FF2B5EF4-FFF2-40B4-BE49-F238E27FC236}">
              <a16:creationId xmlns:a16="http://schemas.microsoft.com/office/drawing/2014/main" id="{4AF6CDBE-954C-4608-ADF0-A15D65FBB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22876" y="23201312"/>
          <a:ext cx="3881438"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531815</xdr:colOff>
      <xdr:row>145</xdr:row>
      <xdr:rowOff>0</xdr:rowOff>
    </xdr:from>
    <xdr:to>
      <xdr:col>14</xdr:col>
      <xdr:colOff>523877</xdr:colOff>
      <xdr:row>157</xdr:row>
      <xdr:rowOff>142875</xdr:rowOff>
    </xdr:to>
    <xdr:pic>
      <xdr:nvPicPr>
        <xdr:cNvPr id="48" name="Picture 47">
          <a:extLst>
            <a:ext uri="{FF2B5EF4-FFF2-40B4-BE49-F238E27FC236}">
              <a16:creationId xmlns:a16="http://schemas.microsoft.com/office/drawing/2014/main" id="{97F8B929-56E3-4FE8-A8C2-73C4E1144A9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358315" y="23193375"/>
          <a:ext cx="3897312"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611188</xdr:colOff>
      <xdr:row>160</xdr:row>
      <xdr:rowOff>0</xdr:rowOff>
    </xdr:from>
    <xdr:to>
      <xdr:col>18</xdr:col>
      <xdr:colOff>436563</xdr:colOff>
      <xdr:row>189</xdr:row>
      <xdr:rowOff>90488</xdr:rowOff>
    </xdr:to>
    <xdr:pic>
      <xdr:nvPicPr>
        <xdr:cNvPr id="49" name="Picture 48">
          <a:extLst>
            <a:ext uri="{FF2B5EF4-FFF2-40B4-BE49-F238E27FC236}">
              <a16:creationId xmlns:a16="http://schemas.microsoft.com/office/drawing/2014/main" id="{D120800F-A17C-419F-89A6-08C1442E949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881563" y="25574625"/>
          <a:ext cx="10890250" cy="4694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455082</xdr:colOff>
      <xdr:row>124</xdr:row>
      <xdr:rowOff>5291</xdr:rowOff>
    </xdr:from>
    <xdr:to>
      <xdr:col>14</xdr:col>
      <xdr:colOff>419100</xdr:colOff>
      <xdr:row>142</xdr:row>
      <xdr:rowOff>138641</xdr:rowOff>
    </xdr:to>
    <xdr:pic>
      <xdr:nvPicPr>
        <xdr:cNvPr id="52" name="Picture 51">
          <a:extLst>
            <a:ext uri="{FF2B5EF4-FFF2-40B4-BE49-F238E27FC236}">
              <a16:creationId xmlns:a16="http://schemas.microsoft.com/office/drawing/2014/main" id="{3CFD220B-E488-46F1-B6AC-F2C580859F3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281582" y="19864916"/>
          <a:ext cx="3869268" cy="299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49741</xdr:colOff>
      <xdr:row>1</xdr:row>
      <xdr:rowOff>56092</xdr:rowOff>
    </xdr:from>
    <xdr:to>
      <xdr:col>1</xdr:col>
      <xdr:colOff>398601</xdr:colOff>
      <xdr:row>1</xdr:row>
      <xdr:rowOff>283428</xdr:rowOff>
    </xdr:to>
    <xdr:pic>
      <xdr:nvPicPr>
        <xdr:cNvPr id="2" name="Picture 1" descr="http://landsarwellington.org/wp-content/uploads/2018/02/Meridian.jpg">
          <a:extLst>
            <a:ext uri="{FF2B5EF4-FFF2-40B4-BE49-F238E27FC236}">
              <a16:creationId xmlns:a16="http://schemas.microsoft.com/office/drawing/2014/main" id="{6019CD9D-76DC-49CE-8024-86FBA5A249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566" y="220134"/>
          <a:ext cx="620852" cy="227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133065</xdr:colOff>
      <xdr:row>138</xdr:row>
      <xdr:rowOff>94305</xdr:rowOff>
    </xdr:from>
    <xdr:ext cx="622536" cy="2952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1ACB74C8-98E1-4C7C-8082-C3DB0EFCACD2}"/>
                </a:ext>
              </a:extLst>
            </xdr14:cNvPr>
            <xdr14:cNvContentPartPr/>
          </xdr14:nvContentPartPr>
          <xdr14:nvPr macro=""/>
          <xdr14:xfrm>
            <a:off x="6333840" y="14562780"/>
            <a:ext cx="627480" cy="29520"/>
          </xdr14:xfrm>
        </xdr:contentPart>
      </mc:Choice>
      <mc:Fallback xmlns="">
        <xdr:pic>
          <xdr:nvPicPr>
            <xdr:cNvPr id="2" name="Ink 1">
              <a:extLst>
                <a:ext uri="{FF2B5EF4-FFF2-40B4-BE49-F238E27FC236}">
                  <a16:creationId xmlns:a16="http://schemas.microsoft.com/office/drawing/2014/main" id="{1ACB74C8-98E1-4C7C-8082-C3DB0EFCACD2}"/>
                </a:ext>
              </a:extLst>
            </xdr:cNvPr>
            <xdr:cNvPicPr/>
          </xdr:nvPicPr>
          <xdr:blipFill>
            <a:blip xmlns:r="http://schemas.openxmlformats.org/officeDocument/2006/relationships" r:embed="rId2"/>
            <a:stretch>
              <a:fillRect/>
            </a:stretch>
          </xdr:blipFill>
          <xdr:spPr>
            <a:xfrm>
              <a:off x="6324945" y="14553438"/>
              <a:ext cx="645641" cy="47830"/>
            </a:xfrm>
            <a:prstGeom prst="rect">
              <a:avLst/>
            </a:prstGeom>
          </xdr:spPr>
        </xdr:pic>
      </mc:Fallback>
    </mc:AlternateContent>
    <xdr:clientData/>
  </xdr:oneCellAnchor>
  <xdr:oneCellAnchor>
    <xdr:from>
      <xdr:col>7</xdr:col>
      <xdr:colOff>56910</xdr:colOff>
      <xdr:row>212</xdr:row>
      <xdr:rowOff>28065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776A6855-350E-49CD-86F1-90064D17AEA8}"/>
                </a:ext>
              </a:extLst>
            </xdr14:cNvPr>
            <xdr14:cNvContentPartPr/>
          </xdr14:nvContentPartPr>
          <xdr14:nvPr macro=""/>
          <xdr14:xfrm>
            <a:off x="9448560" y="15182340"/>
            <a:ext cx="360" cy="360"/>
          </xdr14:xfrm>
        </xdr:contentPart>
      </mc:Choice>
      <mc:Fallback xmlns="">
        <xdr:pic>
          <xdr:nvPicPr>
            <xdr:cNvPr id="3" name="Ink 2">
              <a:extLst>
                <a:ext uri="{FF2B5EF4-FFF2-40B4-BE49-F238E27FC236}">
                  <a16:creationId xmlns:a16="http://schemas.microsoft.com/office/drawing/2014/main" id="{776A6855-350E-49CD-86F1-90064D17AEA8}"/>
                </a:ext>
              </a:extLst>
            </xdr:cNvPr>
            <xdr:cNvPicPr/>
          </xdr:nvPicPr>
          <xdr:blipFill>
            <a:blip xmlns:r="http://schemas.openxmlformats.org/officeDocument/2006/relationships" r:embed="rId4"/>
            <a:stretch>
              <a:fillRect/>
            </a:stretch>
          </xdr:blipFill>
          <xdr:spPr>
            <a:xfrm>
              <a:off x="9439920" y="15173340"/>
              <a:ext cx="18000" cy="18000"/>
            </a:xfrm>
            <a:prstGeom prst="rect">
              <a:avLst/>
            </a:prstGeom>
          </xdr:spPr>
        </xdr:pic>
      </mc:Fallback>
    </mc:AlternateContent>
    <xdr:clientData/>
  </xdr:oneCellAnchor>
  <xdr:oneCellAnchor>
    <xdr:from>
      <xdr:col>12</xdr:col>
      <xdr:colOff>75375</xdr:colOff>
      <xdr:row>138</xdr:row>
      <xdr:rowOff>56505</xdr:rowOff>
    </xdr:from>
    <xdr:ext cx="49680" cy="849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Ink 3">
              <a:extLst>
                <a:ext uri="{FF2B5EF4-FFF2-40B4-BE49-F238E27FC236}">
                  <a16:creationId xmlns:a16="http://schemas.microsoft.com/office/drawing/2014/main" id="{B08C5CB0-913B-4D9C-BE35-1B3585479241}"/>
                </a:ext>
              </a:extLst>
            </xdr14:cNvPr>
            <xdr14:cNvContentPartPr/>
          </xdr14:nvContentPartPr>
          <xdr14:nvPr macro=""/>
          <xdr14:xfrm>
            <a:off x="6904800" y="14524980"/>
            <a:ext cx="49680" cy="84960"/>
          </xdr14:xfrm>
        </xdr:contentPart>
      </mc:Choice>
      <mc:Fallback xmlns="">
        <xdr:pic>
          <xdr:nvPicPr>
            <xdr:cNvPr id="4" name="Ink 3">
              <a:extLst>
                <a:ext uri="{FF2B5EF4-FFF2-40B4-BE49-F238E27FC236}">
                  <a16:creationId xmlns:a16="http://schemas.microsoft.com/office/drawing/2014/main" id="{B08C5CB0-913B-4D9C-BE35-1B3585479241}"/>
                </a:ext>
              </a:extLst>
            </xdr:cNvPr>
            <xdr:cNvPicPr/>
          </xdr:nvPicPr>
          <xdr:blipFill>
            <a:blip xmlns:r="http://schemas.openxmlformats.org/officeDocument/2006/relationships" r:embed="rId6"/>
            <a:stretch>
              <a:fillRect/>
            </a:stretch>
          </xdr:blipFill>
          <xdr:spPr>
            <a:xfrm>
              <a:off x="6896160" y="14515980"/>
              <a:ext cx="67320" cy="102600"/>
            </a:xfrm>
            <a:prstGeom prst="rect">
              <a:avLst/>
            </a:prstGeom>
          </xdr:spPr>
        </xdr:pic>
      </mc:Fallback>
    </mc:AlternateContent>
    <xdr:clientData/>
  </xdr:oneCellAnchor>
  <xdr:oneCellAnchor>
    <xdr:from>
      <xdr:col>7</xdr:col>
      <xdr:colOff>314040</xdr:colOff>
      <xdr:row>217</xdr:row>
      <xdr:rowOff>113745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5" name="Ink 4">
              <a:extLst>
                <a:ext uri="{FF2B5EF4-FFF2-40B4-BE49-F238E27FC236}">
                  <a16:creationId xmlns:a16="http://schemas.microsoft.com/office/drawing/2014/main" id="{C503A38E-52CD-467F-9BEE-A10E46595D28}"/>
                </a:ext>
              </a:extLst>
            </xdr14:cNvPr>
            <xdr14:cNvContentPartPr/>
          </xdr14:nvContentPartPr>
          <xdr14:nvPr macro=""/>
          <xdr14:xfrm>
            <a:off x="9077040" y="15268020"/>
            <a:ext cx="360" cy="360"/>
          </xdr14:xfrm>
        </xdr:contentPart>
      </mc:Choice>
      <mc:Fallback xmlns="">
        <xdr:pic>
          <xdr:nvPicPr>
            <xdr:cNvPr id="5" name="Ink 4">
              <a:extLst>
                <a:ext uri="{FF2B5EF4-FFF2-40B4-BE49-F238E27FC236}">
                  <a16:creationId xmlns:a16="http://schemas.microsoft.com/office/drawing/2014/main" id="{C503A38E-52CD-467F-9BEE-A10E46595D28}"/>
                </a:ext>
              </a:extLst>
            </xdr:cNvPr>
            <xdr:cNvPicPr/>
          </xdr:nvPicPr>
          <xdr:blipFill>
            <a:blip xmlns:r="http://schemas.openxmlformats.org/officeDocument/2006/relationships" r:embed="rId4"/>
            <a:stretch>
              <a:fillRect/>
            </a:stretch>
          </xdr:blipFill>
          <xdr:spPr>
            <a:xfrm>
              <a:off x="9068400" y="15259020"/>
              <a:ext cx="18000" cy="18000"/>
            </a:xfrm>
            <a:prstGeom prst="rect">
              <a:avLst/>
            </a:prstGeom>
          </xdr:spPr>
        </xdr:pic>
      </mc:Fallback>
    </mc:AlternateContent>
    <xdr:clientData/>
  </xdr:oneCellAnchor>
  <xdr:oneCellAnchor>
    <xdr:from>
      <xdr:col>11</xdr:col>
      <xdr:colOff>133065</xdr:colOff>
      <xdr:row>183</xdr:row>
      <xdr:rowOff>94305</xdr:rowOff>
    </xdr:from>
    <xdr:ext cx="627480" cy="2952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6" name="Ink 5">
              <a:extLst>
                <a:ext uri="{FF2B5EF4-FFF2-40B4-BE49-F238E27FC236}">
                  <a16:creationId xmlns:a16="http://schemas.microsoft.com/office/drawing/2014/main" id="{B8D02B5B-963C-455D-A909-8BA703E4524E}"/>
                </a:ext>
              </a:extLst>
            </xdr14:cNvPr>
            <xdr14:cNvContentPartPr/>
          </xdr14:nvContentPartPr>
          <xdr14:nvPr macro=""/>
          <xdr14:xfrm>
            <a:off x="6333840" y="14562780"/>
            <a:ext cx="627480" cy="29520"/>
          </xdr14:xfrm>
        </xdr:contentPart>
      </mc:Choice>
      <mc:Fallback xmlns="">
        <xdr:pic>
          <xdr:nvPicPr>
            <xdr:cNvPr id="6" name="Ink 5">
              <a:extLst>
                <a:ext uri="{FF2B5EF4-FFF2-40B4-BE49-F238E27FC236}">
                  <a16:creationId xmlns:a16="http://schemas.microsoft.com/office/drawing/2014/main" id="{B8D02B5B-963C-455D-A909-8BA703E4524E}"/>
                </a:ext>
              </a:extLst>
            </xdr:cNvPr>
            <xdr:cNvPicPr/>
          </xdr:nvPicPr>
          <xdr:blipFill>
            <a:blip xmlns:r="http://schemas.openxmlformats.org/officeDocument/2006/relationships" r:embed="rId2"/>
            <a:stretch>
              <a:fillRect/>
            </a:stretch>
          </xdr:blipFill>
          <xdr:spPr>
            <a:xfrm>
              <a:off x="6325200" y="14553780"/>
              <a:ext cx="645120" cy="47160"/>
            </a:xfrm>
            <a:prstGeom prst="rect">
              <a:avLst/>
            </a:prstGeom>
          </xdr:spPr>
        </xdr:pic>
      </mc:Fallback>
    </mc:AlternateContent>
    <xdr:clientData/>
  </xdr:oneCellAnchor>
  <xdr:oneCellAnchor>
    <xdr:from>
      <xdr:col>12</xdr:col>
      <xdr:colOff>75375</xdr:colOff>
      <xdr:row>183</xdr:row>
      <xdr:rowOff>56505</xdr:rowOff>
    </xdr:from>
    <xdr:ext cx="49680" cy="849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7" name="Ink 6">
              <a:extLst>
                <a:ext uri="{FF2B5EF4-FFF2-40B4-BE49-F238E27FC236}">
                  <a16:creationId xmlns:a16="http://schemas.microsoft.com/office/drawing/2014/main" id="{B4DAABEC-580F-4EF7-8681-A6FCB59ECD02}"/>
                </a:ext>
              </a:extLst>
            </xdr14:cNvPr>
            <xdr14:cNvContentPartPr/>
          </xdr14:nvContentPartPr>
          <xdr14:nvPr macro=""/>
          <xdr14:xfrm>
            <a:off x="6904800" y="14524980"/>
            <a:ext cx="49680" cy="84960"/>
          </xdr14:xfrm>
        </xdr:contentPart>
      </mc:Choice>
      <mc:Fallback xmlns="">
        <xdr:pic>
          <xdr:nvPicPr>
            <xdr:cNvPr id="7" name="Ink 6">
              <a:extLst>
                <a:ext uri="{FF2B5EF4-FFF2-40B4-BE49-F238E27FC236}">
                  <a16:creationId xmlns:a16="http://schemas.microsoft.com/office/drawing/2014/main" id="{B4DAABEC-580F-4EF7-8681-A6FCB59ECD02}"/>
                </a:ext>
              </a:extLst>
            </xdr:cNvPr>
            <xdr:cNvPicPr/>
          </xdr:nvPicPr>
          <xdr:blipFill>
            <a:blip xmlns:r="http://schemas.openxmlformats.org/officeDocument/2006/relationships" r:embed="rId6"/>
            <a:stretch>
              <a:fillRect/>
            </a:stretch>
          </xdr:blipFill>
          <xdr:spPr>
            <a:xfrm>
              <a:off x="6896160" y="14515980"/>
              <a:ext cx="67320" cy="1026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26</xdr:col>
      <xdr:colOff>767751</xdr:colOff>
      <xdr:row>66</xdr:row>
      <xdr:rowOff>131188</xdr:rowOff>
    </xdr:from>
    <xdr:to>
      <xdr:col>26</xdr:col>
      <xdr:colOff>797091</xdr:colOff>
      <xdr:row>66</xdr:row>
      <xdr:rowOff>131368</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Ink 2">
              <a:extLst>
                <a:ext uri="{FF2B5EF4-FFF2-40B4-BE49-F238E27FC236}">
                  <a16:creationId xmlns:a16="http://schemas.microsoft.com/office/drawing/2014/main" id="{7C89111B-89A6-42E3-968C-1732DF847307}"/>
                </a:ext>
              </a:extLst>
            </xdr14:cNvPr>
            <xdr14:cNvContentPartPr/>
          </xdr14:nvContentPartPr>
          <xdr14:nvPr macro=""/>
          <xdr14:xfrm>
            <a:off x="13019040" y="11055780"/>
            <a:ext cx="29340" cy="180"/>
          </xdr14:xfrm>
        </xdr:contentPart>
      </mc:Choice>
      <mc:Fallback xmlns="">
        <xdr:pic>
          <xdr:nvPicPr>
            <xdr:cNvPr id="3" name="Ink 2">
              <a:extLst>
                <a:ext uri="{FF2B5EF4-FFF2-40B4-BE49-F238E27FC236}">
                  <a16:creationId xmlns:a16="http://schemas.microsoft.com/office/drawing/2014/main" id="{7C89111B-89A6-42E3-968C-1732DF847307}"/>
                </a:ext>
              </a:extLst>
            </xdr:cNvPr>
            <xdr:cNvPicPr/>
          </xdr:nvPicPr>
          <xdr:blipFill>
            <a:blip xmlns:r="http://schemas.openxmlformats.org/officeDocument/2006/relationships" r:embed="rId2"/>
            <a:stretch>
              <a:fillRect/>
            </a:stretch>
          </xdr:blipFill>
          <xdr:spPr>
            <a:xfrm>
              <a:off x="13014389" y="11053440"/>
              <a:ext cx="38643" cy="4860"/>
            </a:xfrm>
            <a:prstGeom prst="rect">
              <a:avLst/>
            </a:prstGeom>
          </xdr:spPr>
        </xdr:pic>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0</xdr:colOff>
      <xdr:row>101</xdr:row>
      <xdr:rowOff>0</xdr:rowOff>
    </xdr:from>
    <xdr:to>
      <xdr:col>40</xdr:col>
      <xdr:colOff>523876</xdr:colOff>
      <xdr:row>105</xdr:row>
      <xdr:rowOff>93133</xdr:rowOff>
    </xdr:to>
    <xdr:pic>
      <xdr:nvPicPr>
        <xdr:cNvPr id="3" name="Picture 2">
          <a:extLst>
            <a:ext uri="{FF2B5EF4-FFF2-40B4-BE49-F238E27FC236}">
              <a16:creationId xmlns:a16="http://schemas.microsoft.com/office/drawing/2014/main" id="{59B9E93C-A77D-4E41-9899-8E17A4D423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19713" y="16549688"/>
          <a:ext cx="16416337"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101</xdr:row>
      <xdr:rowOff>0</xdr:rowOff>
    </xdr:from>
    <xdr:to>
      <xdr:col>40</xdr:col>
      <xdr:colOff>523876</xdr:colOff>
      <xdr:row>105</xdr:row>
      <xdr:rowOff>93133</xdr:rowOff>
    </xdr:to>
    <xdr:pic>
      <xdr:nvPicPr>
        <xdr:cNvPr id="4" name="Picture 3">
          <a:extLst>
            <a:ext uri="{FF2B5EF4-FFF2-40B4-BE49-F238E27FC236}">
              <a16:creationId xmlns:a16="http://schemas.microsoft.com/office/drawing/2014/main" id="{B1CA2B29-B720-4E31-965D-EF2B4E4CB19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19713" y="16549688"/>
          <a:ext cx="16416337"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21261</xdr:colOff>
      <xdr:row>71</xdr:row>
      <xdr:rowOff>4763</xdr:rowOff>
    </xdr:from>
    <xdr:to>
      <xdr:col>8</xdr:col>
      <xdr:colOff>849</xdr:colOff>
      <xdr:row>83</xdr:row>
      <xdr:rowOff>80792</xdr:rowOff>
    </xdr:to>
    <xdr:graphicFrame macro="">
      <xdr:nvGraphicFramePr>
        <xdr:cNvPr id="15" name="Chart 14">
          <a:extLst>
            <a:ext uri="{FF2B5EF4-FFF2-40B4-BE49-F238E27FC236}">
              <a16:creationId xmlns:a16="http://schemas.microsoft.com/office/drawing/2014/main" id="{7A31E12B-D9FF-436B-9EAE-F47B12EB7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182</xdr:row>
      <xdr:rowOff>83342</xdr:rowOff>
    </xdr:from>
    <xdr:to>
      <xdr:col>12</xdr:col>
      <xdr:colOff>11906</xdr:colOff>
      <xdr:row>199</xdr:row>
      <xdr:rowOff>73817</xdr:rowOff>
    </xdr:to>
    <xdr:graphicFrame macro="">
      <xdr:nvGraphicFramePr>
        <xdr:cNvPr id="18" name="Chart 17">
          <a:extLst>
            <a:ext uri="{FF2B5EF4-FFF2-40B4-BE49-F238E27FC236}">
              <a16:creationId xmlns:a16="http://schemas.microsoft.com/office/drawing/2014/main" id="{E8856D87-8012-4FF6-8585-0FFEA5C8EF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512617</xdr:colOff>
      <xdr:row>210</xdr:row>
      <xdr:rowOff>51712</xdr:rowOff>
    </xdr:from>
    <xdr:to>
      <xdr:col>10</xdr:col>
      <xdr:colOff>512797</xdr:colOff>
      <xdr:row>210</xdr:row>
      <xdr:rowOff>51892</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8" name="Ink 37">
              <a:extLst>
                <a:ext uri="{FF2B5EF4-FFF2-40B4-BE49-F238E27FC236}">
                  <a16:creationId xmlns:a16="http://schemas.microsoft.com/office/drawing/2014/main" id="{DA076196-02E1-445F-A88D-D1DB40848D6B}"/>
                </a:ext>
              </a:extLst>
            </xdr14:cNvPr>
            <xdr14:cNvContentPartPr/>
          </xdr14:nvContentPartPr>
          <xdr14:nvPr macro=""/>
          <xdr14:xfrm>
            <a:off x="8899380" y="26088300"/>
            <a:ext cx="180" cy="180"/>
          </xdr14:xfrm>
        </xdr:contentPart>
      </mc:Choice>
      <mc:Fallback xmlns="">
        <xdr:pic>
          <xdr:nvPicPr>
            <xdr:cNvPr id="38" name="Ink 37">
              <a:extLst>
                <a:ext uri="{FF2B5EF4-FFF2-40B4-BE49-F238E27FC236}">
                  <a16:creationId xmlns:a16="http://schemas.microsoft.com/office/drawing/2014/main" id="{DA076196-02E1-445F-A88D-D1DB40848D6B}"/>
                </a:ext>
              </a:extLst>
            </xdr:cNvPr>
            <xdr:cNvPicPr/>
          </xdr:nvPicPr>
          <xdr:blipFill/>
          <xdr:spPr/>
        </xdr:pic>
      </mc:Fallback>
    </mc:AlternateContent>
    <xdr:clientData/>
  </xdr:twoCellAnchor>
  <xdr:twoCellAnchor>
    <xdr:from>
      <xdr:col>9</xdr:col>
      <xdr:colOff>367125</xdr:colOff>
      <xdr:row>193</xdr:row>
      <xdr:rowOff>147487</xdr:rowOff>
    </xdr:from>
    <xdr:to>
      <xdr:col>9</xdr:col>
      <xdr:colOff>367305</xdr:colOff>
      <xdr:row>193</xdr:row>
      <xdr:rowOff>147667</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54" name="Ink 53">
              <a:extLst>
                <a:ext uri="{FF2B5EF4-FFF2-40B4-BE49-F238E27FC236}">
                  <a16:creationId xmlns:a16="http://schemas.microsoft.com/office/drawing/2014/main" id="{5708CFAE-74F7-4879-96B9-7DB3F0DFF25A}"/>
                </a:ext>
              </a:extLst>
            </xdr14:cNvPr>
            <xdr14:cNvContentPartPr/>
          </xdr14:nvContentPartPr>
          <xdr14:nvPr macro=""/>
          <xdr14:xfrm>
            <a:off x="10835100" y="26993700"/>
            <a:ext cx="180" cy="180"/>
          </xdr14:xfrm>
        </xdr:contentPart>
      </mc:Choice>
      <mc:Fallback xmlns="">
        <xdr:pic>
          <xdr:nvPicPr>
            <xdr:cNvPr id="54" name="Ink 53">
              <a:extLst>
                <a:ext uri="{FF2B5EF4-FFF2-40B4-BE49-F238E27FC236}">
                  <a16:creationId xmlns:a16="http://schemas.microsoft.com/office/drawing/2014/main" id="{5708CFAE-74F7-4879-96B9-7DB3F0DFF25A}"/>
                </a:ext>
              </a:extLst>
            </xdr:cNvPr>
            <xdr:cNvPicPr/>
          </xdr:nvPicPr>
          <xdr:blipFill/>
          <xdr:spPr/>
        </xdr:pic>
      </mc:Fallback>
    </mc:AlternateContent>
    <xdr:clientData/>
  </xdr:twoCellAnchor>
  <xdr:twoCellAnchor>
    <xdr:from>
      <xdr:col>8</xdr:col>
      <xdr:colOff>397425</xdr:colOff>
      <xdr:row>211</xdr:row>
      <xdr:rowOff>147367</xdr:rowOff>
    </xdr:from>
    <xdr:to>
      <xdr:col>8</xdr:col>
      <xdr:colOff>397605</xdr:colOff>
      <xdr:row>211</xdr:row>
      <xdr:rowOff>147547</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6" name="Ink 55">
              <a:extLst>
                <a:ext uri="{FF2B5EF4-FFF2-40B4-BE49-F238E27FC236}">
                  <a16:creationId xmlns:a16="http://schemas.microsoft.com/office/drawing/2014/main" id="{6050EDC3-78ED-4C5B-A8C7-27118D24C81E}"/>
                </a:ext>
              </a:extLst>
            </xdr14:cNvPr>
            <xdr14:cNvContentPartPr/>
          </xdr14:nvContentPartPr>
          <xdr14:nvPr macro=""/>
          <xdr14:xfrm>
            <a:off x="10217700" y="26345880"/>
            <a:ext cx="180" cy="180"/>
          </xdr14:xfrm>
        </xdr:contentPart>
      </mc:Choice>
      <mc:Fallback xmlns="">
        <xdr:pic>
          <xdr:nvPicPr>
            <xdr:cNvPr id="56" name="Ink 55">
              <a:extLst>
                <a:ext uri="{FF2B5EF4-FFF2-40B4-BE49-F238E27FC236}">
                  <a16:creationId xmlns:a16="http://schemas.microsoft.com/office/drawing/2014/main" id="{6050EDC3-78ED-4C5B-A8C7-27118D24C81E}"/>
                </a:ext>
              </a:extLst>
            </xdr:cNvPr>
            <xdr:cNvPicPr/>
          </xdr:nvPicPr>
          <xdr:blipFill/>
          <xdr:spPr/>
        </xdr:pic>
      </mc:Fallback>
    </mc:AlternateContent>
    <xdr:clientData/>
  </xdr:twoCellAnchor>
  <xdr:twoCellAnchor>
    <xdr:from>
      <xdr:col>1</xdr:col>
      <xdr:colOff>23811</xdr:colOff>
      <xdr:row>297</xdr:row>
      <xdr:rowOff>14286</xdr:rowOff>
    </xdr:from>
    <xdr:to>
      <xdr:col>7</xdr:col>
      <xdr:colOff>4763</xdr:colOff>
      <xdr:row>311</xdr:row>
      <xdr:rowOff>0</xdr:rowOff>
    </xdr:to>
    <xdr:graphicFrame macro="">
      <xdr:nvGraphicFramePr>
        <xdr:cNvPr id="59" name="Chart 58">
          <a:extLst>
            <a:ext uri="{FF2B5EF4-FFF2-40B4-BE49-F238E27FC236}">
              <a16:creationId xmlns:a16="http://schemas.microsoft.com/office/drawing/2014/main" id="{B424479E-A172-4059-BF71-EA884B6979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643710</xdr:colOff>
      <xdr:row>281</xdr:row>
      <xdr:rowOff>155047</xdr:rowOff>
    </xdr:from>
    <xdr:to>
      <xdr:col>18</xdr:col>
      <xdr:colOff>643890</xdr:colOff>
      <xdr:row>281</xdr:row>
      <xdr:rowOff>155227</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92" name="Ink 91">
              <a:extLst>
                <a:ext uri="{FF2B5EF4-FFF2-40B4-BE49-F238E27FC236}">
                  <a16:creationId xmlns:a16="http://schemas.microsoft.com/office/drawing/2014/main" id="{63A6D05C-F310-406F-90D6-5205C62A7071}"/>
                </a:ext>
              </a:extLst>
            </xdr14:cNvPr>
            <xdr14:cNvContentPartPr/>
          </xdr14:nvContentPartPr>
          <xdr14:nvPr macro=""/>
          <xdr14:xfrm>
            <a:off x="13121460" y="42317460"/>
            <a:ext cx="180" cy="180"/>
          </xdr14:xfrm>
        </xdr:contentPart>
      </mc:Choice>
      <mc:Fallback xmlns="">
        <xdr:pic>
          <xdr:nvPicPr>
            <xdr:cNvPr id="92" name="Ink 91">
              <a:extLst>
                <a:ext uri="{FF2B5EF4-FFF2-40B4-BE49-F238E27FC236}">
                  <a16:creationId xmlns:a16="http://schemas.microsoft.com/office/drawing/2014/main" id="{63A6D05C-F310-406F-90D6-5205C62A7071}"/>
                </a:ext>
              </a:extLst>
            </xdr:cNvPr>
            <xdr:cNvPicPr/>
          </xdr:nvPicPr>
          <xdr:blipFill/>
          <xdr:spPr/>
        </xdr:pic>
      </mc:Fallback>
    </mc:AlternateContent>
    <xdr:clientData/>
  </xdr:twoCellAnchor>
  <xdr:twoCellAnchor>
    <xdr:from>
      <xdr:col>4</xdr:col>
      <xdr:colOff>268897</xdr:colOff>
      <xdr:row>279</xdr:row>
      <xdr:rowOff>21517</xdr:rowOff>
    </xdr:from>
    <xdr:to>
      <xdr:col>4</xdr:col>
      <xdr:colOff>269257</xdr:colOff>
      <xdr:row>279</xdr:row>
      <xdr:rowOff>21877</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111" name="Ink 110">
              <a:extLst>
                <a:ext uri="{FF2B5EF4-FFF2-40B4-BE49-F238E27FC236}">
                  <a16:creationId xmlns:a16="http://schemas.microsoft.com/office/drawing/2014/main" id="{36E36D0F-2771-4AF5-928E-EF38A35D10D0}"/>
                </a:ext>
              </a:extLst>
            </xdr14:cNvPr>
            <xdr14:cNvContentPartPr/>
          </xdr14:nvContentPartPr>
          <xdr14:nvPr macro=""/>
          <xdr14:xfrm>
            <a:off x="8655660" y="41860080"/>
            <a:ext cx="360" cy="360"/>
          </xdr14:xfrm>
        </xdr:contentPart>
      </mc:Choice>
      <mc:Fallback xmlns="">
        <xdr:pic>
          <xdr:nvPicPr>
            <xdr:cNvPr id="111" name="Ink 110">
              <a:extLst>
                <a:ext uri="{FF2B5EF4-FFF2-40B4-BE49-F238E27FC236}">
                  <a16:creationId xmlns:a16="http://schemas.microsoft.com/office/drawing/2014/main" id="{36E36D0F-2771-4AF5-928E-EF38A35D10D0}"/>
                </a:ext>
              </a:extLst>
            </xdr:cNvPr>
            <xdr:cNvPicPr/>
          </xdr:nvPicPr>
          <xdr:blipFill/>
          <xdr:spPr/>
        </xdr:pic>
      </mc:Fallback>
    </mc:AlternateContent>
    <xdr:clientData/>
  </xdr:twoCellAnchor>
  <xdr:twoCellAnchor>
    <xdr:from>
      <xdr:col>1</xdr:col>
      <xdr:colOff>0</xdr:colOff>
      <xdr:row>154</xdr:row>
      <xdr:rowOff>0</xdr:rowOff>
    </xdr:from>
    <xdr:to>
      <xdr:col>1</xdr:col>
      <xdr:colOff>0</xdr:colOff>
      <xdr:row>154</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113" name="Ink 112">
              <a:extLst>
                <a:ext uri="{FF2B5EF4-FFF2-40B4-BE49-F238E27FC236}">
                  <a16:creationId xmlns:a16="http://schemas.microsoft.com/office/drawing/2014/main" id="{63675405-99A4-4C6A-BE88-C1A2B9E2648C}"/>
                </a:ext>
              </a:extLst>
            </xdr14:cNvPr>
            <xdr14:cNvContentPartPr/>
          </xdr14:nvContentPartPr>
          <xdr14:nvPr macro=""/>
          <xdr14:xfrm>
            <a:off x="0" y="0"/>
            <a:ext cx="0" cy="0"/>
          </xdr14:xfrm>
        </xdr:contentPart>
      </mc:Choice>
      <mc:Fallback xmlns="">
        <xdr:pic>
          <xdr:nvPicPr>
            <xdr:cNvPr id="113" name="Ink 112">
              <a:extLst>
                <a:ext uri="{FF2B5EF4-FFF2-40B4-BE49-F238E27FC236}">
                  <a16:creationId xmlns:a16="http://schemas.microsoft.com/office/drawing/2014/main" id="{63675405-99A4-4C6A-BE88-C1A2B9E2648C}"/>
                </a:ext>
              </a:extLst>
            </xdr:cNvPr>
            <xdr:cNvPicPr/>
          </xdr:nvPicPr>
          <xdr:blipFill/>
          <xdr:spPr/>
        </xdr:pic>
      </mc:Fallback>
    </mc:AlternateContent>
    <xdr:clientData/>
  </xdr:twoCellAnchor>
  <xdr:twoCellAnchor>
    <xdr:from>
      <xdr:col>1</xdr:col>
      <xdr:colOff>17007</xdr:colOff>
      <xdr:row>440</xdr:row>
      <xdr:rowOff>10205</xdr:rowOff>
    </xdr:from>
    <xdr:to>
      <xdr:col>7</xdr:col>
      <xdr:colOff>26533</xdr:colOff>
      <xdr:row>455</xdr:row>
      <xdr:rowOff>144575</xdr:rowOff>
    </xdr:to>
    <xdr:graphicFrame macro="">
      <xdr:nvGraphicFramePr>
        <xdr:cNvPr id="119" name="Chart 118">
          <a:extLst>
            <a:ext uri="{FF2B5EF4-FFF2-40B4-BE49-F238E27FC236}">
              <a16:creationId xmlns:a16="http://schemas.microsoft.com/office/drawing/2014/main" id="{D21FE939-A94E-4082-B9F5-4868D9E070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19674</xdr:colOff>
      <xdr:row>410</xdr:row>
      <xdr:rowOff>11623</xdr:rowOff>
    </xdr:from>
    <xdr:to>
      <xdr:col>7</xdr:col>
      <xdr:colOff>52047</xdr:colOff>
      <xdr:row>428</xdr:row>
      <xdr:rowOff>148827</xdr:rowOff>
    </xdr:to>
    <xdr:graphicFrame macro="">
      <xdr:nvGraphicFramePr>
        <xdr:cNvPr id="120" name="Chart 119">
          <a:extLst>
            <a:ext uri="{FF2B5EF4-FFF2-40B4-BE49-F238E27FC236}">
              <a16:creationId xmlns:a16="http://schemas.microsoft.com/office/drawing/2014/main" id="{527505EA-1678-441B-8967-66768D2277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327952</xdr:colOff>
      <xdr:row>290</xdr:row>
      <xdr:rowOff>84367</xdr:rowOff>
    </xdr:from>
    <xdr:to>
      <xdr:col>12</xdr:col>
      <xdr:colOff>328132</xdr:colOff>
      <xdr:row>290</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30" name="Ink 129">
              <a:extLst>
                <a:ext uri="{FF2B5EF4-FFF2-40B4-BE49-F238E27FC236}">
                  <a16:creationId xmlns:a16="http://schemas.microsoft.com/office/drawing/2014/main" id="{95C04C17-C89E-45DA-9465-0C2D3EDDA9E8}"/>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7</xdr:col>
      <xdr:colOff>206152</xdr:colOff>
      <xdr:row>283</xdr:row>
      <xdr:rowOff>159142</xdr:rowOff>
    </xdr:from>
    <xdr:to>
      <xdr:col>7</xdr:col>
      <xdr:colOff>206332</xdr:colOff>
      <xdr:row>283</xdr:row>
      <xdr:rowOff>159322</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3" name="Ink 132">
              <a:extLst>
                <a:ext uri="{FF2B5EF4-FFF2-40B4-BE49-F238E27FC236}">
                  <a16:creationId xmlns:a16="http://schemas.microsoft.com/office/drawing/2014/main" id="{CB530F10-0EF4-432E-8BEC-11918F2299BA}"/>
                </a:ext>
              </a:extLst>
            </xdr14:cNvPr>
            <xdr14:cNvContentPartPr/>
          </xdr14:nvContentPartPr>
          <xdr14:nvPr macro=""/>
          <xdr14:xfrm>
            <a:off x="10926540" y="41835780"/>
            <a:ext cx="180" cy="180"/>
          </xdr14:xfrm>
        </xdr:contentPart>
      </mc:Choice>
      <mc:Fallback xmlns="">
        <xdr:pic>
          <xdr:nvPicPr>
            <xdr:cNvPr id="133" name="Ink 132">
              <a:extLst>
                <a:ext uri="{FF2B5EF4-FFF2-40B4-BE49-F238E27FC236}">
                  <a16:creationId xmlns:a16="http://schemas.microsoft.com/office/drawing/2014/main" id="{CB530F10-0EF4-432E-8BEC-11918F2299BA}"/>
                </a:ext>
              </a:extLst>
            </xdr:cNvPr>
            <xdr:cNvPicPr/>
          </xdr:nvPicPr>
          <xdr:blipFill/>
          <xdr:spPr/>
        </xdr:pic>
      </mc:Fallback>
    </mc:AlternateContent>
    <xdr:clientData/>
  </xdr:twoCellAnchor>
  <xdr:twoCellAnchor>
    <xdr:from>
      <xdr:col>3</xdr:col>
      <xdr:colOff>271455</xdr:colOff>
      <xdr:row>274</xdr:row>
      <xdr:rowOff>38767</xdr:rowOff>
    </xdr:from>
    <xdr:to>
      <xdr:col>3</xdr:col>
      <xdr:colOff>271815</xdr:colOff>
      <xdr:row>274</xdr:row>
      <xdr:rowOff>39127</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6" name="Ink 145">
              <a:extLst>
                <a:ext uri="{FF2B5EF4-FFF2-40B4-BE49-F238E27FC236}">
                  <a16:creationId xmlns:a16="http://schemas.microsoft.com/office/drawing/2014/main" id="{15C244DF-E113-4E5E-B77A-798883084D6F}"/>
                </a:ext>
              </a:extLst>
            </xdr14:cNvPr>
            <xdr14:cNvContentPartPr/>
          </xdr14:nvContentPartPr>
          <xdr14:nvPr macro=""/>
          <xdr14:xfrm>
            <a:off x="8053380" y="40258080"/>
            <a:ext cx="360" cy="360"/>
          </xdr14:xfrm>
        </xdr:contentPart>
      </mc:Choice>
      <mc:Fallback xmlns="">
        <xdr:pic>
          <xdr:nvPicPr>
            <xdr:cNvPr id="146" name="Ink 145">
              <a:extLst>
                <a:ext uri="{FF2B5EF4-FFF2-40B4-BE49-F238E27FC236}">
                  <a16:creationId xmlns:a16="http://schemas.microsoft.com/office/drawing/2014/main" id="{15C244DF-E113-4E5E-B77A-798883084D6F}"/>
                </a:ext>
              </a:extLst>
            </xdr:cNvPr>
            <xdr:cNvPicPr/>
          </xdr:nvPicPr>
          <xdr:blipFill/>
          <xdr:spPr/>
        </xdr:pic>
      </mc:Fallback>
    </mc:AlternateContent>
    <xdr:clientData/>
  </xdr:twoCellAnchor>
  <xdr:twoCellAnchor>
    <xdr:from>
      <xdr:col>1</xdr:col>
      <xdr:colOff>0</xdr:colOff>
      <xdr:row>154</xdr:row>
      <xdr:rowOff>0</xdr:rowOff>
    </xdr:from>
    <xdr:to>
      <xdr:col>1</xdr:col>
      <xdr:colOff>0</xdr:colOff>
      <xdr:row>154</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47" name="Ink 146">
              <a:extLst>
                <a:ext uri="{FF2B5EF4-FFF2-40B4-BE49-F238E27FC236}">
                  <a16:creationId xmlns:a16="http://schemas.microsoft.com/office/drawing/2014/main" id="{9C1FF3A3-7B74-4095-B5AC-6DFB83C35C04}"/>
                </a:ext>
              </a:extLst>
            </xdr14:cNvPr>
            <xdr14:cNvContentPartPr/>
          </xdr14:nvContentPartPr>
          <xdr14:nvPr macro=""/>
          <xdr14:xfrm>
            <a:off x="0" y="0"/>
            <a:ext cx="0" cy="0"/>
          </xdr14:xfrm>
        </xdr:contentPart>
      </mc:Choice>
      <mc:Fallback xmlns="">
        <xdr:pic>
          <xdr:nvPicPr>
            <xdr:cNvPr id="147" name="Ink 146">
              <a:extLst>
                <a:ext uri="{FF2B5EF4-FFF2-40B4-BE49-F238E27FC236}">
                  <a16:creationId xmlns:a16="http://schemas.microsoft.com/office/drawing/2014/main" id="{9C1FF3A3-7B74-4095-B5AC-6DFB83C35C04}"/>
                </a:ext>
              </a:extLst>
            </xdr:cNvPr>
            <xdr:cNvPicPr/>
          </xdr:nvPicPr>
          <xdr:blipFill/>
          <xdr:spPr/>
        </xdr:pic>
      </mc:Fallback>
    </mc:AlternateContent>
    <xdr:clientData/>
  </xdr:twoCellAnchor>
  <xdr:twoCellAnchor>
    <xdr:from>
      <xdr:col>1</xdr:col>
      <xdr:colOff>9525</xdr:colOff>
      <xdr:row>270</xdr:row>
      <xdr:rowOff>157162</xdr:rowOff>
    </xdr:from>
    <xdr:to>
      <xdr:col>7</xdr:col>
      <xdr:colOff>9525</xdr:colOff>
      <xdr:row>283</xdr:row>
      <xdr:rowOff>9525</xdr:rowOff>
    </xdr:to>
    <xdr:graphicFrame macro="">
      <xdr:nvGraphicFramePr>
        <xdr:cNvPr id="151" name="Chart 150">
          <a:extLst>
            <a:ext uri="{FF2B5EF4-FFF2-40B4-BE49-F238E27FC236}">
              <a16:creationId xmlns:a16="http://schemas.microsoft.com/office/drawing/2014/main" id="{63331BE6-EBB1-41C5-8F3E-A2DD5E71D0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7</xdr:col>
      <xdr:colOff>200025</xdr:colOff>
      <xdr:row>273</xdr:row>
      <xdr:rowOff>114300</xdr:rowOff>
    </xdr:from>
    <xdr:ext cx="184731" cy="264560"/>
    <xdr:sp macro="" textlink="">
      <xdr:nvSpPr>
        <xdr:cNvPr id="152" name="TextBox 151">
          <a:extLst>
            <a:ext uri="{FF2B5EF4-FFF2-40B4-BE49-F238E27FC236}">
              <a16:creationId xmlns:a16="http://schemas.microsoft.com/office/drawing/2014/main" id="{35B4CA82-980D-460B-B0ED-1C9726BA9901}"/>
            </a:ext>
          </a:extLst>
        </xdr:cNvPr>
        <xdr:cNvSpPr txBox="1"/>
      </xdr:nvSpPr>
      <xdr:spPr>
        <a:xfrm>
          <a:off x="10920413" y="4017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NZ" sz="1100"/>
        </a:p>
      </xdr:txBody>
    </xdr:sp>
    <xdr:clientData/>
  </xdr:oneCellAnchor>
  <xdr:oneCellAnchor>
    <xdr:from>
      <xdr:col>2</xdr:col>
      <xdr:colOff>871538</xdr:colOff>
      <xdr:row>273</xdr:row>
      <xdr:rowOff>133350</xdr:rowOff>
    </xdr:from>
    <xdr:ext cx="184731" cy="264560"/>
    <xdr:sp macro="" textlink="">
      <xdr:nvSpPr>
        <xdr:cNvPr id="156" name="TextBox 155">
          <a:extLst>
            <a:ext uri="{FF2B5EF4-FFF2-40B4-BE49-F238E27FC236}">
              <a16:creationId xmlns:a16="http://schemas.microsoft.com/office/drawing/2014/main" id="{6BB99118-FE38-4870-81CC-D8D7340BBBB9}"/>
            </a:ext>
          </a:extLst>
        </xdr:cNvPr>
        <xdr:cNvSpPr txBox="1"/>
      </xdr:nvSpPr>
      <xdr:spPr>
        <a:xfrm>
          <a:off x="1166813" y="401907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NZ" sz="1100"/>
        </a:p>
      </xdr:txBody>
    </xdr:sp>
    <xdr:clientData/>
  </xdr:oneCellAnchor>
  <xdr:twoCellAnchor>
    <xdr:from>
      <xdr:col>13</xdr:col>
      <xdr:colOff>282352</xdr:colOff>
      <xdr:row>265</xdr:row>
      <xdr:rowOff>0</xdr:rowOff>
    </xdr:from>
    <xdr:to>
      <xdr:col>14</xdr:col>
      <xdr:colOff>412072</xdr:colOff>
      <xdr:row>273</xdr:row>
      <xdr:rowOff>97372</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5" name="Ink 24">
              <a:extLst>
                <a:ext uri="{FF2B5EF4-FFF2-40B4-BE49-F238E27FC236}">
                  <a16:creationId xmlns:a16="http://schemas.microsoft.com/office/drawing/2014/main" id="{61EDDE74-E777-40D0-92B3-751863D783F3}"/>
                </a:ext>
              </a:extLst>
            </xdr14:cNvPr>
            <xdr14:cNvContentPartPr/>
          </xdr14:nvContentPartPr>
          <xdr14:nvPr macro=""/>
          <xdr14:xfrm>
            <a:off x="10355040" y="38340720"/>
            <a:ext cx="777420" cy="1814040"/>
          </xdr14:xfrm>
        </xdr:contentPart>
      </mc:Choice>
      <mc:Fallback xmlns="">
        <xdr:pic>
          <xdr:nvPicPr>
            <xdr:cNvPr id="25" name="Ink 24">
              <a:extLst>
                <a:ext uri="{FF2B5EF4-FFF2-40B4-BE49-F238E27FC236}">
                  <a16:creationId xmlns:a16="http://schemas.microsoft.com/office/drawing/2014/main" id="{61EDDE74-E777-40D0-92B3-751863D783F3}"/>
                </a:ext>
              </a:extLst>
            </xdr:cNvPr>
            <xdr:cNvPicPr/>
          </xdr:nvPicPr>
          <xdr:blipFill/>
          <xdr:spPr/>
        </xdr:pic>
      </mc:Fallback>
    </mc:AlternateContent>
    <xdr:clientData/>
  </xdr:twoCellAnchor>
  <xdr:twoCellAnchor>
    <xdr:from>
      <xdr:col>4</xdr:col>
      <xdr:colOff>609832</xdr:colOff>
      <xdr:row>43</xdr:row>
      <xdr:rowOff>14265</xdr:rowOff>
    </xdr:from>
    <xdr:to>
      <xdr:col>4</xdr:col>
      <xdr:colOff>610012</xdr:colOff>
      <xdr:row>43</xdr:row>
      <xdr:rowOff>14445</xdr:rowOff>
    </xdr:to>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6" name="Ink 25">
              <a:extLst>
                <a:ext uri="{FF2B5EF4-FFF2-40B4-BE49-F238E27FC236}">
                  <a16:creationId xmlns:a16="http://schemas.microsoft.com/office/drawing/2014/main" id="{AF751B7E-888C-42BD-8C2A-1D23CF1671B9}"/>
                </a:ext>
              </a:extLst>
            </xdr14:cNvPr>
            <xdr14:cNvContentPartPr/>
          </xdr14:nvContentPartPr>
          <xdr14:nvPr macro=""/>
          <xdr14:xfrm>
            <a:off x="10034820" y="6557940"/>
            <a:ext cx="180" cy="180"/>
          </xdr14:xfrm>
        </xdr:contentPart>
      </mc:Choice>
      <mc:Fallback xmlns="">
        <xdr:pic>
          <xdr:nvPicPr>
            <xdr:cNvPr id="26" name="Ink 25">
              <a:extLst>
                <a:ext uri="{FF2B5EF4-FFF2-40B4-BE49-F238E27FC236}">
                  <a16:creationId xmlns:a16="http://schemas.microsoft.com/office/drawing/2014/main" id="{AF751B7E-888C-42BD-8C2A-1D23CF1671B9}"/>
                </a:ext>
              </a:extLst>
            </xdr:cNvPr>
            <xdr:cNvPicPr/>
          </xdr:nvPicPr>
          <xdr:blipFill/>
          <xdr:spPr/>
        </xdr:pic>
      </mc:Fallback>
    </mc:AlternateContent>
    <xdr:clientData/>
  </xdr:twoCellAnchor>
  <xdr:twoCellAnchor>
    <xdr:from>
      <xdr:col>2</xdr:col>
      <xdr:colOff>4253</xdr:colOff>
      <xdr:row>133</xdr:row>
      <xdr:rowOff>46774</xdr:rowOff>
    </xdr:from>
    <xdr:to>
      <xdr:col>8</xdr:col>
      <xdr:colOff>4252</xdr:colOff>
      <xdr:row>145</xdr:row>
      <xdr:rowOff>140323</xdr:rowOff>
    </xdr:to>
    <xdr:graphicFrame macro="">
      <xdr:nvGraphicFramePr>
        <xdr:cNvPr id="37" name="Chart 36">
          <a:extLst>
            <a:ext uri="{FF2B5EF4-FFF2-40B4-BE49-F238E27FC236}">
              <a16:creationId xmlns:a16="http://schemas.microsoft.com/office/drawing/2014/main" id="{54653972-18AA-4219-92E4-DBE627272A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562800</xdr:colOff>
      <xdr:row>17</xdr:row>
      <xdr:rowOff>40027</xdr:rowOff>
    </xdr:from>
    <xdr:to>
      <xdr:col>2</xdr:col>
      <xdr:colOff>562980</xdr:colOff>
      <xdr:row>17</xdr:row>
      <xdr:rowOff>40207</xdr:rowOff>
    </xdr:to>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10" name="Ink 9">
              <a:extLst>
                <a:ext uri="{FF2B5EF4-FFF2-40B4-BE49-F238E27FC236}">
                  <a16:creationId xmlns:a16="http://schemas.microsoft.com/office/drawing/2014/main" id="{FCE91F2D-9C58-46FA-A726-6972953FCFAA}"/>
                </a:ext>
              </a:extLst>
            </xdr14:cNvPr>
            <xdr14:cNvContentPartPr/>
          </xdr14:nvContentPartPr>
          <xdr14:nvPr macro=""/>
          <xdr14:xfrm>
            <a:off x="6696900" y="2311740"/>
            <a:ext cx="180" cy="180"/>
          </xdr14:xfrm>
        </xdr:contentPart>
      </mc:Choice>
      <mc:Fallback xmlns="">
        <xdr:pic>
          <xdr:nvPicPr>
            <xdr:cNvPr id="10" name="Ink 9">
              <a:extLst>
                <a:ext uri="{FF2B5EF4-FFF2-40B4-BE49-F238E27FC236}">
                  <a16:creationId xmlns:a16="http://schemas.microsoft.com/office/drawing/2014/main" id="{FCE91F2D-9C58-46FA-A726-6972953FCFAA}"/>
                </a:ext>
              </a:extLst>
            </xdr:cNvPr>
            <xdr:cNvPicPr/>
          </xdr:nvPicPr>
          <xdr:blipFill/>
          <xdr:spPr/>
        </xdr:pic>
      </mc:Fallback>
    </mc:AlternateContent>
    <xdr:clientData/>
  </xdr:twoCellAnchor>
  <xdr:twoCellAnchor>
    <xdr:from>
      <xdr:col>14</xdr:col>
      <xdr:colOff>381292</xdr:colOff>
      <xdr:row>12</xdr:row>
      <xdr:rowOff>81697</xdr:rowOff>
    </xdr:from>
    <xdr:to>
      <xdr:col>14</xdr:col>
      <xdr:colOff>381472</xdr:colOff>
      <xdr:row>12</xdr:row>
      <xdr:rowOff>81877</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19" name="Ink 18">
              <a:extLst>
                <a:ext uri="{FF2B5EF4-FFF2-40B4-BE49-F238E27FC236}">
                  <a16:creationId xmlns:a16="http://schemas.microsoft.com/office/drawing/2014/main" id="{F7C5FA04-2584-462E-BADB-DF346F5F0EDC}"/>
                </a:ext>
              </a:extLst>
            </xdr14:cNvPr>
            <xdr14:cNvContentPartPr/>
          </xdr14:nvContentPartPr>
          <xdr14:nvPr macro=""/>
          <xdr14:xfrm>
            <a:off x="9730080" y="1381860"/>
            <a:ext cx="180" cy="180"/>
          </xdr14:xfrm>
        </xdr:contentPart>
      </mc:Choice>
      <mc:Fallback xmlns="">
        <xdr:pic>
          <xdr:nvPicPr>
            <xdr:cNvPr id="19" name="Ink 18">
              <a:extLst>
                <a:ext uri="{FF2B5EF4-FFF2-40B4-BE49-F238E27FC236}">
                  <a16:creationId xmlns:a16="http://schemas.microsoft.com/office/drawing/2014/main" id="{F7C5FA04-2584-462E-BADB-DF346F5F0EDC}"/>
                </a:ext>
              </a:extLst>
            </xdr:cNvPr>
            <xdr:cNvPicPr/>
          </xdr:nvPicPr>
          <xdr:blipFill/>
          <xdr:spPr/>
        </xdr:pic>
      </mc:Fallback>
    </mc:AlternateContent>
    <xdr:clientData/>
  </xdr:twoCellAnchor>
  <xdr:twoCellAnchor>
    <xdr:from>
      <xdr:col>1</xdr:col>
      <xdr:colOff>236865</xdr:colOff>
      <xdr:row>20</xdr:row>
      <xdr:rowOff>87772</xdr:rowOff>
    </xdr:from>
    <xdr:to>
      <xdr:col>1</xdr:col>
      <xdr:colOff>237045</xdr:colOff>
      <xdr:row>20</xdr:row>
      <xdr:rowOff>87952</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24" name="Ink 23">
              <a:extLst>
                <a:ext uri="{FF2B5EF4-FFF2-40B4-BE49-F238E27FC236}">
                  <a16:creationId xmlns:a16="http://schemas.microsoft.com/office/drawing/2014/main" id="{3E1B0660-07E3-4675-8B11-8D7F8D2F1471}"/>
                </a:ext>
              </a:extLst>
            </xdr14:cNvPr>
            <xdr14:cNvContentPartPr/>
          </xdr14:nvContentPartPr>
          <xdr14:nvPr macro=""/>
          <xdr14:xfrm>
            <a:off x="4799340" y="2845260"/>
            <a:ext cx="180" cy="180"/>
          </xdr14:xfrm>
        </xdr:contentPart>
      </mc:Choice>
      <mc:Fallback xmlns="">
        <xdr:pic>
          <xdr:nvPicPr>
            <xdr:cNvPr id="24" name="Ink 23">
              <a:extLst>
                <a:ext uri="{FF2B5EF4-FFF2-40B4-BE49-F238E27FC236}">
                  <a16:creationId xmlns:a16="http://schemas.microsoft.com/office/drawing/2014/main" id="{3E1B0660-07E3-4675-8B11-8D7F8D2F1471}"/>
                </a:ext>
              </a:extLst>
            </xdr:cNvPr>
            <xdr:cNvPicPr/>
          </xdr:nvPicPr>
          <xdr:blipFill/>
          <xdr:spPr/>
        </xdr:pic>
      </mc:Fallback>
    </mc:AlternateContent>
    <xdr:clientData/>
  </xdr:twoCellAnchor>
  <xdr:twoCellAnchor>
    <xdr:from>
      <xdr:col>1</xdr:col>
      <xdr:colOff>236865</xdr:colOff>
      <xdr:row>20</xdr:row>
      <xdr:rowOff>87772</xdr:rowOff>
    </xdr:from>
    <xdr:to>
      <xdr:col>1</xdr:col>
      <xdr:colOff>237045</xdr:colOff>
      <xdr:row>20</xdr:row>
      <xdr:rowOff>87952</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31" name="Ink 30">
              <a:extLst>
                <a:ext uri="{FF2B5EF4-FFF2-40B4-BE49-F238E27FC236}">
                  <a16:creationId xmlns:a16="http://schemas.microsoft.com/office/drawing/2014/main" id="{C9714641-6A9F-4628-B77B-28AA2106A68A}"/>
                </a:ext>
              </a:extLst>
            </xdr14:cNvPr>
            <xdr14:cNvContentPartPr/>
          </xdr14:nvContentPartPr>
          <xdr14:nvPr macro=""/>
          <xdr14:xfrm>
            <a:off x="4799340" y="2845260"/>
            <a:ext cx="180" cy="180"/>
          </xdr14:xfrm>
        </xdr:contentPart>
      </mc:Choice>
      <mc:Fallback xmlns="">
        <xdr:pic>
          <xdr:nvPicPr>
            <xdr:cNvPr id="31" name="Ink 30">
              <a:extLst>
                <a:ext uri="{FF2B5EF4-FFF2-40B4-BE49-F238E27FC236}">
                  <a16:creationId xmlns:a16="http://schemas.microsoft.com/office/drawing/2014/main" id="{C9714641-6A9F-4628-B77B-28AA2106A68A}"/>
                </a:ext>
              </a:extLst>
            </xdr:cNvPr>
            <xdr:cNvPicPr/>
          </xdr:nvPicPr>
          <xdr:blipFill/>
          <xdr:spPr/>
        </xdr:pic>
      </mc:Fallback>
    </mc:AlternateContent>
    <xdr:clientData/>
  </xdr:twoCellAnchor>
  <xdr:twoCellAnchor>
    <xdr:from>
      <xdr:col>5</xdr:col>
      <xdr:colOff>694605</xdr:colOff>
      <xdr:row>14</xdr:row>
      <xdr:rowOff>121882</xdr:rowOff>
    </xdr:from>
    <xdr:to>
      <xdr:col>5</xdr:col>
      <xdr:colOff>694785</xdr:colOff>
      <xdr:row>14</xdr:row>
      <xdr:rowOff>122062</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32" name="Ink 31">
              <a:extLst>
                <a:ext uri="{FF2B5EF4-FFF2-40B4-BE49-F238E27FC236}">
                  <a16:creationId xmlns:a16="http://schemas.microsoft.com/office/drawing/2014/main" id="{FACEBAB7-FFC2-4E54-8C22-FBE8EDFCC35D}"/>
                </a:ext>
              </a:extLst>
            </xdr14:cNvPr>
            <xdr14:cNvContentPartPr/>
          </xdr14:nvContentPartPr>
          <xdr14:nvPr macro=""/>
          <xdr14:xfrm>
            <a:off x="9257580" y="1907820"/>
            <a:ext cx="180" cy="180"/>
          </xdr14:xfrm>
        </xdr:contentPart>
      </mc:Choice>
      <mc:Fallback xmlns="">
        <xdr:pic>
          <xdr:nvPicPr>
            <xdr:cNvPr id="32" name="Ink 31">
              <a:extLst>
                <a:ext uri="{FF2B5EF4-FFF2-40B4-BE49-F238E27FC236}">
                  <a16:creationId xmlns:a16="http://schemas.microsoft.com/office/drawing/2014/main" id="{FACEBAB7-FFC2-4E54-8C22-FBE8EDFCC35D}"/>
                </a:ext>
              </a:extLst>
            </xdr:cNvPr>
            <xdr:cNvPicPr/>
          </xdr:nvPicPr>
          <xdr:blipFill/>
          <xdr:spPr/>
        </xdr:pic>
      </mc:Fallback>
    </mc:AlternateContent>
    <xdr:clientData/>
  </xdr:twoCellAnchor>
  <xdr:twoCellAnchor>
    <xdr:from>
      <xdr:col>1</xdr:col>
      <xdr:colOff>274845</xdr:colOff>
      <xdr:row>20</xdr:row>
      <xdr:rowOff>103072</xdr:rowOff>
    </xdr:from>
    <xdr:to>
      <xdr:col>1</xdr:col>
      <xdr:colOff>427485</xdr:colOff>
      <xdr:row>20</xdr:row>
      <xdr:rowOff>110812</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5" name="Ink 34">
              <a:extLst>
                <a:ext uri="{FF2B5EF4-FFF2-40B4-BE49-F238E27FC236}">
                  <a16:creationId xmlns:a16="http://schemas.microsoft.com/office/drawing/2014/main" id="{6D4B7176-E27F-4FDC-92B9-4A98C7FB9FF1}"/>
                </a:ext>
              </a:extLst>
            </xdr14:cNvPr>
            <xdr14:cNvContentPartPr/>
          </xdr14:nvContentPartPr>
          <xdr14:nvPr macro=""/>
          <xdr14:xfrm>
            <a:off x="4837320" y="2860560"/>
            <a:ext cx="152640" cy="7740"/>
          </xdr14:xfrm>
        </xdr:contentPart>
      </mc:Choice>
      <mc:Fallback xmlns="">
        <xdr:pic>
          <xdr:nvPicPr>
            <xdr:cNvPr id="35" name="Ink 34">
              <a:extLst>
                <a:ext uri="{FF2B5EF4-FFF2-40B4-BE49-F238E27FC236}">
                  <a16:creationId xmlns:a16="http://schemas.microsoft.com/office/drawing/2014/main" id="{6D4B7176-E27F-4FDC-92B9-4A98C7FB9FF1}"/>
                </a:ext>
              </a:extLst>
            </xdr:cNvPr>
            <xdr:cNvPicPr/>
          </xdr:nvPicPr>
          <xdr:blipFill/>
          <xdr:spPr/>
        </xdr:pic>
      </mc:Fallback>
    </mc:AlternateContent>
    <xdr:clientData/>
  </xdr:twoCellAnchor>
  <xdr:twoCellAnchor>
    <xdr:from>
      <xdr:col>1</xdr:col>
      <xdr:colOff>0</xdr:colOff>
      <xdr:row>29</xdr:row>
      <xdr:rowOff>0</xdr:rowOff>
    </xdr:from>
    <xdr:to>
      <xdr:col>1</xdr:col>
      <xdr:colOff>0</xdr:colOff>
      <xdr:row>29</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42" name="Ink 41">
              <a:extLst>
                <a:ext uri="{FF2B5EF4-FFF2-40B4-BE49-F238E27FC236}">
                  <a16:creationId xmlns:a16="http://schemas.microsoft.com/office/drawing/2014/main" id="{5E8D60E3-0CD5-4F53-894D-55AECB7A5B30}"/>
                </a:ext>
              </a:extLst>
            </xdr14:cNvPr>
            <xdr14:cNvContentPartPr/>
          </xdr14:nvContentPartPr>
          <xdr14:nvPr macro=""/>
          <xdr14:xfrm>
            <a:off x="0" y="0"/>
            <a:ext cx="0" cy="0"/>
          </xdr14:xfrm>
        </xdr:contentPart>
      </mc:Choice>
      <mc:Fallback xmlns="">
        <xdr:pic>
          <xdr:nvPicPr>
            <xdr:cNvPr id="42" name="Ink 41">
              <a:extLst>
                <a:ext uri="{FF2B5EF4-FFF2-40B4-BE49-F238E27FC236}">
                  <a16:creationId xmlns:a16="http://schemas.microsoft.com/office/drawing/2014/main" id="{5E8D60E3-0CD5-4F53-894D-55AECB7A5B30}"/>
                </a:ext>
              </a:extLst>
            </xdr:cNvPr>
            <xdr:cNvPicPr/>
          </xdr:nvPicPr>
          <xdr:blipFill/>
          <xdr:spPr/>
        </xdr:pic>
      </mc:Fallback>
    </mc:AlternateContent>
    <xdr:clientData/>
  </xdr:twoCellAnchor>
  <xdr:twoCellAnchor>
    <xdr:from>
      <xdr:col>1</xdr:col>
      <xdr:colOff>0</xdr:colOff>
      <xdr:row>29</xdr:row>
      <xdr:rowOff>0</xdr:rowOff>
    </xdr:from>
    <xdr:to>
      <xdr:col>1</xdr:col>
      <xdr:colOff>0</xdr:colOff>
      <xdr:row>29</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43" name="Ink 42">
              <a:extLst>
                <a:ext uri="{FF2B5EF4-FFF2-40B4-BE49-F238E27FC236}">
                  <a16:creationId xmlns:a16="http://schemas.microsoft.com/office/drawing/2014/main" id="{203D1E37-CC0F-4C10-B5BF-C678F23C8AF4}"/>
                </a:ext>
              </a:extLst>
            </xdr14:cNvPr>
            <xdr14:cNvContentPartPr/>
          </xdr14:nvContentPartPr>
          <xdr14:nvPr macro=""/>
          <xdr14:xfrm>
            <a:off x="0" y="0"/>
            <a:ext cx="0" cy="0"/>
          </xdr14:xfrm>
        </xdr:contentPart>
      </mc:Choice>
      <mc:Fallback xmlns="">
        <xdr:pic>
          <xdr:nvPicPr>
            <xdr:cNvPr id="43" name="Ink 42">
              <a:extLst>
                <a:ext uri="{FF2B5EF4-FFF2-40B4-BE49-F238E27FC236}">
                  <a16:creationId xmlns:a16="http://schemas.microsoft.com/office/drawing/2014/main" id="{203D1E37-CC0F-4C10-B5BF-C678F23C8AF4}"/>
                </a:ext>
              </a:extLst>
            </xdr:cNvPr>
            <xdr:cNvPicPr/>
          </xdr:nvPicPr>
          <xdr:blipFill/>
          <xdr:spPr/>
        </xdr:pic>
      </mc:Fallback>
    </mc:AlternateContent>
    <xdr:clientData/>
  </xdr:twoCellAnchor>
  <xdr:twoCellAnchor>
    <xdr:from>
      <xdr:col>4</xdr:col>
      <xdr:colOff>164775</xdr:colOff>
      <xdr:row>7</xdr:row>
      <xdr:rowOff>51157</xdr:rowOff>
    </xdr:from>
    <xdr:to>
      <xdr:col>4</xdr:col>
      <xdr:colOff>164955</xdr:colOff>
      <xdr:row>7</xdr:row>
      <xdr:rowOff>51337</xdr:rowOff>
    </xdr:to>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44" name="Ink 43">
              <a:extLst>
                <a:ext uri="{FF2B5EF4-FFF2-40B4-BE49-F238E27FC236}">
                  <a16:creationId xmlns:a16="http://schemas.microsoft.com/office/drawing/2014/main" id="{2324F511-6804-4FF3-873B-4D31D1784F9D}"/>
                </a:ext>
              </a:extLst>
            </xdr14:cNvPr>
            <xdr14:cNvContentPartPr/>
          </xdr14:nvContentPartPr>
          <xdr14:nvPr macro=""/>
          <xdr14:xfrm>
            <a:off x="7870500" y="703620"/>
            <a:ext cx="180" cy="180"/>
          </xdr14:xfrm>
        </xdr:contentPart>
      </mc:Choice>
      <mc:Fallback xmlns="">
        <xdr:pic>
          <xdr:nvPicPr>
            <xdr:cNvPr id="44" name="Ink 43">
              <a:extLst>
                <a:ext uri="{FF2B5EF4-FFF2-40B4-BE49-F238E27FC236}">
                  <a16:creationId xmlns:a16="http://schemas.microsoft.com/office/drawing/2014/main" id="{2324F511-6804-4FF3-873B-4D31D1784F9D}"/>
                </a:ext>
              </a:extLst>
            </xdr:cNvPr>
            <xdr:cNvPicPr/>
          </xdr:nvPicPr>
          <xdr:blipFill/>
          <xdr:spPr/>
        </xdr:pic>
      </mc:Fallback>
    </mc:AlternateContent>
    <xdr:clientData/>
  </xdr:twoCellAnchor>
  <xdr:twoCellAnchor>
    <xdr:from>
      <xdr:col>1</xdr:col>
      <xdr:colOff>427305</xdr:colOff>
      <xdr:row>20</xdr:row>
      <xdr:rowOff>110812</xdr:rowOff>
    </xdr:from>
    <xdr:to>
      <xdr:col>1</xdr:col>
      <xdr:colOff>427665</xdr:colOff>
      <xdr:row>20</xdr:row>
      <xdr:rowOff>111172</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5" name="Ink 44">
              <a:extLst>
                <a:ext uri="{FF2B5EF4-FFF2-40B4-BE49-F238E27FC236}">
                  <a16:creationId xmlns:a16="http://schemas.microsoft.com/office/drawing/2014/main" id="{08DD70B3-11F7-4ADC-BAF6-386A9271140C}"/>
                </a:ext>
              </a:extLst>
            </xdr14:cNvPr>
            <xdr14:cNvContentPartPr/>
          </xdr14:nvContentPartPr>
          <xdr14:nvPr macro=""/>
          <xdr14:xfrm>
            <a:off x="4989780" y="2868300"/>
            <a:ext cx="360" cy="360"/>
          </xdr14:xfrm>
        </xdr:contentPart>
      </mc:Choice>
      <mc:Fallback xmlns="">
        <xdr:pic>
          <xdr:nvPicPr>
            <xdr:cNvPr id="45" name="Ink 44">
              <a:extLst>
                <a:ext uri="{FF2B5EF4-FFF2-40B4-BE49-F238E27FC236}">
                  <a16:creationId xmlns:a16="http://schemas.microsoft.com/office/drawing/2014/main" id="{08DD70B3-11F7-4ADC-BAF6-386A9271140C}"/>
                </a:ext>
              </a:extLst>
            </xdr:cNvPr>
            <xdr:cNvPicPr/>
          </xdr:nvPicPr>
          <xdr:blipFill/>
          <xdr:spPr/>
        </xdr:pic>
      </mc:Fallback>
    </mc:AlternateContent>
    <xdr:clientData/>
  </xdr:twoCellAnchor>
  <xdr:twoCellAnchor>
    <xdr:from>
      <xdr:col>4</xdr:col>
      <xdr:colOff>256215</xdr:colOff>
      <xdr:row>16</xdr:row>
      <xdr:rowOff>34372</xdr:rowOff>
    </xdr:from>
    <xdr:to>
      <xdr:col>4</xdr:col>
      <xdr:colOff>256395</xdr:colOff>
      <xdr:row>16</xdr:row>
      <xdr:rowOff>34552</xdr:rowOff>
    </xdr:to>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48" name="Ink 47">
              <a:extLst>
                <a:ext uri="{FF2B5EF4-FFF2-40B4-BE49-F238E27FC236}">
                  <a16:creationId xmlns:a16="http://schemas.microsoft.com/office/drawing/2014/main" id="{3A2410B8-DA2B-41EF-8182-7BCA1C735403}"/>
                </a:ext>
              </a:extLst>
            </xdr14:cNvPr>
            <xdr14:cNvContentPartPr/>
          </xdr14:nvContentPartPr>
          <xdr14:nvPr macro=""/>
          <xdr14:xfrm>
            <a:off x="7961940" y="2144160"/>
            <a:ext cx="180" cy="180"/>
          </xdr14:xfrm>
        </xdr:contentPart>
      </mc:Choice>
      <mc:Fallback xmlns="">
        <xdr:pic>
          <xdr:nvPicPr>
            <xdr:cNvPr id="48" name="Ink 47">
              <a:extLst>
                <a:ext uri="{FF2B5EF4-FFF2-40B4-BE49-F238E27FC236}">
                  <a16:creationId xmlns:a16="http://schemas.microsoft.com/office/drawing/2014/main" id="{3A2410B8-DA2B-41EF-8182-7BCA1C735403}"/>
                </a:ext>
              </a:extLst>
            </xdr:cNvPr>
            <xdr:cNvPicPr/>
          </xdr:nvPicPr>
          <xdr:blipFill/>
          <xdr:spPr/>
        </xdr:pic>
      </mc:Fallback>
    </mc:AlternateContent>
    <xdr:clientData/>
  </xdr:twoCellAnchor>
  <xdr:twoCellAnchor>
    <xdr:from>
      <xdr:col>4</xdr:col>
      <xdr:colOff>20055</xdr:colOff>
      <xdr:row>74</xdr:row>
      <xdr:rowOff>2287</xdr:rowOff>
    </xdr:from>
    <xdr:to>
      <xdr:col>4</xdr:col>
      <xdr:colOff>20235</xdr:colOff>
      <xdr:row>74</xdr:row>
      <xdr:rowOff>2467</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52" name="Ink 51">
              <a:extLst>
                <a:ext uri="{FF2B5EF4-FFF2-40B4-BE49-F238E27FC236}">
                  <a16:creationId xmlns:a16="http://schemas.microsoft.com/office/drawing/2014/main" id="{67484F94-6296-4EB9-BC20-73137587B9B8}"/>
                </a:ext>
              </a:extLst>
            </xdr14:cNvPr>
            <xdr14:cNvContentPartPr/>
          </xdr14:nvContentPartPr>
          <xdr14:nvPr macro=""/>
          <xdr14:xfrm>
            <a:off x="7725780" y="3912300"/>
            <a:ext cx="180" cy="180"/>
          </xdr14:xfrm>
        </xdr:contentPart>
      </mc:Choice>
      <mc:Fallback xmlns="">
        <xdr:pic>
          <xdr:nvPicPr>
            <xdr:cNvPr id="52" name="Ink 51">
              <a:extLst>
                <a:ext uri="{FF2B5EF4-FFF2-40B4-BE49-F238E27FC236}">
                  <a16:creationId xmlns:a16="http://schemas.microsoft.com/office/drawing/2014/main" id="{67484F94-6296-4EB9-BC20-73137587B9B8}"/>
                </a:ext>
              </a:extLst>
            </xdr:cNvPr>
            <xdr:cNvPicPr/>
          </xdr:nvPicPr>
          <xdr:blipFill/>
          <xdr:spPr/>
        </xdr:pic>
      </mc:Fallback>
    </mc:AlternateContent>
    <xdr:clientData/>
  </xdr:twoCellAnchor>
  <xdr:twoCellAnchor>
    <xdr:from>
      <xdr:col>1</xdr:col>
      <xdr:colOff>133762</xdr:colOff>
      <xdr:row>473</xdr:row>
      <xdr:rowOff>55087</xdr:rowOff>
    </xdr:from>
    <xdr:to>
      <xdr:col>1</xdr:col>
      <xdr:colOff>133942</xdr:colOff>
      <xdr:row>473</xdr:row>
      <xdr:rowOff>55267</xdr:rowOff>
    </xdr:to>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55" name="Ink 54">
              <a:extLst>
                <a:ext uri="{FF2B5EF4-FFF2-40B4-BE49-F238E27FC236}">
                  <a16:creationId xmlns:a16="http://schemas.microsoft.com/office/drawing/2014/main" id="{B2D3E793-A5CC-4FC5-BF27-7353E5D4BAE9}"/>
                </a:ext>
              </a:extLst>
            </xdr14:cNvPr>
            <xdr14:cNvContentPartPr/>
          </xdr14:nvContentPartPr>
          <xdr14:nvPr macro=""/>
          <xdr14:xfrm>
            <a:off x="11635200" y="1031400"/>
            <a:ext cx="180" cy="180"/>
          </xdr14:xfrm>
        </xdr:contentPart>
      </mc:Choice>
      <mc:Fallback xmlns="">
        <xdr:pic>
          <xdr:nvPicPr>
            <xdr:cNvPr id="55" name="Ink 54">
              <a:extLst>
                <a:ext uri="{FF2B5EF4-FFF2-40B4-BE49-F238E27FC236}">
                  <a16:creationId xmlns:a16="http://schemas.microsoft.com/office/drawing/2014/main" id="{B2D3E793-A5CC-4FC5-BF27-7353E5D4BAE9}"/>
                </a:ext>
              </a:extLst>
            </xdr:cNvPr>
            <xdr:cNvPicPr/>
          </xdr:nvPicPr>
          <xdr:blipFill/>
          <xdr:spPr/>
        </xdr:pic>
      </mc:Fallback>
    </mc:AlternateContent>
    <xdr:clientData/>
  </xdr:twoCellAnchor>
  <xdr:oneCellAnchor>
    <xdr:from>
      <xdr:col>27</xdr:col>
      <xdr:colOff>35255</xdr:colOff>
      <xdr:row>37</xdr:row>
      <xdr:rowOff>138546</xdr:rowOff>
    </xdr:from>
    <xdr:ext cx="1069069" cy="264560"/>
    <xdr:sp macro="" textlink="">
      <xdr:nvSpPr>
        <xdr:cNvPr id="58" name="TextBox 57">
          <a:extLst>
            <a:ext uri="{FF2B5EF4-FFF2-40B4-BE49-F238E27FC236}">
              <a16:creationId xmlns:a16="http://schemas.microsoft.com/office/drawing/2014/main" id="{F9D5545D-8B93-41D3-AF40-B405D8F0581C}"/>
            </a:ext>
          </a:extLst>
        </xdr:cNvPr>
        <xdr:cNvSpPr txBox="1"/>
      </xdr:nvSpPr>
      <xdr:spPr>
        <a:xfrm>
          <a:off x="16654525" y="20215267"/>
          <a:ext cx="106906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NZ" sz="1100" b="1"/>
            <a:t>Briscoe Group</a:t>
          </a:r>
        </a:p>
      </xdr:txBody>
    </xdr:sp>
    <xdr:clientData/>
  </xdr:oneCellAnchor>
  <xdr:twoCellAnchor>
    <xdr:from>
      <xdr:col>2</xdr:col>
      <xdr:colOff>503805</xdr:colOff>
      <xdr:row>38</xdr:row>
      <xdr:rowOff>72315</xdr:rowOff>
    </xdr:from>
    <xdr:to>
      <xdr:col>2</xdr:col>
      <xdr:colOff>503985</xdr:colOff>
      <xdr:row>38</xdr:row>
      <xdr:rowOff>72495</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61" name="Ink 60">
              <a:extLst>
                <a:ext uri="{FF2B5EF4-FFF2-40B4-BE49-F238E27FC236}">
                  <a16:creationId xmlns:a16="http://schemas.microsoft.com/office/drawing/2014/main" id="{83F42F62-215A-4B2D-92D9-A129C4D2C1C4}"/>
                </a:ext>
              </a:extLst>
            </xdr14:cNvPr>
            <xdr14:cNvContentPartPr/>
          </xdr14:nvContentPartPr>
          <xdr14:nvPr macro=""/>
          <xdr14:xfrm>
            <a:off x="7237980" y="12959640"/>
            <a:ext cx="180" cy="180"/>
          </xdr14:xfrm>
        </xdr:contentPart>
      </mc:Choice>
      <mc:Fallback xmlns="">
        <xdr:pic>
          <xdr:nvPicPr>
            <xdr:cNvPr id="61" name="Ink 60">
              <a:extLst>
                <a:ext uri="{FF2B5EF4-FFF2-40B4-BE49-F238E27FC236}">
                  <a16:creationId xmlns:a16="http://schemas.microsoft.com/office/drawing/2014/main" id="{83F42F62-215A-4B2D-92D9-A129C4D2C1C4}"/>
                </a:ext>
              </a:extLst>
            </xdr:cNvPr>
            <xdr:cNvPicPr/>
          </xdr:nvPicPr>
          <xdr:blipFill/>
          <xdr:spPr/>
        </xdr:pic>
      </mc:Fallback>
    </mc:AlternateContent>
    <xdr:clientData/>
  </xdr:twoCellAnchor>
  <xdr:twoCellAnchor>
    <xdr:from>
      <xdr:col>4</xdr:col>
      <xdr:colOff>735442</xdr:colOff>
      <xdr:row>44</xdr:row>
      <xdr:rowOff>129645</xdr:rowOff>
    </xdr:from>
    <xdr:to>
      <xdr:col>4</xdr:col>
      <xdr:colOff>735622</xdr:colOff>
      <xdr:row>44</xdr:row>
      <xdr:rowOff>129825</xdr:rowOff>
    </xdr:to>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70" name="Ink 69">
              <a:extLst>
                <a:ext uri="{FF2B5EF4-FFF2-40B4-BE49-F238E27FC236}">
                  <a16:creationId xmlns:a16="http://schemas.microsoft.com/office/drawing/2014/main" id="{076F2C9D-D932-4371-A924-E5559BF7DEA1}"/>
                </a:ext>
              </a:extLst>
            </xdr14:cNvPr>
            <xdr14:cNvContentPartPr/>
          </xdr14:nvContentPartPr>
          <xdr14:nvPr macro=""/>
          <xdr14:xfrm>
            <a:off x="9112680" y="13988520"/>
            <a:ext cx="180" cy="180"/>
          </xdr14:xfrm>
        </xdr:contentPart>
      </mc:Choice>
      <mc:Fallback xmlns="">
        <xdr:pic>
          <xdr:nvPicPr>
            <xdr:cNvPr id="70" name="Ink 69">
              <a:extLst>
                <a:ext uri="{FF2B5EF4-FFF2-40B4-BE49-F238E27FC236}">
                  <a16:creationId xmlns:a16="http://schemas.microsoft.com/office/drawing/2014/main" id="{076F2C9D-D932-4371-A924-E5559BF7DEA1}"/>
                </a:ext>
              </a:extLst>
            </xdr:cNvPr>
            <xdr:cNvPicPr/>
          </xdr:nvPicPr>
          <xdr:blipFill/>
          <xdr:spPr/>
        </xdr:pic>
      </mc:Fallback>
    </mc:AlternateContent>
    <xdr:clientData/>
  </xdr:twoCellAnchor>
  <xdr:twoCellAnchor>
    <xdr:from>
      <xdr:col>7</xdr:col>
      <xdr:colOff>613042</xdr:colOff>
      <xdr:row>47</xdr:row>
      <xdr:rowOff>91785</xdr:rowOff>
    </xdr:from>
    <xdr:to>
      <xdr:col>7</xdr:col>
      <xdr:colOff>613222</xdr:colOff>
      <xdr:row>47</xdr:row>
      <xdr:rowOff>91965</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71" name="Ink 70">
              <a:extLst>
                <a:ext uri="{FF2B5EF4-FFF2-40B4-BE49-F238E27FC236}">
                  <a16:creationId xmlns:a16="http://schemas.microsoft.com/office/drawing/2014/main" id="{BE947297-2ABF-4E66-A8FC-0ACD7986505C}"/>
                </a:ext>
              </a:extLst>
            </xdr14:cNvPr>
            <xdr14:cNvContentPartPr/>
          </xdr14:nvContentPartPr>
          <xdr14:nvPr macro=""/>
          <xdr14:xfrm>
            <a:off x="4989780" y="14598360"/>
            <a:ext cx="180" cy="180"/>
          </xdr14:xfrm>
        </xdr:contentPart>
      </mc:Choice>
      <mc:Fallback xmlns="">
        <xdr:pic>
          <xdr:nvPicPr>
            <xdr:cNvPr id="71" name="Ink 70">
              <a:extLst>
                <a:ext uri="{FF2B5EF4-FFF2-40B4-BE49-F238E27FC236}">
                  <a16:creationId xmlns:a16="http://schemas.microsoft.com/office/drawing/2014/main" id="{BE947297-2ABF-4E66-A8FC-0ACD7986505C}"/>
                </a:ext>
              </a:extLst>
            </xdr:cNvPr>
            <xdr:cNvPicPr/>
          </xdr:nvPicPr>
          <xdr:blipFill/>
          <xdr:spPr/>
        </xdr:pic>
      </mc:Fallback>
    </mc:AlternateContent>
    <xdr:clientData/>
  </xdr:twoCellAnchor>
  <xdr:twoCellAnchor>
    <xdr:from>
      <xdr:col>7</xdr:col>
      <xdr:colOff>613042</xdr:colOff>
      <xdr:row>47</xdr:row>
      <xdr:rowOff>91785</xdr:rowOff>
    </xdr:from>
    <xdr:to>
      <xdr:col>7</xdr:col>
      <xdr:colOff>613222</xdr:colOff>
      <xdr:row>47</xdr:row>
      <xdr:rowOff>91965</xdr:rowOff>
    </xdr:to>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72" name="Ink 71">
              <a:extLst>
                <a:ext uri="{FF2B5EF4-FFF2-40B4-BE49-F238E27FC236}">
                  <a16:creationId xmlns:a16="http://schemas.microsoft.com/office/drawing/2014/main" id="{A489FA92-B1F1-4011-9302-6A8D9E593736}"/>
                </a:ext>
              </a:extLst>
            </xdr14:cNvPr>
            <xdr14:cNvContentPartPr/>
          </xdr14:nvContentPartPr>
          <xdr14:nvPr macro=""/>
          <xdr14:xfrm>
            <a:off x="4989780" y="14598360"/>
            <a:ext cx="180" cy="180"/>
          </xdr14:xfrm>
        </xdr:contentPart>
      </mc:Choice>
      <mc:Fallback xmlns="">
        <xdr:pic>
          <xdr:nvPicPr>
            <xdr:cNvPr id="72" name="Ink 71">
              <a:extLst>
                <a:ext uri="{FF2B5EF4-FFF2-40B4-BE49-F238E27FC236}">
                  <a16:creationId xmlns:a16="http://schemas.microsoft.com/office/drawing/2014/main" id="{A489FA92-B1F1-4011-9302-6A8D9E593736}"/>
                </a:ext>
              </a:extLst>
            </xdr:cNvPr>
            <xdr:cNvPicPr/>
          </xdr:nvPicPr>
          <xdr:blipFill/>
          <xdr:spPr/>
        </xdr:pic>
      </mc:Fallback>
    </mc:AlternateContent>
    <xdr:clientData/>
  </xdr:twoCellAnchor>
  <xdr:twoCellAnchor>
    <xdr:from>
      <xdr:col>7</xdr:col>
      <xdr:colOff>613042</xdr:colOff>
      <xdr:row>47</xdr:row>
      <xdr:rowOff>91785</xdr:rowOff>
    </xdr:from>
    <xdr:to>
      <xdr:col>7</xdr:col>
      <xdr:colOff>613222</xdr:colOff>
      <xdr:row>47</xdr:row>
      <xdr:rowOff>91965</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73" name="Ink 72">
              <a:extLst>
                <a:ext uri="{FF2B5EF4-FFF2-40B4-BE49-F238E27FC236}">
                  <a16:creationId xmlns:a16="http://schemas.microsoft.com/office/drawing/2014/main" id="{20B2336C-D730-4392-8182-55C1D5A7E69F}"/>
                </a:ext>
              </a:extLst>
            </xdr14:cNvPr>
            <xdr14:cNvContentPartPr/>
          </xdr14:nvContentPartPr>
          <xdr14:nvPr macro=""/>
          <xdr14:xfrm>
            <a:off x="4989780" y="14598360"/>
            <a:ext cx="180" cy="180"/>
          </xdr14:xfrm>
        </xdr:contentPart>
      </mc:Choice>
      <mc:Fallback xmlns="">
        <xdr:pic>
          <xdr:nvPicPr>
            <xdr:cNvPr id="73" name="Ink 72">
              <a:extLst>
                <a:ext uri="{FF2B5EF4-FFF2-40B4-BE49-F238E27FC236}">
                  <a16:creationId xmlns:a16="http://schemas.microsoft.com/office/drawing/2014/main" id="{20B2336C-D730-4392-8182-55C1D5A7E69F}"/>
                </a:ext>
              </a:extLst>
            </xdr:cNvPr>
            <xdr:cNvPicPr/>
          </xdr:nvPicPr>
          <xdr:blipFill/>
          <xdr:spPr/>
        </xdr:pic>
      </mc:Fallback>
    </mc:AlternateContent>
    <xdr:clientData/>
  </xdr:twoCellAnchor>
  <xdr:twoCellAnchor>
    <xdr:from>
      <xdr:col>7</xdr:col>
      <xdr:colOff>613042</xdr:colOff>
      <xdr:row>47</xdr:row>
      <xdr:rowOff>91785</xdr:rowOff>
    </xdr:from>
    <xdr:to>
      <xdr:col>7</xdr:col>
      <xdr:colOff>613222</xdr:colOff>
      <xdr:row>47</xdr:row>
      <xdr:rowOff>91965</xdr:rowOff>
    </xdr:to>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74" name="Ink 73">
              <a:extLst>
                <a:ext uri="{FF2B5EF4-FFF2-40B4-BE49-F238E27FC236}">
                  <a16:creationId xmlns:a16="http://schemas.microsoft.com/office/drawing/2014/main" id="{35A48526-06AB-4F54-8387-40300BDD42E9}"/>
                </a:ext>
              </a:extLst>
            </xdr14:cNvPr>
            <xdr14:cNvContentPartPr/>
          </xdr14:nvContentPartPr>
          <xdr14:nvPr macro=""/>
          <xdr14:xfrm>
            <a:off x="4989780" y="14598360"/>
            <a:ext cx="180" cy="180"/>
          </xdr14:xfrm>
        </xdr:contentPart>
      </mc:Choice>
      <mc:Fallback xmlns="">
        <xdr:pic>
          <xdr:nvPicPr>
            <xdr:cNvPr id="74" name="Ink 73">
              <a:extLst>
                <a:ext uri="{FF2B5EF4-FFF2-40B4-BE49-F238E27FC236}">
                  <a16:creationId xmlns:a16="http://schemas.microsoft.com/office/drawing/2014/main" id="{35A48526-06AB-4F54-8387-40300BDD42E9}"/>
                </a:ext>
              </a:extLst>
            </xdr:cNvPr>
            <xdr:cNvPicPr/>
          </xdr:nvPicPr>
          <xdr:blipFill/>
          <xdr:spPr/>
        </xdr:pic>
      </mc:Fallback>
    </mc:AlternateContent>
    <xdr:clientData/>
  </xdr:twoCellAnchor>
  <xdr:twoCellAnchor>
    <xdr:from>
      <xdr:col>6</xdr:col>
      <xdr:colOff>644475</xdr:colOff>
      <xdr:row>37</xdr:row>
      <xdr:rowOff>26595</xdr:rowOff>
    </xdr:from>
    <xdr:to>
      <xdr:col>6</xdr:col>
      <xdr:colOff>644655</xdr:colOff>
      <xdr:row>37</xdr:row>
      <xdr:rowOff>26775</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75" name="Ink 74">
              <a:extLst>
                <a:ext uri="{FF2B5EF4-FFF2-40B4-BE49-F238E27FC236}">
                  <a16:creationId xmlns:a16="http://schemas.microsoft.com/office/drawing/2014/main" id="{6707BB74-EE45-49F5-8E38-705B456782E0}"/>
                </a:ext>
              </a:extLst>
            </xdr14:cNvPr>
            <xdr14:cNvContentPartPr/>
          </xdr14:nvContentPartPr>
          <xdr14:nvPr macro=""/>
          <xdr14:xfrm>
            <a:off x="4235400" y="12913920"/>
            <a:ext cx="180" cy="180"/>
          </xdr14:xfrm>
        </xdr:contentPart>
      </mc:Choice>
      <mc:Fallback xmlns="">
        <xdr:pic>
          <xdr:nvPicPr>
            <xdr:cNvPr id="75" name="Ink 74">
              <a:extLst>
                <a:ext uri="{FF2B5EF4-FFF2-40B4-BE49-F238E27FC236}">
                  <a16:creationId xmlns:a16="http://schemas.microsoft.com/office/drawing/2014/main" id="{6707BB74-EE45-49F5-8E38-705B456782E0}"/>
                </a:ext>
              </a:extLst>
            </xdr:cNvPr>
            <xdr:cNvPicPr/>
          </xdr:nvPicPr>
          <xdr:blipFill/>
          <xdr:spPr/>
        </xdr:pic>
      </mc:Fallback>
    </mc:AlternateContent>
    <xdr:clientData/>
  </xdr:twoCellAnchor>
  <xdr:twoCellAnchor>
    <xdr:from>
      <xdr:col>4</xdr:col>
      <xdr:colOff>160072</xdr:colOff>
      <xdr:row>129</xdr:row>
      <xdr:rowOff>9322</xdr:rowOff>
    </xdr:from>
    <xdr:to>
      <xdr:col>4</xdr:col>
      <xdr:colOff>160252</xdr:colOff>
      <xdr:row>129</xdr:row>
      <xdr:rowOff>9502</xdr:rowOff>
    </xdr:to>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91" name="Ink 90">
              <a:extLst>
                <a:ext uri="{FF2B5EF4-FFF2-40B4-BE49-F238E27FC236}">
                  <a16:creationId xmlns:a16="http://schemas.microsoft.com/office/drawing/2014/main" id="{177FFC98-A51C-4069-808C-45A7FD9AF149}"/>
                </a:ext>
              </a:extLst>
            </xdr14:cNvPr>
            <xdr14:cNvContentPartPr/>
          </xdr14:nvContentPartPr>
          <xdr14:nvPr macro=""/>
          <xdr14:xfrm>
            <a:off x="7680060" y="16158960"/>
            <a:ext cx="180" cy="180"/>
          </xdr14:xfrm>
        </xdr:contentPart>
      </mc:Choice>
      <mc:Fallback xmlns="">
        <xdr:pic>
          <xdr:nvPicPr>
            <xdr:cNvPr id="91" name="Ink 90">
              <a:extLst>
                <a:ext uri="{FF2B5EF4-FFF2-40B4-BE49-F238E27FC236}">
                  <a16:creationId xmlns:a16="http://schemas.microsoft.com/office/drawing/2014/main" id="{177FFC98-A51C-4069-808C-45A7FD9AF149}"/>
                </a:ext>
              </a:extLst>
            </xdr:cNvPr>
            <xdr:cNvPicPr/>
          </xdr:nvPicPr>
          <xdr:blipFill/>
          <xdr:spPr/>
        </xdr:pic>
      </mc:Fallback>
    </mc:AlternateContent>
    <xdr:clientData/>
  </xdr:twoCellAnchor>
  <xdr:twoCellAnchor>
    <xdr:from>
      <xdr:col>6</xdr:col>
      <xdr:colOff>224130</xdr:colOff>
      <xdr:row>129</xdr:row>
      <xdr:rowOff>57067</xdr:rowOff>
    </xdr:from>
    <xdr:to>
      <xdr:col>6</xdr:col>
      <xdr:colOff>224310</xdr:colOff>
      <xdr:row>129</xdr:row>
      <xdr:rowOff>57247</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94" name="Ink 93">
              <a:extLst>
                <a:ext uri="{FF2B5EF4-FFF2-40B4-BE49-F238E27FC236}">
                  <a16:creationId xmlns:a16="http://schemas.microsoft.com/office/drawing/2014/main" id="{60D8912B-C76E-4EC0-9F59-2245976CDCEF}"/>
                </a:ext>
              </a:extLst>
            </xdr14:cNvPr>
            <xdr14:cNvContentPartPr/>
          </xdr14:nvContentPartPr>
          <xdr14:nvPr macro=""/>
          <xdr14:xfrm>
            <a:off x="9387180" y="16692480"/>
            <a:ext cx="180" cy="180"/>
          </xdr14:xfrm>
        </xdr:contentPart>
      </mc:Choice>
      <mc:Fallback xmlns="">
        <xdr:pic>
          <xdr:nvPicPr>
            <xdr:cNvPr id="94" name="Ink 93">
              <a:extLst>
                <a:ext uri="{FF2B5EF4-FFF2-40B4-BE49-F238E27FC236}">
                  <a16:creationId xmlns:a16="http://schemas.microsoft.com/office/drawing/2014/main" id="{60D8912B-C76E-4EC0-9F59-2245976CDCEF}"/>
                </a:ext>
              </a:extLst>
            </xdr:cNvPr>
            <xdr:cNvPicPr/>
          </xdr:nvPicPr>
          <xdr:blipFill/>
          <xdr:spPr/>
        </xdr:pic>
      </mc:Fallback>
    </mc:AlternateContent>
    <xdr:clientData/>
  </xdr:twoCellAnchor>
  <xdr:twoCellAnchor>
    <xdr:from>
      <xdr:col>4</xdr:col>
      <xdr:colOff>60892</xdr:colOff>
      <xdr:row>130</xdr:row>
      <xdr:rowOff>144757</xdr:rowOff>
    </xdr:from>
    <xdr:to>
      <xdr:col>4</xdr:col>
      <xdr:colOff>61072</xdr:colOff>
      <xdr:row>130</xdr:row>
      <xdr:rowOff>144937</xdr:rowOff>
    </xdr:to>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99" name="Ink 98">
              <a:extLst>
                <a:ext uri="{FF2B5EF4-FFF2-40B4-BE49-F238E27FC236}">
                  <a16:creationId xmlns:a16="http://schemas.microsoft.com/office/drawing/2014/main" id="{639D4795-61AF-4128-BAE4-14F0C2468D3C}"/>
                </a:ext>
              </a:extLst>
            </xdr14:cNvPr>
            <xdr14:cNvContentPartPr/>
          </xdr14:nvContentPartPr>
          <xdr14:nvPr macro=""/>
          <xdr14:xfrm>
            <a:off x="7580880" y="16456320"/>
            <a:ext cx="180" cy="180"/>
          </xdr14:xfrm>
        </xdr:contentPart>
      </mc:Choice>
      <mc:Fallback xmlns="">
        <xdr:pic>
          <xdr:nvPicPr>
            <xdr:cNvPr id="99" name="Ink 98">
              <a:extLst>
                <a:ext uri="{FF2B5EF4-FFF2-40B4-BE49-F238E27FC236}">
                  <a16:creationId xmlns:a16="http://schemas.microsoft.com/office/drawing/2014/main" id="{639D4795-61AF-4128-BAE4-14F0C2468D3C}"/>
                </a:ext>
              </a:extLst>
            </xdr:cNvPr>
            <xdr:cNvPicPr/>
          </xdr:nvPicPr>
          <xdr:blipFill/>
          <xdr:spPr/>
        </xdr:pic>
      </mc:Fallback>
    </mc:AlternateContent>
    <xdr:clientData/>
  </xdr:twoCellAnchor>
  <xdr:twoCellAnchor>
    <xdr:from>
      <xdr:col>4</xdr:col>
      <xdr:colOff>579112</xdr:colOff>
      <xdr:row>129</xdr:row>
      <xdr:rowOff>138742</xdr:rowOff>
    </xdr:from>
    <xdr:to>
      <xdr:col>4</xdr:col>
      <xdr:colOff>579292</xdr:colOff>
      <xdr:row>129</xdr:row>
      <xdr:rowOff>138922</xdr:rowOff>
    </xdr:to>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106" name="Ink 105">
              <a:extLst>
                <a:ext uri="{FF2B5EF4-FFF2-40B4-BE49-F238E27FC236}">
                  <a16:creationId xmlns:a16="http://schemas.microsoft.com/office/drawing/2014/main" id="{50397E41-760B-4C8C-9462-38108FE3E789}"/>
                </a:ext>
              </a:extLst>
            </xdr14:cNvPr>
            <xdr14:cNvContentPartPr/>
          </xdr14:nvContentPartPr>
          <xdr14:nvPr macro=""/>
          <xdr14:xfrm>
            <a:off x="8099100" y="16288380"/>
            <a:ext cx="180" cy="180"/>
          </xdr14:xfrm>
        </xdr:contentPart>
      </mc:Choice>
      <mc:Fallback xmlns="">
        <xdr:pic>
          <xdr:nvPicPr>
            <xdr:cNvPr id="106" name="Ink 105">
              <a:extLst>
                <a:ext uri="{FF2B5EF4-FFF2-40B4-BE49-F238E27FC236}">
                  <a16:creationId xmlns:a16="http://schemas.microsoft.com/office/drawing/2014/main" id="{50397E41-760B-4C8C-9462-38108FE3E789}"/>
                </a:ext>
              </a:extLst>
            </xdr:cNvPr>
            <xdr:cNvPicPr/>
          </xdr:nvPicPr>
          <xdr:blipFill/>
          <xdr:spPr/>
        </xdr:pic>
      </mc:Fallback>
    </mc:AlternateContent>
    <xdr:clientData/>
  </xdr:twoCellAnchor>
  <xdr:twoCellAnchor>
    <xdr:from>
      <xdr:col>4</xdr:col>
      <xdr:colOff>320092</xdr:colOff>
      <xdr:row>131</xdr:row>
      <xdr:rowOff>45517</xdr:rowOff>
    </xdr:from>
    <xdr:to>
      <xdr:col>4</xdr:col>
      <xdr:colOff>320272</xdr:colOff>
      <xdr:row>131</xdr:row>
      <xdr:rowOff>45697</xdr:rowOff>
    </xdr:to>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108" name="Ink 107">
              <a:extLst>
                <a:ext uri="{FF2B5EF4-FFF2-40B4-BE49-F238E27FC236}">
                  <a16:creationId xmlns:a16="http://schemas.microsoft.com/office/drawing/2014/main" id="{38726183-67FE-4713-BF8A-40009E35FAF0}"/>
                </a:ext>
              </a:extLst>
            </xdr14:cNvPr>
            <xdr14:cNvContentPartPr/>
          </xdr14:nvContentPartPr>
          <xdr14:nvPr macro=""/>
          <xdr14:xfrm>
            <a:off x="7840080" y="17004780"/>
            <a:ext cx="180" cy="180"/>
          </xdr14:xfrm>
        </xdr:contentPart>
      </mc:Choice>
      <mc:Fallback xmlns="">
        <xdr:pic>
          <xdr:nvPicPr>
            <xdr:cNvPr id="108" name="Ink 107">
              <a:extLst>
                <a:ext uri="{FF2B5EF4-FFF2-40B4-BE49-F238E27FC236}">
                  <a16:creationId xmlns:a16="http://schemas.microsoft.com/office/drawing/2014/main" id="{38726183-67FE-4713-BF8A-40009E35FAF0}"/>
                </a:ext>
              </a:extLst>
            </xdr:cNvPr>
            <xdr:cNvPicPr/>
          </xdr:nvPicPr>
          <xdr:blipFill/>
          <xdr:spPr/>
        </xdr:pic>
      </mc:Fallback>
    </mc:AlternateContent>
    <xdr:clientData/>
  </xdr:twoCellAnchor>
  <xdr:twoCellAnchor>
    <xdr:from>
      <xdr:col>4</xdr:col>
      <xdr:colOff>320092</xdr:colOff>
      <xdr:row>131</xdr:row>
      <xdr:rowOff>45517</xdr:rowOff>
    </xdr:from>
    <xdr:to>
      <xdr:col>4</xdr:col>
      <xdr:colOff>320272</xdr:colOff>
      <xdr:row>131</xdr:row>
      <xdr:rowOff>45697</xdr:rowOff>
    </xdr:to>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110" name="Ink 109">
              <a:extLst>
                <a:ext uri="{FF2B5EF4-FFF2-40B4-BE49-F238E27FC236}">
                  <a16:creationId xmlns:a16="http://schemas.microsoft.com/office/drawing/2014/main" id="{C1BEAE6C-0088-43E1-A317-2D9616FDC1A0}"/>
                </a:ext>
              </a:extLst>
            </xdr14:cNvPr>
            <xdr14:cNvContentPartPr/>
          </xdr14:nvContentPartPr>
          <xdr14:nvPr macro=""/>
          <xdr14:xfrm>
            <a:off x="7840080" y="17004780"/>
            <a:ext cx="180" cy="180"/>
          </xdr14:xfrm>
        </xdr:contentPart>
      </mc:Choice>
      <mc:Fallback xmlns="">
        <xdr:pic>
          <xdr:nvPicPr>
            <xdr:cNvPr id="110" name="Ink 109">
              <a:extLst>
                <a:ext uri="{FF2B5EF4-FFF2-40B4-BE49-F238E27FC236}">
                  <a16:creationId xmlns:a16="http://schemas.microsoft.com/office/drawing/2014/main" id="{C1BEAE6C-0088-43E1-A317-2D9616FDC1A0}"/>
                </a:ext>
              </a:extLst>
            </xdr:cNvPr>
            <xdr:cNvPicPr/>
          </xdr:nvPicPr>
          <xdr:blipFill/>
          <xdr:spPr/>
        </xdr:pic>
      </mc:Fallback>
    </mc:AlternateContent>
    <xdr:clientData/>
  </xdr:twoCellAnchor>
  <xdr:twoCellAnchor>
    <xdr:from>
      <xdr:col>4</xdr:col>
      <xdr:colOff>320092</xdr:colOff>
      <xdr:row>131</xdr:row>
      <xdr:rowOff>45517</xdr:rowOff>
    </xdr:from>
    <xdr:to>
      <xdr:col>4</xdr:col>
      <xdr:colOff>320272</xdr:colOff>
      <xdr:row>131</xdr:row>
      <xdr:rowOff>45697</xdr:rowOff>
    </xdr:to>
    <mc:AlternateContent xmlns:mc="http://schemas.openxmlformats.org/markup-compatibility/2006" xmlns:xdr14="http://schemas.microsoft.com/office/excel/2010/spreadsheetDrawing">
      <mc:Choice Requires="xdr14">
        <xdr:contentPart xmlns:r="http://schemas.openxmlformats.org/officeDocument/2006/relationships" r:id="rId46">
          <xdr14:nvContentPartPr>
            <xdr14:cNvPr id="114" name="Ink 113">
              <a:extLst>
                <a:ext uri="{FF2B5EF4-FFF2-40B4-BE49-F238E27FC236}">
                  <a16:creationId xmlns:a16="http://schemas.microsoft.com/office/drawing/2014/main" id="{39506AF3-D238-49C3-9B17-1161FA40B779}"/>
                </a:ext>
              </a:extLst>
            </xdr14:cNvPr>
            <xdr14:cNvContentPartPr/>
          </xdr14:nvContentPartPr>
          <xdr14:nvPr macro=""/>
          <xdr14:xfrm>
            <a:off x="7840080" y="17004780"/>
            <a:ext cx="180" cy="180"/>
          </xdr14:xfrm>
        </xdr:contentPart>
      </mc:Choice>
      <mc:Fallback xmlns="">
        <xdr:pic>
          <xdr:nvPicPr>
            <xdr:cNvPr id="114" name="Ink 113">
              <a:extLst>
                <a:ext uri="{FF2B5EF4-FFF2-40B4-BE49-F238E27FC236}">
                  <a16:creationId xmlns:a16="http://schemas.microsoft.com/office/drawing/2014/main" id="{39506AF3-D238-49C3-9B17-1161FA40B779}"/>
                </a:ext>
              </a:extLst>
            </xdr:cNvPr>
            <xdr:cNvPicPr/>
          </xdr:nvPicPr>
          <xdr:blipFill/>
          <xdr:spPr/>
        </xdr:pic>
      </mc:Fallback>
    </mc:AlternateContent>
    <xdr:clientData/>
  </xdr:twoCellAnchor>
  <xdr:twoCellAnchor>
    <xdr:from>
      <xdr:col>7</xdr:col>
      <xdr:colOff>727170</xdr:colOff>
      <xdr:row>136</xdr:row>
      <xdr:rowOff>107730</xdr:rowOff>
    </xdr:from>
    <xdr:to>
      <xdr:col>7</xdr:col>
      <xdr:colOff>727350</xdr:colOff>
      <xdr:row>136</xdr:row>
      <xdr:rowOff>107910</xdr:rowOff>
    </xdr:to>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116" name="Ink 115">
              <a:extLst>
                <a:ext uri="{FF2B5EF4-FFF2-40B4-BE49-F238E27FC236}">
                  <a16:creationId xmlns:a16="http://schemas.microsoft.com/office/drawing/2014/main" id="{59B8AA89-79D6-4F5C-955B-815EA1B939E9}"/>
                </a:ext>
              </a:extLst>
            </xdr14:cNvPr>
            <xdr14:cNvContentPartPr/>
          </xdr14:nvContentPartPr>
          <xdr14:nvPr macro=""/>
          <xdr14:xfrm>
            <a:off x="10537920" y="17881380"/>
            <a:ext cx="180" cy="180"/>
          </xdr14:xfrm>
        </xdr:contentPart>
      </mc:Choice>
      <mc:Fallback xmlns="">
        <xdr:pic>
          <xdr:nvPicPr>
            <xdr:cNvPr id="116" name="Ink 115">
              <a:extLst>
                <a:ext uri="{FF2B5EF4-FFF2-40B4-BE49-F238E27FC236}">
                  <a16:creationId xmlns:a16="http://schemas.microsoft.com/office/drawing/2014/main" id="{59B8AA89-79D6-4F5C-955B-815EA1B939E9}"/>
                </a:ext>
              </a:extLst>
            </xdr:cNvPr>
            <xdr:cNvPicPr/>
          </xdr:nvPicPr>
          <xdr:blipFill/>
          <xdr:spPr/>
        </xdr:pic>
      </mc:Fallback>
    </mc:AlternateContent>
    <xdr:clientData/>
  </xdr:twoCellAnchor>
  <xdr:twoCellAnchor>
    <xdr:from>
      <xdr:col>5</xdr:col>
      <xdr:colOff>365812</xdr:colOff>
      <xdr:row>206</xdr:row>
      <xdr:rowOff>44347</xdr:rowOff>
    </xdr:from>
    <xdr:to>
      <xdr:col>5</xdr:col>
      <xdr:colOff>534472</xdr:colOff>
      <xdr:row>208</xdr:row>
      <xdr:rowOff>36937</xdr:rowOff>
    </xdr:to>
    <mc:AlternateContent xmlns:mc="http://schemas.openxmlformats.org/markup-compatibility/2006" xmlns:xdr14="http://schemas.microsoft.com/office/excel/2010/spreadsheetDrawing">
      <mc:Choice Requires="xdr14">
        <xdr:contentPart xmlns:r="http://schemas.openxmlformats.org/officeDocument/2006/relationships" r:id="rId48">
          <xdr14:nvContentPartPr>
            <xdr14:cNvPr id="126" name="Ink 125">
              <a:extLst>
                <a:ext uri="{FF2B5EF4-FFF2-40B4-BE49-F238E27FC236}">
                  <a16:creationId xmlns:a16="http://schemas.microsoft.com/office/drawing/2014/main" id="{CDF4327A-F829-4543-966F-500D5EAD837F}"/>
                </a:ext>
              </a:extLst>
            </xdr14:cNvPr>
            <xdr14:cNvContentPartPr/>
          </xdr14:nvContentPartPr>
          <xdr14:nvPr macro=""/>
          <xdr14:xfrm>
            <a:off x="7885800" y="25518960"/>
            <a:ext cx="168660" cy="316440"/>
          </xdr14:xfrm>
        </xdr:contentPart>
      </mc:Choice>
      <mc:Fallback xmlns="">
        <xdr:pic>
          <xdr:nvPicPr>
            <xdr:cNvPr id="126" name="Ink 125">
              <a:extLst>
                <a:ext uri="{FF2B5EF4-FFF2-40B4-BE49-F238E27FC236}">
                  <a16:creationId xmlns:a16="http://schemas.microsoft.com/office/drawing/2014/main" id="{CDF4327A-F829-4543-966F-500D5EAD837F}"/>
                </a:ext>
              </a:extLst>
            </xdr:cNvPr>
            <xdr:cNvPicPr/>
          </xdr:nvPicPr>
          <xdr:blipFill>
            <a:blip xmlns:r="http://schemas.openxmlformats.org/officeDocument/2006/relationships" r:embed="rId111"/>
            <a:stretch>
              <a:fillRect/>
            </a:stretch>
          </xdr:blipFill>
          <xdr:spPr>
            <a:xfrm>
              <a:off x="7881013" y="25514137"/>
              <a:ext cx="178235" cy="326085"/>
            </a:xfrm>
            <a:prstGeom prst="rect">
              <a:avLst/>
            </a:prstGeom>
          </xdr:spPr>
        </xdr:pic>
      </mc:Fallback>
    </mc:AlternateContent>
    <xdr:clientData/>
  </xdr:twoCellAnchor>
  <xdr:twoCellAnchor>
    <xdr:from>
      <xdr:col>10</xdr:col>
      <xdr:colOff>409372</xdr:colOff>
      <xdr:row>209</xdr:row>
      <xdr:rowOff>84532</xdr:rowOff>
    </xdr:from>
    <xdr:to>
      <xdr:col>10</xdr:col>
      <xdr:colOff>541132</xdr:colOff>
      <xdr:row>210</xdr:row>
      <xdr:rowOff>160207</xdr:rowOff>
    </xdr:to>
    <mc:AlternateContent xmlns:mc="http://schemas.openxmlformats.org/markup-compatibility/2006" xmlns:xdr14="http://schemas.microsoft.com/office/excel/2010/spreadsheetDrawing">
      <mc:Choice Requires="xdr14">
        <xdr:contentPart xmlns:r="http://schemas.openxmlformats.org/officeDocument/2006/relationships" r:id="rId112">
          <xdr14:nvContentPartPr>
            <xdr14:cNvPr id="129" name="Ink 128">
              <a:extLst>
                <a:ext uri="{FF2B5EF4-FFF2-40B4-BE49-F238E27FC236}">
                  <a16:creationId xmlns:a16="http://schemas.microsoft.com/office/drawing/2014/main" id="{4395ECBF-EDBD-4041-B53F-46EF99724F51}"/>
                </a:ext>
              </a:extLst>
            </xdr14:cNvPr>
            <xdr14:cNvContentPartPr/>
          </xdr14:nvContentPartPr>
          <xdr14:nvPr macro=""/>
          <xdr14:xfrm>
            <a:off x="7929360" y="26044920"/>
            <a:ext cx="131760" cy="237600"/>
          </xdr14:xfrm>
        </xdr:contentPart>
      </mc:Choice>
      <mc:Fallback xmlns="">
        <xdr:pic>
          <xdr:nvPicPr>
            <xdr:cNvPr id="129" name="Ink 128">
              <a:extLst>
                <a:ext uri="{FF2B5EF4-FFF2-40B4-BE49-F238E27FC236}">
                  <a16:creationId xmlns:a16="http://schemas.microsoft.com/office/drawing/2014/main" id="{4395ECBF-EDBD-4041-B53F-46EF99724F51}"/>
                </a:ext>
              </a:extLst>
            </xdr:cNvPr>
            <xdr:cNvPicPr/>
          </xdr:nvPicPr>
          <xdr:blipFill>
            <a:blip xmlns:r="http://schemas.openxmlformats.org/officeDocument/2006/relationships" r:embed="rId113"/>
            <a:stretch>
              <a:fillRect/>
            </a:stretch>
          </xdr:blipFill>
          <xdr:spPr>
            <a:xfrm>
              <a:off x="7924667" y="26040240"/>
              <a:ext cx="141146" cy="246960"/>
            </a:xfrm>
            <a:prstGeom prst="rect">
              <a:avLst/>
            </a:prstGeom>
          </xdr:spPr>
        </xdr:pic>
      </mc:Fallback>
    </mc:AlternateContent>
    <xdr:clientData/>
  </xdr:twoCellAnchor>
  <xdr:twoCellAnchor>
    <xdr:from>
      <xdr:col>2</xdr:col>
      <xdr:colOff>54165</xdr:colOff>
      <xdr:row>230</xdr:row>
      <xdr:rowOff>83167</xdr:rowOff>
    </xdr:from>
    <xdr:to>
      <xdr:col>2</xdr:col>
      <xdr:colOff>54345</xdr:colOff>
      <xdr:row>230</xdr:row>
      <xdr:rowOff>83347</xdr:rowOff>
    </xdr:to>
    <mc:AlternateContent xmlns:mc="http://schemas.openxmlformats.org/markup-compatibility/2006" xmlns:xdr14="http://schemas.microsoft.com/office/excel/2010/spreadsheetDrawing">
      <mc:Choice Requires="xdr14">
        <xdr:contentPart xmlns:r="http://schemas.openxmlformats.org/officeDocument/2006/relationships" r:id="rId114">
          <xdr14:nvContentPartPr>
            <xdr14:cNvPr id="134" name="Ink 133">
              <a:extLst>
                <a:ext uri="{FF2B5EF4-FFF2-40B4-BE49-F238E27FC236}">
                  <a16:creationId xmlns:a16="http://schemas.microsoft.com/office/drawing/2014/main" id="{87050E1F-36AD-400E-B048-180B7CA7AAD2}"/>
                </a:ext>
              </a:extLst>
            </xdr14:cNvPr>
            <xdr14:cNvContentPartPr/>
          </xdr14:nvContentPartPr>
          <xdr14:nvPr macro=""/>
          <xdr14:xfrm>
            <a:off x="6788340" y="28491480"/>
            <a:ext cx="180" cy="180"/>
          </xdr14:xfrm>
        </xdr:contentPart>
      </mc:Choice>
      <mc:Fallback xmlns="">
        <xdr:pic>
          <xdr:nvPicPr>
            <xdr:cNvPr id="134" name="Ink 133">
              <a:extLst>
                <a:ext uri="{FF2B5EF4-FFF2-40B4-BE49-F238E27FC236}">
                  <a16:creationId xmlns:a16="http://schemas.microsoft.com/office/drawing/2014/main" id="{87050E1F-36AD-400E-B048-180B7CA7AAD2}"/>
                </a:ext>
              </a:extLst>
            </xdr:cNvPr>
            <xdr:cNvPicPr/>
          </xdr:nvPicPr>
          <xdr:blipFill/>
          <xdr:spPr/>
        </xdr:pic>
      </mc:Fallback>
    </mc:AlternateContent>
    <xdr:clientData/>
  </xdr:twoCellAnchor>
  <xdr:twoCellAnchor>
    <xdr:from>
      <xdr:col>7</xdr:col>
      <xdr:colOff>86910</xdr:colOff>
      <xdr:row>230</xdr:row>
      <xdr:rowOff>107100</xdr:rowOff>
    </xdr:from>
    <xdr:to>
      <xdr:col>7</xdr:col>
      <xdr:colOff>87090</xdr:colOff>
      <xdr:row>230</xdr:row>
      <xdr:rowOff>107280</xdr:rowOff>
    </xdr:to>
    <mc:AlternateContent xmlns:mc="http://schemas.openxmlformats.org/markup-compatibility/2006" xmlns:xdr14="http://schemas.microsoft.com/office/excel/2010/spreadsheetDrawing">
      <mc:Choice Requires="xdr14">
        <xdr:contentPart xmlns:r="http://schemas.openxmlformats.org/officeDocument/2006/relationships" r:id="rId115">
          <xdr14:nvContentPartPr>
            <xdr14:cNvPr id="135" name="Ink 134">
              <a:extLst>
                <a:ext uri="{FF2B5EF4-FFF2-40B4-BE49-F238E27FC236}">
                  <a16:creationId xmlns:a16="http://schemas.microsoft.com/office/drawing/2014/main" id="{8618AC28-8040-44AE-923A-FE406CDB1F49}"/>
                </a:ext>
              </a:extLst>
            </xdr14:cNvPr>
            <xdr14:cNvContentPartPr/>
          </xdr14:nvContentPartPr>
          <xdr14:nvPr macro=""/>
          <xdr14:xfrm>
            <a:off x="9897660" y="28682100"/>
            <a:ext cx="180" cy="180"/>
          </xdr14:xfrm>
        </xdr:contentPart>
      </mc:Choice>
      <mc:Fallback xmlns="">
        <xdr:pic>
          <xdr:nvPicPr>
            <xdr:cNvPr id="135" name="Ink 134">
              <a:extLst>
                <a:ext uri="{FF2B5EF4-FFF2-40B4-BE49-F238E27FC236}">
                  <a16:creationId xmlns:a16="http://schemas.microsoft.com/office/drawing/2014/main" id="{8618AC28-8040-44AE-923A-FE406CDB1F49}"/>
                </a:ext>
              </a:extLst>
            </xdr:cNvPr>
            <xdr:cNvPicPr/>
          </xdr:nvPicPr>
          <xdr:blipFill/>
          <xdr:spPr/>
        </xdr:pic>
      </mc:Fallback>
    </mc:AlternateContent>
    <xdr:clientData/>
  </xdr:twoCellAnchor>
  <xdr:twoCellAnchor>
    <xdr:from>
      <xdr:col>7</xdr:col>
      <xdr:colOff>422250</xdr:colOff>
      <xdr:row>230</xdr:row>
      <xdr:rowOff>46080</xdr:rowOff>
    </xdr:from>
    <xdr:to>
      <xdr:col>7</xdr:col>
      <xdr:colOff>422430</xdr:colOff>
      <xdr:row>230</xdr:row>
      <xdr:rowOff>46260</xdr:rowOff>
    </xdr:to>
    <mc:AlternateContent xmlns:mc="http://schemas.openxmlformats.org/markup-compatibility/2006" xmlns:xdr14="http://schemas.microsoft.com/office/excel/2010/spreadsheetDrawing">
      <mc:Choice Requires="xdr14">
        <xdr:contentPart xmlns:r="http://schemas.openxmlformats.org/officeDocument/2006/relationships" r:id="rId116">
          <xdr14:nvContentPartPr>
            <xdr14:cNvPr id="137" name="Ink 136">
              <a:extLst>
                <a:ext uri="{FF2B5EF4-FFF2-40B4-BE49-F238E27FC236}">
                  <a16:creationId xmlns:a16="http://schemas.microsoft.com/office/drawing/2014/main" id="{556293DA-EE36-4147-AF9C-28B4E726D6D9}"/>
                </a:ext>
              </a:extLst>
            </xdr14:cNvPr>
            <xdr14:cNvContentPartPr/>
          </xdr14:nvContentPartPr>
          <xdr14:nvPr macro=""/>
          <xdr14:xfrm>
            <a:off x="10233000" y="28621080"/>
            <a:ext cx="180" cy="180"/>
          </xdr14:xfrm>
        </xdr:contentPart>
      </mc:Choice>
      <mc:Fallback xmlns="">
        <xdr:pic>
          <xdr:nvPicPr>
            <xdr:cNvPr id="137" name="Ink 136">
              <a:extLst>
                <a:ext uri="{FF2B5EF4-FFF2-40B4-BE49-F238E27FC236}">
                  <a16:creationId xmlns:a16="http://schemas.microsoft.com/office/drawing/2014/main" id="{556293DA-EE36-4147-AF9C-28B4E726D6D9}"/>
                </a:ext>
              </a:extLst>
            </xdr:cNvPr>
            <xdr:cNvPicPr/>
          </xdr:nvPicPr>
          <xdr:blipFill/>
          <xdr:spPr/>
        </xdr:pic>
      </mc:Fallback>
    </mc:AlternateContent>
    <xdr:clientData/>
  </xdr:twoCellAnchor>
  <xdr:twoCellAnchor>
    <xdr:from>
      <xdr:col>2</xdr:col>
      <xdr:colOff>703983</xdr:colOff>
      <xdr:row>359</xdr:row>
      <xdr:rowOff>51830</xdr:rowOff>
    </xdr:from>
    <xdr:to>
      <xdr:col>4</xdr:col>
      <xdr:colOff>454478</xdr:colOff>
      <xdr:row>362</xdr:row>
      <xdr:rowOff>156667</xdr:rowOff>
    </xdr:to>
    <xdr:sp macro="" textlink="">
      <xdr:nvSpPr>
        <xdr:cNvPr id="6" name="TextBox 5">
          <a:extLst>
            <a:ext uri="{FF2B5EF4-FFF2-40B4-BE49-F238E27FC236}">
              <a16:creationId xmlns:a16="http://schemas.microsoft.com/office/drawing/2014/main" id="{DBA0741E-A262-4EED-B877-12938FF5D21D}"/>
            </a:ext>
          </a:extLst>
        </xdr:cNvPr>
        <xdr:cNvSpPr txBox="1"/>
      </xdr:nvSpPr>
      <xdr:spPr>
        <a:xfrm>
          <a:off x="1261196" y="51329668"/>
          <a:ext cx="1284020" cy="6048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a:t>10 year annual </a:t>
          </a:r>
          <a:r>
            <a:rPr lang="en-NZ" sz="1100"/>
            <a:t>averages</a:t>
          </a:r>
          <a:r>
            <a:rPr lang="en-NZ" sz="1000"/>
            <a:t>:</a:t>
          </a:r>
        </a:p>
        <a:p>
          <a:r>
            <a:rPr lang="en-NZ" sz="1000"/>
            <a:t>WHS          -8.6% pa</a:t>
          </a:r>
        </a:p>
        <a:p>
          <a:r>
            <a:rPr lang="en-NZ" sz="1000"/>
            <a:t>BGR           +10.2% pa</a:t>
          </a:r>
        </a:p>
        <a:p>
          <a:endParaRPr lang="en-NZ" sz="1100"/>
        </a:p>
      </xdr:txBody>
    </xdr:sp>
    <xdr:clientData/>
  </xdr:twoCellAnchor>
  <xdr:twoCellAnchor>
    <xdr:from>
      <xdr:col>14</xdr:col>
      <xdr:colOff>327000</xdr:colOff>
      <xdr:row>14</xdr:row>
      <xdr:rowOff>32347</xdr:rowOff>
    </xdr:from>
    <xdr:to>
      <xdr:col>14</xdr:col>
      <xdr:colOff>327180</xdr:colOff>
      <xdr:row>14</xdr:row>
      <xdr:rowOff>32527</xdr:rowOff>
    </xdr:to>
    <mc:AlternateContent xmlns:mc="http://schemas.openxmlformats.org/markup-compatibility/2006" xmlns:xdr14="http://schemas.microsoft.com/office/excel/2010/spreadsheetDrawing">
      <mc:Choice Requires="xdr14">
        <xdr:contentPart xmlns:r="http://schemas.openxmlformats.org/officeDocument/2006/relationships" r:id="rId117">
          <xdr14:nvContentPartPr>
            <xdr14:cNvPr id="3" name="Ink 2">
              <a:extLst>
                <a:ext uri="{FF2B5EF4-FFF2-40B4-BE49-F238E27FC236}">
                  <a16:creationId xmlns:a16="http://schemas.microsoft.com/office/drawing/2014/main" id="{2A3C8170-92A9-4563-80F2-7528F8D9F4C7}"/>
                </a:ext>
              </a:extLst>
            </xdr14:cNvPr>
            <xdr14:cNvContentPartPr/>
          </xdr14:nvContentPartPr>
          <xdr14:nvPr macro=""/>
          <xdr14:xfrm>
            <a:off x="9547200" y="1656360"/>
            <a:ext cx="180" cy="180"/>
          </xdr14:xfrm>
        </xdr:contentPart>
      </mc:Choice>
      <mc:Fallback xmlns="">
        <xdr:pic>
          <xdr:nvPicPr>
            <xdr:cNvPr id="3" name="Ink 2">
              <a:extLst>
                <a:ext uri="{FF2B5EF4-FFF2-40B4-BE49-F238E27FC236}">
                  <a16:creationId xmlns:a16="http://schemas.microsoft.com/office/drawing/2014/main" id="{2A3C8170-92A9-4563-80F2-7528F8D9F4C7}"/>
                </a:ext>
              </a:extLst>
            </xdr:cNvPr>
            <xdr:cNvPicPr/>
          </xdr:nvPicPr>
          <xdr:blipFill/>
          <xdr:spPr/>
        </xdr:pic>
      </mc:Fallback>
    </mc:AlternateContent>
    <xdr:clientData/>
  </xdr:twoCellAnchor>
  <xdr:twoCellAnchor>
    <xdr:from>
      <xdr:col>0</xdr:col>
      <xdr:colOff>776932</xdr:colOff>
      <xdr:row>19</xdr:row>
      <xdr:rowOff>120277</xdr:rowOff>
    </xdr:from>
    <xdr:to>
      <xdr:col>0</xdr:col>
      <xdr:colOff>777112</xdr:colOff>
      <xdr:row>19</xdr:row>
      <xdr:rowOff>120457</xdr:rowOff>
    </xdr:to>
    <mc:AlternateContent xmlns:mc="http://schemas.openxmlformats.org/markup-compatibility/2006" xmlns:xdr14="http://schemas.microsoft.com/office/excel/2010/spreadsheetDrawing">
      <mc:Choice Requires="xdr14">
        <xdr:contentPart xmlns:r="http://schemas.openxmlformats.org/officeDocument/2006/relationships" r:id="rId118">
          <xdr14:nvContentPartPr>
            <xdr14:cNvPr id="9" name="Ink 8">
              <a:extLst>
                <a:ext uri="{FF2B5EF4-FFF2-40B4-BE49-F238E27FC236}">
                  <a16:creationId xmlns:a16="http://schemas.microsoft.com/office/drawing/2014/main" id="{D5DB12CA-B042-4FA6-B428-2E4F4A670F03}"/>
                </a:ext>
              </a:extLst>
            </xdr14:cNvPr>
            <xdr14:cNvContentPartPr/>
          </xdr14:nvContentPartPr>
          <xdr14:nvPr macro=""/>
          <xdr14:xfrm>
            <a:off x="5210820" y="2715840"/>
            <a:ext cx="180" cy="180"/>
          </xdr14:xfrm>
        </xdr:contentPart>
      </mc:Choice>
      <mc:Fallback xmlns="">
        <xdr:pic>
          <xdr:nvPicPr>
            <xdr:cNvPr id="9" name="Ink 8">
              <a:extLst>
                <a:ext uri="{FF2B5EF4-FFF2-40B4-BE49-F238E27FC236}">
                  <a16:creationId xmlns:a16="http://schemas.microsoft.com/office/drawing/2014/main" id="{D5DB12CA-B042-4FA6-B428-2E4F4A670F03}"/>
                </a:ext>
              </a:extLst>
            </xdr:cNvPr>
            <xdr:cNvPicPr/>
          </xdr:nvPicPr>
          <xdr:blipFill/>
          <xdr:spPr/>
        </xdr:pic>
      </mc:Fallback>
    </mc:AlternateContent>
    <xdr:clientData/>
  </xdr:twoCellAnchor>
  <xdr:twoCellAnchor>
    <xdr:from>
      <xdr:col>1</xdr:col>
      <xdr:colOff>761632</xdr:colOff>
      <xdr:row>19</xdr:row>
      <xdr:rowOff>120277</xdr:rowOff>
    </xdr:from>
    <xdr:to>
      <xdr:col>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19">
          <xdr14:nvContentPartPr>
            <xdr14:cNvPr id="13" name="Ink 12">
              <a:extLst>
                <a:ext uri="{FF2B5EF4-FFF2-40B4-BE49-F238E27FC236}">
                  <a16:creationId xmlns:a16="http://schemas.microsoft.com/office/drawing/2014/main" id="{7ACE90E3-A610-4758-A9EC-BA5AA5942B0B}"/>
                </a:ext>
              </a:extLst>
            </xdr14:cNvPr>
            <xdr14:cNvContentPartPr/>
          </xdr14:nvContentPartPr>
          <xdr14:nvPr macro=""/>
          <xdr14:xfrm>
            <a:off x="5195520" y="2715840"/>
            <a:ext cx="360" cy="360"/>
          </xdr14:xfrm>
        </xdr:contentPart>
      </mc:Choice>
      <mc:Fallback xmlns="">
        <xdr:pic>
          <xdr:nvPicPr>
            <xdr:cNvPr id="13" name="Ink 12">
              <a:extLst>
                <a:ext uri="{FF2B5EF4-FFF2-40B4-BE49-F238E27FC236}">
                  <a16:creationId xmlns:a16="http://schemas.microsoft.com/office/drawing/2014/main" id="{7ACE90E3-A610-4758-A9EC-BA5AA5942B0B}"/>
                </a:ext>
              </a:extLst>
            </xdr:cNvPr>
            <xdr:cNvPicPr/>
          </xdr:nvPicPr>
          <xdr:blipFill/>
          <xdr:spPr/>
        </xdr:pic>
      </mc:Fallback>
    </mc:AlternateContent>
    <xdr:clientData/>
  </xdr:twoCellAnchor>
  <xdr:twoCellAnchor>
    <xdr:from>
      <xdr:col>1</xdr:col>
      <xdr:colOff>761632</xdr:colOff>
      <xdr:row>19</xdr:row>
      <xdr:rowOff>120277</xdr:rowOff>
    </xdr:from>
    <xdr:to>
      <xdr:col>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20">
          <xdr14:nvContentPartPr>
            <xdr14:cNvPr id="16" name="Ink 15">
              <a:extLst>
                <a:ext uri="{FF2B5EF4-FFF2-40B4-BE49-F238E27FC236}">
                  <a16:creationId xmlns:a16="http://schemas.microsoft.com/office/drawing/2014/main" id="{433B03B0-DE66-4500-A8B7-4859F84A94DB}"/>
                </a:ext>
              </a:extLst>
            </xdr14:cNvPr>
            <xdr14:cNvContentPartPr/>
          </xdr14:nvContentPartPr>
          <xdr14:nvPr macro=""/>
          <xdr14:xfrm>
            <a:off x="5195520" y="2715840"/>
            <a:ext cx="360" cy="360"/>
          </xdr14:xfrm>
        </xdr:contentPart>
      </mc:Choice>
      <mc:Fallback xmlns="">
        <xdr:pic>
          <xdr:nvPicPr>
            <xdr:cNvPr id="16" name="Ink 15">
              <a:extLst>
                <a:ext uri="{FF2B5EF4-FFF2-40B4-BE49-F238E27FC236}">
                  <a16:creationId xmlns:a16="http://schemas.microsoft.com/office/drawing/2014/main" id="{433B03B0-DE66-4500-A8B7-4859F84A94DB}"/>
                </a:ext>
              </a:extLst>
            </xdr:cNvPr>
            <xdr:cNvPicPr/>
          </xdr:nvPicPr>
          <xdr:blipFill/>
          <xdr:spPr/>
        </xdr:pic>
      </mc:Fallback>
    </mc:AlternateContent>
    <xdr:clientData/>
  </xdr:twoCellAnchor>
  <xdr:twoCellAnchor>
    <xdr:from>
      <xdr:col>1</xdr:col>
      <xdr:colOff>761632</xdr:colOff>
      <xdr:row>19</xdr:row>
      <xdr:rowOff>120277</xdr:rowOff>
    </xdr:from>
    <xdr:to>
      <xdr:col>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21">
          <xdr14:nvContentPartPr>
            <xdr14:cNvPr id="21" name="Ink 20">
              <a:extLst>
                <a:ext uri="{FF2B5EF4-FFF2-40B4-BE49-F238E27FC236}">
                  <a16:creationId xmlns:a16="http://schemas.microsoft.com/office/drawing/2014/main" id="{0F04A798-0868-48E3-8164-DFAC75680836}"/>
                </a:ext>
              </a:extLst>
            </xdr14:cNvPr>
            <xdr14:cNvContentPartPr/>
          </xdr14:nvContentPartPr>
          <xdr14:nvPr macro=""/>
          <xdr14:xfrm>
            <a:off x="5195520" y="2715840"/>
            <a:ext cx="360" cy="360"/>
          </xdr14:xfrm>
        </xdr:contentPart>
      </mc:Choice>
      <mc:Fallback xmlns="">
        <xdr:pic>
          <xdr:nvPicPr>
            <xdr:cNvPr id="21" name="Ink 20">
              <a:extLst>
                <a:ext uri="{FF2B5EF4-FFF2-40B4-BE49-F238E27FC236}">
                  <a16:creationId xmlns:a16="http://schemas.microsoft.com/office/drawing/2014/main" id="{0F04A798-0868-48E3-8164-DFAC75680836}"/>
                </a:ext>
              </a:extLst>
            </xdr:cNvPr>
            <xdr:cNvPicPr/>
          </xdr:nvPicPr>
          <xdr:blipFill/>
          <xdr:spPr/>
        </xdr:pic>
      </mc:Fallback>
    </mc:AlternateContent>
    <xdr:clientData/>
  </xdr:twoCellAnchor>
  <xdr:twoCellAnchor>
    <xdr:from>
      <xdr:col>7</xdr:col>
      <xdr:colOff>266100</xdr:colOff>
      <xdr:row>45</xdr:row>
      <xdr:rowOff>150577</xdr:rowOff>
    </xdr:from>
    <xdr:to>
      <xdr:col>7</xdr:col>
      <xdr:colOff>266280</xdr:colOff>
      <xdr:row>45</xdr:row>
      <xdr:rowOff>150757</xdr:rowOff>
    </xdr:to>
    <mc:AlternateContent xmlns:mc="http://schemas.openxmlformats.org/markup-compatibility/2006" xmlns:xdr14="http://schemas.microsoft.com/office/excel/2010/spreadsheetDrawing">
      <mc:Choice Requires="xdr14">
        <xdr:contentPart xmlns:r="http://schemas.openxmlformats.org/officeDocument/2006/relationships" r:id="rId122">
          <xdr14:nvContentPartPr>
            <xdr14:cNvPr id="27" name="Ink 26">
              <a:extLst>
                <a:ext uri="{FF2B5EF4-FFF2-40B4-BE49-F238E27FC236}">
                  <a16:creationId xmlns:a16="http://schemas.microsoft.com/office/drawing/2014/main" id="{F0F2191A-6F02-4250-A88B-B91A9C098444}"/>
                </a:ext>
              </a:extLst>
            </xdr14:cNvPr>
            <xdr14:cNvContentPartPr/>
          </xdr14:nvContentPartPr>
          <xdr14:nvPr macro=""/>
          <xdr14:xfrm>
            <a:off x="10134000" y="2098440"/>
            <a:ext cx="180" cy="180"/>
          </xdr14:xfrm>
        </xdr:contentPart>
      </mc:Choice>
      <mc:Fallback xmlns="">
        <xdr:pic>
          <xdr:nvPicPr>
            <xdr:cNvPr id="27" name="Ink 26">
              <a:extLst>
                <a:ext uri="{FF2B5EF4-FFF2-40B4-BE49-F238E27FC236}">
                  <a16:creationId xmlns:a16="http://schemas.microsoft.com/office/drawing/2014/main" id="{F0F2191A-6F02-4250-A88B-B91A9C098444}"/>
                </a:ext>
              </a:extLst>
            </xdr:cNvPr>
            <xdr:cNvPicPr/>
          </xdr:nvPicPr>
          <xdr:blipFill/>
          <xdr:spPr/>
        </xdr:pic>
      </mc:Fallback>
    </mc:AlternateContent>
    <xdr:clientData/>
  </xdr:twoCellAnchor>
  <xdr:twoCellAnchor>
    <xdr:from>
      <xdr:col>0</xdr:col>
      <xdr:colOff>681038</xdr:colOff>
      <xdr:row>230</xdr:row>
      <xdr:rowOff>152400</xdr:rowOff>
    </xdr:from>
    <xdr:to>
      <xdr:col>6</xdr:col>
      <xdr:colOff>609600</xdr:colOff>
      <xdr:row>244</xdr:row>
      <xdr:rowOff>54618</xdr:rowOff>
    </xdr:to>
    <xdr:graphicFrame macro="">
      <xdr:nvGraphicFramePr>
        <xdr:cNvPr id="77" name="Chart 76">
          <a:extLst>
            <a:ext uri="{FF2B5EF4-FFF2-40B4-BE49-F238E27FC236}">
              <a16:creationId xmlns:a16="http://schemas.microsoft.com/office/drawing/2014/main" id="{D4255139-A1A8-4C3E-BB09-9CEA19B114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1</xdr:col>
      <xdr:colOff>479649</xdr:colOff>
      <xdr:row>232</xdr:row>
      <xdr:rowOff>4763</xdr:rowOff>
    </xdr:from>
    <xdr:to>
      <xdr:col>3</xdr:col>
      <xdr:colOff>538163</xdr:colOff>
      <xdr:row>233</xdr:row>
      <xdr:rowOff>100013</xdr:rowOff>
    </xdr:to>
    <xdr:sp macro="" textlink="">
      <xdr:nvSpPr>
        <xdr:cNvPr id="78" name="TextBox 77">
          <a:extLst>
            <a:ext uri="{FF2B5EF4-FFF2-40B4-BE49-F238E27FC236}">
              <a16:creationId xmlns:a16="http://schemas.microsoft.com/office/drawing/2014/main" id="{CEF7F9A0-1093-4B14-9F4B-4EABD8A14011}"/>
            </a:ext>
          </a:extLst>
        </xdr:cNvPr>
        <xdr:cNvSpPr txBox="1"/>
      </xdr:nvSpPr>
      <xdr:spPr>
        <a:xfrm>
          <a:off x="5404074" y="31961138"/>
          <a:ext cx="1287239" cy="257175"/>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b="1">
              <a:solidFill>
                <a:srgbClr val="FF0000"/>
              </a:solidFill>
              <a:latin typeface="Arial Narrow" panose="020B0606020202030204" pitchFamily="34" charset="0"/>
            </a:rPr>
            <a:t>WHS  gap was +286m</a:t>
          </a:r>
        </a:p>
      </xdr:txBody>
    </xdr:sp>
    <xdr:clientData/>
  </xdr:twoCellAnchor>
  <xdr:twoCellAnchor>
    <xdr:from>
      <xdr:col>4</xdr:col>
      <xdr:colOff>423862</xdr:colOff>
      <xdr:row>231</xdr:row>
      <xdr:rowOff>116094</xdr:rowOff>
    </xdr:from>
    <xdr:to>
      <xdr:col>6</xdr:col>
      <xdr:colOff>576262</xdr:colOff>
      <xdr:row>233</xdr:row>
      <xdr:rowOff>48056</xdr:rowOff>
    </xdr:to>
    <xdr:sp macro="" textlink="">
      <xdr:nvSpPr>
        <xdr:cNvPr id="115" name="TextBox 114">
          <a:extLst>
            <a:ext uri="{FF2B5EF4-FFF2-40B4-BE49-F238E27FC236}">
              <a16:creationId xmlns:a16="http://schemas.microsoft.com/office/drawing/2014/main" id="{31341DB1-3911-413C-A019-384AA407370D}"/>
            </a:ext>
          </a:extLst>
        </xdr:cNvPr>
        <xdr:cNvSpPr txBox="1"/>
      </xdr:nvSpPr>
      <xdr:spPr>
        <a:xfrm>
          <a:off x="7191375" y="31910544"/>
          <a:ext cx="1381125" cy="255812"/>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b="1">
              <a:solidFill>
                <a:srgbClr val="0070C0"/>
              </a:solidFill>
              <a:latin typeface="Arial Narrow" panose="020B0606020202030204" pitchFamily="34" charset="0"/>
            </a:rPr>
            <a:t>RBG  gap now +391m</a:t>
          </a:r>
          <a:endParaRPr lang="en-NZ" sz="1000">
            <a:solidFill>
              <a:srgbClr val="0070C0"/>
            </a:solidFill>
            <a:latin typeface="Arial Narrow" panose="020B0606020202030204" pitchFamily="34" charset="0"/>
          </a:endParaRPr>
        </a:p>
      </xdr:txBody>
    </xdr:sp>
    <xdr:clientData/>
  </xdr:twoCellAnchor>
  <xdr:twoCellAnchor>
    <xdr:from>
      <xdr:col>0</xdr:col>
      <xdr:colOff>685799</xdr:colOff>
      <xdr:row>40</xdr:row>
      <xdr:rowOff>4575</xdr:rowOff>
    </xdr:from>
    <xdr:to>
      <xdr:col>7</xdr:col>
      <xdr:colOff>4762</xdr:colOff>
      <xdr:row>54</xdr:row>
      <xdr:rowOff>12369</xdr:rowOff>
    </xdr:to>
    <xdr:graphicFrame macro="">
      <xdr:nvGraphicFramePr>
        <xdr:cNvPr id="2" name="Chart 1">
          <a:extLst>
            <a:ext uri="{FF2B5EF4-FFF2-40B4-BE49-F238E27FC236}">
              <a16:creationId xmlns:a16="http://schemas.microsoft.com/office/drawing/2014/main" id="{8A4D9772-652F-4A5C-BE27-03A0702498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1</xdr:col>
      <xdr:colOff>3462</xdr:colOff>
      <xdr:row>9</xdr:row>
      <xdr:rowOff>6186</xdr:rowOff>
    </xdr:from>
    <xdr:to>
      <xdr:col>7</xdr:col>
      <xdr:colOff>4764</xdr:colOff>
      <xdr:row>23</xdr:row>
      <xdr:rowOff>12370</xdr:rowOff>
    </xdr:to>
    <xdr:graphicFrame macro="">
      <xdr:nvGraphicFramePr>
        <xdr:cNvPr id="14" name="Chart 13">
          <a:extLst>
            <a:ext uri="{FF2B5EF4-FFF2-40B4-BE49-F238E27FC236}">
              <a16:creationId xmlns:a16="http://schemas.microsoft.com/office/drawing/2014/main" id="{4934D8E3-1A49-4A2B-8708-B8A8900296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1</xdr:col>
      <xdr:colOff>12184</xdr:colOff>
      <xdr:row>99</xdr:row>
      <xdr:rowOff>161925</xdr:rowOff>
    </xdr:from>
    <xdr:to>
      <xdr:col>7</xdr:col>
      <xdr:colOff>4762</xdr:colOff>
      <xdr:row>114</xdr:row>
      <xdr:rowOff>4762</xdr:rowOff>
    </xdr:to>
    <xdr:graphicFrame macro="">
      <xdr:nvGraphicFramePr>
        <xdr:cNvPr id="20" name="Chart 19">
          <a:extLst>
            <a:ext uri="{FF2B5EF4-FFF2-40B4-BE49-F238E27FC236}">
              <a16:creationId xmlns:a16="http://schemas.microsoft.com/office/drawing/2014/main" id="{86DE2FB2-731A-44C1-AB7F-56449F53C3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3</xdr:col>
      <xdr:colOff>61913</xdr:colOff>
      <xdr:row>110</xdr:row>
      <xdr:rowOff>95250</xdr:rowOff>
    </xdr:from>
    <xdr:to>
      <xdr:col>4</xdr:col>
      <xdr:colOff>490538</xdr:colOff>
      <xdr:row>112</xdr:row>
      <xdr:rowOff>4762</xdr:rowOff>
    </xdr:to>
    <xdr:sp macro="" textlink="">
      <xdr:nvSpPr>
        <xdr:cNvPr id="23" name="TextBox 22">
          <a:extLst>
            <a:ext uri="{FF2B5EF4-FFF2-40B4-BE49-F238E27FC236}">
              <a16:creationId xmlns:a16="http://schemas.microsoft.com/office/drawing/2014/main" id="{0BD292ED-1F52-4BD0-8405-110428B94A27}"/>
            </a:ext>
          </a:extLst>
        </xdr:cNvPr>
        <xdr:cNvSpPr txBox="1"/>
      </xdr:nvSpPr>
      <xdr:spPr>
        <a:xfrm>
          <a:off x="6157913" y="20012025"/>
          <a:ext cx="1042988" cy="242887"/>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Cost </a:t>
          </a:r>
          <a:r>
            <a:rPr lang="en-NZ" sz="1100" b="1">
              <a:latin typeface="Arial Narrow" panose="020B0606020202030204" pitchFamily="34" charset="0"/>
            </a:rPr>
            <a:t>of</a:t>
          </a:r>
          <a:r>
            <a:rPr lang="en-NZ" sz="1100" b="1"/>
            <a:t> </a:t>
          </a:r>
          <a:r>
            <a:rPr lang="en-NZ" sz="1100" b="1">
              <a:latin typeface="Arial Narrow" panose="020B0606020202030204" pitchFamily="34" charset="0"/>
            </a:rPr>
            <a:t>Capital</a:t>
          </a:r>
        </a:p>
      </xdr:txBody>
    </xdr:sp>
    <xdr:clientData/>
  </xdr:twoCellAnchor>
  <xdr:twoCellAnchor>
    <xdr:from>
      <xdr:col>4</xdr:col>
      <xdr:colOff>304800</xdr:colOff>
      <xdr:row>106</xdr:row>
      <xdr:rowOff>114300</xdr:rowOff>
    </xdr:from>
    <xdr:to>
      <xdr:col>6</xdr:col>
      <xdr:colOff>276224</xdr:colOff>
      <xdr:row>108</xdr:row>
      <xdr:rowOff>28575</xdr:rowOff>
    </xdr:to>
    <xdr:sp macro="" textlink="">
      <xdr:nvSpPr>
        <xdr:cNvPr id="28" name="TextBox 27">
          <a:extLst>
            <a:ext uri="{FF2B5EF4-FFF2-40B4-BE49-F238E27FC236}">
              <a16:creationId xmlns:a16="http://schemas.microsoft.com/office/drawing/2014/main" id="{84D55F9B-B970-4259-944B-AE85B6B3E824}"/>
            </a:ext>
          </a:extLst>
        </xdr:cNvPr>
        <xdr:cNvSpPr txBox="1"/>
      </xdr:nvSpPr>
      <xdr:spPr>
        <a:xfrm>
          <a:off x="7072313" y="18211800"/>
          <a:ext cx="1200149" cy="247650"/>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b="0">
              <a:latin typeface="Arial Narrow" panose="020B0606020202030204" pitchFamily="34" charset="0"/>
            </a:rPr>
            <a:t>2017 Spread +12.3%</a:t>
          </a:r>
        </a:p>
      </xdr:txBody>
    </xdr:sp>
    <xdr:clientData/>
  </xdr:twoCellAnchor>
  <xdr:twoCellAnchor>
    <xdr:from>
      <xdr:col>1</xdr:col>
      <xdr:colOff>15709</xdr:colOff>
      <xdr:row>161</xdr:row>
      <xdr:rowOff>33338</xdr:rowOff>
    </xdr:from>
    <xdr:to>
      <xdr:col>7</xdr:col>
      <xdr:colOff>23812</xdr:colOff>
      <xdr:row>175</xdr:row>
      <xdr:rowOff>138112</xdr:rowOff>
    </xdr:to>
    <xdr:graphicFrame macro="">
      <xdr:nvGraphicFramePr>
        <xdr:cNvPr id="41" name="Chart 40">
          <a:extLst>
            <a:ext uri="{FF2B5EF4-FFF2-40B4-BE49-F238E27FC236}">
              <a16:creationId xmlns:a16="http://schemas.microsoft.com/office/drawing/2014/main" id="{B125AD7C-4ED9-4924-9864-0DFC6B8612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oneCellAnchor>
    <xdr:from>
      <xdr:col>4</xdr:col>
      <xdr:colOff>686542</xdr:colOff>
      <xdr:row>171</xdr:row>
      <xdr:rowOff>55665</xdr:rowOff>
    </xdr:from>
    <xdr:ext cx="184731" cy="264560"/>
    <xdr:sp macro="" textlink="">
      <xdr:nvSpPr>
        <xdr:cNvPr id="53" name="TextBox 52">
          <a:extLst>
            <a:ext uri="{FF2B5EF4-FFF2-40B4-BE49-F238E27FC236}">
              <a16:creationId xmlns:a16="http://schemas.microsoft.com/office/drawing/2014/main" id="{EED12A4B-1C85-4D69-A2D3-CAD14A71943B}"/>
            </a:ext>
          </a:extLst>
        </xdr:cNvPr>
        <xdr:cNvSpPr txBox="1"/>
      </xdr:nvSpPr>
      <xdr:spPr>
        <a:xfrm>
          <a:off x="6372967" y="31002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NZ" sz="1100"/>
        </a:p>
      </xdr:txBody>
    </xdr:sp>
    <xdr:clientData/>
  </xdr:oneCellAnchor>
  <xdr:twoCellAnchor>
    <xdr:from>
      <xdr:col>7</xdr:col>
      <xdr:colOff>6188</xdr:colOff>
      <xdr:row>161</xdr:row>
      <xdr:rowOff>19051</xdr:rowOff>
    </xdr:from>
    <xdr:to>
      <xdr:col>13</xdr:col>
      <xdr:colOff>0</xdr:colOff>
      <xdr:row>175</xdr:row>
      <xdr:rowOff>157162</xdr:rowOff>
    </xdr:to>
    <xdr:graphicFrame macro="">
      <xdr:nvGraphicFramePr>
        <xdr:cNvPr id="65" name="Chart 64">
          <a:extLst>
            <a:ext uri="{FF2B5EF4-FFF2-40B4-BE49-F238E27FC236}">
              <a16:creationId xmlns:a16="http://schemas.microsoft.com/office/drawing/2014/main" id="{819B4B6C-801D-4CA0-B3DE-7C242C5F02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0</xdr:col>
      <xdr:colOff>112089</xdr:colOff>
      <xdr:row>510</xdr:row>
      <xdr:rowOff>210402</xdr:rowOff>
    </xdr:from>
    <xdr:to>
      <xdr:col>7</xdr:col>
      <xdr:colOff>477950</xdr:colOff>
      <xdr:row>530</xdr:row>
      <xdr:rowOff>12756</xdr:rowOff>
    </xdr:to>
    <xdr:graphicFrame macro="">
      <xdr:nvGraphicFramePr>
        <xdr:cNvPr id="102" name="Chart 101">
          <a:extLst>
            <a:ext uri="{FF2B5EF4-FFF2-40B4-BE49-F238E27FC236}">
              <a16:creationId xmlns:a16="http://schemas.microsoft.com/office/drawing/2014/main" id="{BCB3D6C8-7DF6-42F5-9938-5FDEA5421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7</xdr:col>
      <xdr:colOff>187875</xdr:colOff>
      <xdr:row>271</xdr:row>
      <xdr:rowOff>112072</xdr:rowOff>
    </xdr:from>
    <xdr:to>
      <xdr:col>7</xdr:col>
      <xdr:colOff>188055</xdr:colOff>
      <xdr:row>271</xdr:row>
      <xdr:rowOff>112252</xdr:rowOff>
    </xdr:to>
    <mc:AlternateContent xmlns:mc="http://schemas.openxmlformats.org/markup-compatibility/2006" xmlns:xdr14="http://schemas.microsoft.com/office/excel/2010/spreadsheetDrawing">
      <mc:Choice Requires="xdr14">
        <xdr:contentPart xmlns:r="http://schemas.openxmlformats.org/officeDocument/2006/relationships" r:id="rId130">
          <xdr14:nvContentPartPr>
            <xdr14:cNvPr id="105" name="Ink 104">
              <a:extLst>
                <a:ext uri="{FF2B5EF4-FFF2-40B4-BE49-F238E27FC236}">
                  <a16:creationId xmlns:a16="http://schemas.microsoft.com/office/drawing/2014/main" id="{AA6E08CD-A03D-475F-9EFF-8AFB8ACF4DB3}"/>
                </a:ext>
              </a:extLst>
            </xdr14:cNvPr>
            <xdr14:cNvContentPartPr/>
          </xdr14:nvContentPartPr>
          <xdr14:nvPr macro=""/>
          <xdr14:xfrm>
            <a:off x="10217700" y="28358460"/>
            <a:ext cx="180" cy="180"/>
          </xdr14:xfrm>
        </xdr:contentPart>
      </mc:Choice>
      <mc:Fallback xmlns="">
        <xdr:pic>
          <xdr:nvPicPr>
            <xdr:cNvPr id="87" name="Ink 86">
              <a:extLst>
                <a:ext uri="{FF2B5EF4-FFF2-40B4-BE49-F238E27FC236}">
                  <a16:creationId xmlns:a16="http://schemas.microsoft.com/office/drawing/2014/main" id="{4C9F0805-1F91-421D-B0AE-A70EA7B409C4}"/>
                </a:ext>
              </a:extLst>
            </xdr:cNvPr>
            <xdr:cNvPicPr/>
          </xdr:nvPicPr>
          <xdr:blipFill/>
          <xdr:spPr/>
        </xdr:pic>
      </mc:Fallback>
    </mc:AlternateContent>
    <xdr:clientData/>
  </xdr:twoCellAnchor>
  <xdr:twoCellAnchor>
    <xdr:from>
      <xdr:col>5</xdr:col>
      <xdr:colOff>419101</xdr:colOff>
      <xdr:row>163</xdr:row>
      <xdr:rowOff>0</xdr:rowOff>
    </xdr:from>
    <xdr:to>
      <xdr:col>6</xdr:col>
      <xdr:colOff>9525</xdr:colOff>
      <xdr:row>164</xdr:row>
      <xdr:rowOff>128588</xdr:rowOff>
    </xdr:to>
    <xdr:sp macro="" textlink="">
      <xdr:nvSpPr>
        <xdr:cNvPr id="107" name="TextBox 106">
          <a:extLst>
            <a:ext uri="{FF2B5EF4-FFF2-40B4-BE49-F238E27FC236}">
              <a16:creationId xmlns:a16="http://schemas.microsoft.com/office/drawing/2014/main" id="{C582430E-CA47-4747-8EA1-7A70E730F80D}"/>
            </a:ext>
          </a:extLst>
        </xdr:cNvPr>
        <xdr:cNvSpPr txBox="1"/>
      </xdr:nvSpPr>
      <xdr:spPr>
        <a:xfrm>
          <a:off x="6515101" y="27346275"/>
          <a:ext cx="204787" cy="290513"/>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b="1" i="0" u="none" strike="noStrike">
              <a:solidFill>
                <a:srgbClr val="FF0000"/>
              </a:solidFill>
              <a:effectLst/>
              <a:latin typeface="+mn-lt"/>
              <a:ea typeface="+mn-ea"/>
              <a:cs typeface="+mn-cs"/>
            </a:rPr>
            <a:t>?</a:t>
          </a:r>
          <a:r>
            <a:rPr lang="en-NZ" sz="1200">
              <a:solidFill>
                <a:srgbClr val="FF0000"/>
              </a:solidFill>
            </a:rPr>
            <a:t> </a:t>
          </a:r>
        </a:p>
      </xdr:txBody>
    </xdr:sp>
    <xdr:clientData/>
  </xdr:twoCellAnchor>
  <xdr:twoCellAnchor>
    <xdr:from>
      <xdr:col>6</xdr:col>
      <xdr:colOff>295275</xdr:colOff>
      <xdr:row>104</xdr:row>
      <xdr:rowOff>119062</xdr:rowOff>
    </xdr:from>
    <xdr:to>
      <xdr:col>6</xdr:col>
      <xdr:colOff>295275</xdr:colOff>
      <xdr:row>106</xdr:row>
      <xdr:rowOff>52388</xdr:rowOff>
    </xdr:to>
    <xdr:cxnSp macro="">
      <xdr:nvCxnSpPr>
        <xdr:cNvPr id="33" name="Straight Arrow Connector 32">
          <a:extLst>
            <a:ext uri="{FF2B5EF4-FFF2-40B4-BE49-F238E27FC236}">
              <a16:creationId xmlns:a16="http://schemas.microsoft.com/office/drawing/2014/main" id="{42F8D5C6-27A3-4551-826A-E1A75D3D6A5E}"/>
            </a:ext>
          </a:extLst>
        </xdr:cNvPr>
        <xdr:cNvCxnSpPr/>
      </xdr:nvCxnSpPr>
      <xdr:spPr>
        <a:xfrm flipV="1">
          <a:off x="8234363" y="18040350"/>
          <a:ext cx="0" cy="2667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295275</xdr:colOff>
      <xdr:row>107</xdr:row>
      <xdr:rowOff>9525</xdr:rowOff>
    </xdr:from>
    <xdr:to>
      <xdr:col>6</xdr:col>
      <xdr:colOff>304800</xdr:colOff>
      <xdr:row>108</xdr:row>
      <xdr:rowOff>138113</xdr:rowOff>
    </xdr:to>
    <xdr:cxnSp macro="">
      <xdr:nvCxnSpPr>
        <xdr:cNvPr id="39" name="Straight Arrow Connector 38">
          <a:extLst>
            <a:ext uri="{FF2B5EF4-FFF2-40B4-BE49-F238E27FC236}">
              <a16:creationId xmlns:a16="http://schemas.microsoft.com/office/drawing/2014/main" id="{97C6D538-FAAC-4E47-8A59-BE8B58C0D215}"/>
            </a:ext>
          </a:extLst>
        </xdr:cNvPr>
        <xdr:cNvCxnSpPr/>
      </xdr:nvCxnSpPr>
      <xdr:spPr>
        <a:xfrm>
          <a:off x="8291513" y="18273713"/>
          <a:ext cx="9525" cy="2952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452437</xdr:colOff>
      <xdr:row>275</xdr:row>
      <xdr:rowOff>157164</xdr:rowOff>
    </xdr:from>
    <xdr:to>
      <xdr:col>6</xdr:col>
      <xdr:colOff>33337</xdr:colOff>
      <xdr:row>276</xdr:row>
      <xdr:rowOff>33338</xdr:rowOff>
    </xdr:to>
    <xdr:cxnSp macro="">
      <xdr:nvCxnSpPr>
        <xdr:cNvPr id="46" name="Straight Arrow Connector 45">
          <a:extLst>
            <a:ext uri="{FF2B5EF4-FFF2-40B4-BE49-F238E27FC236}">
              <a16:creationId xmlns:a16="http://schemas.microsoft.com/office/drawing/2014/main" id="{A082ACDA-1122-4718-A9D1-B25A6F829666}"/>
            </a:ext>
          </a:extLst>
        </xdr:cNvPr>
        <xdr:cNvCxnSpPr/>
      </xdr:nvCxnSpPr>
      <xdr:spPr>
        <a:xfrm>
          <a:off x="7834312" y="38838189"/>
          <a:ext cx="195263" cy="38099"/>
        </a:xfrm>
        <a:prstGeom prst="straightConnector1">
          <a:avLst/>
        </a:prstGeom>
        <a:ln>
          <a:solidFill>
            <a:srgbClr val="E60019"/>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18030</xdr:colOff>
      <xdr:row>320</xdr:row>
      <xdr:rowOff>17009</xdr:rowOff>
    </xdr:from>
    <xdr:to>
      <xdr:col>7</xdr:col>
      <xdr:colOff>4763</xdr:colOff>
      <xdr:row>335</xdr:row>
      <xdr:rowOff>42523</xdr:rowOff>
    </xdr:to>
    <xdr:graphicFrame macro="">
      <xdr:nvGraphicFramePr>
        <xdr:cNvPr id="7" name="Chart 6">
          <a:extLst>
            <a:ext uri="{FF2B5EF4-FFF2-40B4-BE49-F238E27FC236}">
              <a16:creationId xmlns:a16="http://schemas.microsoft.com/office/drawing/2014/main" id="{0027E777-BDA3-44B8-A3C7-4C8A11728F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5</xdr:col>
      <xdr:colOff>514349</xdr:colOff>
      <xdr:row>26</xdr:row>
      <xdr:rowOff>80962</xdr:rowOff>
    </xdr:from>
    <xdr:to>
      <xdr:col>6</xdr:col>
      <xdr:colOff>609600</xdr:colOff>
      <xdr:row>27</xdr:row>
      <xdr:rowOff>152400</xdr:rowOff>
    </xdr:to>
    <xdr:sp macro="" textlink="">
      <xdr:nvSpPr>
        <xdr:cNvPr id="12" name="TextBox 11">
          <a:extLst>
            <a:ext uri="{FF2B5EF4-FFF2-40B4-BE49-F238E27FC236}">
              <a16:creationId xmlns:a16="http://schemas.microsoft.com/office/drawing/2014/main" id="{2392C0D6-F64A-4CC0-BF56-9FA9DDD926FF}"/>
            </a:ext>
          </a:extLst>
        </xdr:cNvPr>
        <xdr:cNvSpPr txBox="1"/>
      </xdr:nvSpPr>
      <xdr:spPr>
        <a:xfrm>
          <a:off x="7896224" y="5438775"/>
          <a:ext cx="709614" cy="233363"/>
        </a:xfrm>
        <a:prstGeom prst="rect">
          <a:avLst/>
        </a:prstGeom>
        <a:solidFill>
          <a:schemeClr val="accent1">
            <a:lumMod val="40000"/>
            <a:lumOff val="60000"/>
          </a:schemeClr>
        </a:solidFill>
        <a:ln w="9525"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ln>
                <a:solidFill>
                  <a:schemeClr val="lt1">
                    <a:shade val="50000"/>
                  </a:schemeClr>
                </a:solidFill>
              </a:ln>
            </a:rPr>
            <a:t>.....</a:t>
          </a:r>
        </a:p>
      </xdr:txBody>
    </xdr:sp>
    <xdr:clientData/>
  </xdr:twoCellAnchor>
  <xdr:twoCellAnchor>
    <xdr:from>
      <xdr:col>5</xdr:col>
      <xdr:colOff>561974</xdr:colOff>
      <xdr:row>57</xdr:row>
      <xdr:rowOff>95250</xdr:rowOff>
    </xdr:from>
    <xdr:to>
      <xdr:col>6</xdr:col>
      <xdr:colOff>609600</xdr:colOff>
      <xdr:row>59</xdr:row>
      <xdr:rowOff>0</xdr:rowOff>
    </xdr:to>
    <xdr:sp macro="" textlink="">
      <xdr:nvSpPr>
        <xdr:cNvPr id="122" name="TextBox 121">
          <a:extLst>
            <a:ext uri="{FF2B5EF4-FFF2-40B4-BE49-F238E27FC236}">
              <a16:creationId xmlns:a16="http://schemas.microsoft.com/office/drawing/2014/main" id="{5E4A1ACD-8663-490E-B356-56F8A30D92AD}"/>
            </a:ext>
          </a:extLst>
        </xdr:cNvPr>
        <xdr:cNvSpPr txBox="1"/>
      </xdr:nvSpPr>
      <xdr:spPr>
        <a:xfrm>
          <a:off x="7886699" y="11087100"/>
          <a:ext cx="661989" cy="22860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12</xdr:col>
      <xdr:colOff>38100</xdr:colOff>
      <xdr:row>174</xdr:row>
      <xdr:rowOff>147638</xdr:rowOff>
    </xdr:from>
    <xdr:to>
      <xdr:col>12</xdr:col>
      <xdr:colOff>747713</xdr:colOff>
      <xdr:row>176</xdr:row>
      <xdr:rowOff>128588</xdr:rowOff>
    </xdr:to>
    <xdr:sp macro="" textlink="">
      <xdr:nvSpPr>
        <xdr:cNvPr id="127" name="TextBox 126">
          <a:extLst>
            <a:ext uri="{FF2B5EF4-FFF2-40B4-BE49-F238E27FC236}">
              <a16:creationId xmlns:a16="http://schemas.microsoft.com/office/drawing/2014/main" id="{2085AEFC-6F7D-4D85-9AA0-D70F5228D246}"/>
            </a:ext>
          </a:extLst>
        </xdr:cNvPr>
        <xdr:cNvSpPr txBox="1"/>
      </xdr:nvSpPr>
      <xdr:spPr>
        <a:xfrm>
          <a:off x="10491788" y="28794076"/>
          <a:ext cx="709613" cy="304800"/>
        </a:xfrm>
        <a:prstGeom prst="rect">
          <a:avLst/>
        </a:prstGeom>
        <a:no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14</xdr:col>
      <xdr:colOff>409576</xdr:colOff>
      <xdr:row>287</xdr:row>
      <xdr:rowOff>128587</xdr:rowOff>
    </xdr:from>
    <xdr:to>
      <xdr:col>15</xdr:col>
      <xdr:colOff>504826</xdr:colOff>
      <xdr:row>289</xdr:row>
      <xdr:rowOff>85725</xdr:rowOff>
    </xdr:to>
    <xdr:sp macro="" textlink="">
      <xdr:nvSpPr>
        <xdr:cNvPr id="131" name="TextBox 130">
          <a:extLst>
            <a:ext uri="{FF2B5EF4-FFF2-40B4-BE49-F238E27FC236}">
              <a16:creationId xmlns:a16="http://schemas.microsoft.com/office/drawing/2014/main" id="{3306ADB8-17FA-4F64-835C-624157FB2BED}"/>
            </a:ext>
          </a:extLst>
        </xdr:cNvPr>
        <xdr:cNvSpPr txBox="1"/>
      </xdr:nvSpPr>
      <xdr:spPr>
        <a:xfrm>
          <a:off x="10482264" y="44958000"/>
          <a:ext cx="790575" cy="3048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5</xdr:col>
      <xdr:colOff>304801</xdr:colOff>
      <xdr:row>282</xdr:row>
      <xdr:rowOff>57150</xdr:rowOff>
    </xdr:from>
    <xdr:to>
      <xdr:col>6</xdr:col>
      <xdr:colOff>466725</xdr:colOff>
      <xdr:row>284</xdr:row>
      <xdr:rowOff>38100</xdr:rowOff>
    </xdr:to>
    <xdr:sp macro="" textlink="">
      <xdr:nvSpPr>
        <xdr:cNvPr id="138" name="TextBox 137">
          <a:extLst>
            <a:ext uri="{FF2B5EF4-FFF2-40B4-BE49-F238E27FC236}">
              <a16:creationId xmlns:a16="http://schemas.microsoft.com/office/drawing/2014/main" id="{BEA367C0-56D6-4F5A-AB64-DD51FD1109F7}"/>
            </a:ext>
          </a:extLst>
        </xdr:cNvPr>
        <xdr:cNvSpPr txBox="1"/>
      </xdr:nvSpPr>
      <xdr:spPr>
        <a:xfrm>
          <a:off x="7629526" y="42857738"/>
          <a:ext cx="776287"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5</xdr:col>
      <xdr:colOff>261938</xdr:colOff>
      <xdr:row>309</xdr:row>
      <xdr:rowOff>66675</xdr:rowOff>
    </xdr:from>
    <xdr:to>
      <xdr:col>6</xdr:col>
      <xdr:colOff>409575</xdr:colOff>
      <xdr:row>311</xdr:row>
      <xdr:rowOff>38100</xdr:rowOff>
    </xdr:to>
    <xdr:sp macro="" textlink="">
      <xdr:nvSpPr>
        <xdr:cNvPr id="139" name="TextBox 138">
          <a:extLst>
            <a:ext uri="{FF2B5EF4-FFF2-40B4-BE49-F238E27FC236}">
              <a16:creationId xmlns:a16="http://schemas.microsoft.com/office/drawing/2014/main" id="{36F6605F-343E-4234-A3AB-B7258C82D917}"/>
            </a:ext>
          </a:extLst>
        </xdr:cNvPr>
        <xdr:cNvSpPr txBox="1"/>
      </xdr:nvSpPr>
      <xdr:spPr>
        <a:xfrm>
          <a:off x="7643813" y="44253150"/>
          <a:ext cx="762000" cy="304800"/>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5</xdr:col>
      <xdr:colOff>528638</xdr:colOff>
      <xdr:row>177</xdr:row>
      <xdr:rowOff>1</xdr:rowOff>
    </xdr:from>
    <xdr:to>
      <xdr:col>7</xdr:col>
      <xdr:colOff>9526</xdr:colOff>
      <xdr:row>178</xdr:row>
      <xdr:rowOff>142876</xdr:rowOff>
    </xdr:to>
    <xdr:sp macro="" textlink="">
      <xdr:nvSpPr>
        <xdr:cNvPr id="140" name="TextBox 139">
          <a:extLst>
            <a:ext uri="{FF2B5EF4-FFF2-40B4-BE49-F238E27FC236}">
              <a16:creationId xmlns:a16="http://schemas.microsoft.com/office/drawing/2014/main" id="{7C4AD1BE-EFCF-479B-ABD2-336D8D993522}"/>
            </a:ext>
          </a:extLst>
        </xdr:cNvPr>
        <xdr:cNvSpPr txBox="1"/>
      </xdr:nvSpPr>
      <xdr:spPr>
        <a:xfrm>
          <a:off x="6624638" y="29617989"/>
          <a:ext cx="709613" cy="304800"/>
        </a:xfrm>
        <a:prstGeom prst="rect">
          <a:avLst/>
        </a:prstGeom>
        <a:no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5</xdr:col>
      <xdr:colOff>376238</xdr:colOff>
      <xdr:row>274</xdr:row>
      <xdr:rowOff>61911</xdr:rowOff>
    </xdr:from>
    <xdr:to>
      <xdr:col>5</xdr:col>
      <xdr:colOff>604838</xdr:colOff>
      <xdr:row>275</xdr:row>
      <xdr:rowOff>147636</xdr:rowOff>
    </xdr:to>
    <xdr:sp macro="" textlink="">
      <xdr:nvSpPr>
        <xdr:cNvPr id="17" name="TextBox 16">
          <a:extLst>
            <a:ext uri="{FF2B5EF4-FFF2-40B4-BE49-F238E27FC236}">
              <a16:creationId xmlns:a16="http://schemas.microsoft.com/office/drawing/2014/main" id="{1937C373-D3F4-488F-862D-612BFB8146F2}"/>
            </a:ext>
          </a:extLst>
        </xdr:cNvPr>
        <xdr:cNvSpPr txBox="1"/>
      </xdr:nvSpPr>
      <xdr:spPr>
        <a:xfrm>
          <a:off x="7758113" y="38581011"/>
          <a:ext cx="228600" cy="24765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i="0" u="none" strike="noStrike">
              <a:solidFill>
                <a:srgbClr val="FF0000"/>
              </a:solidFill>
              <a:effectLst/>
              <a:latin typeface="+mn-lt"/>
              <a:ea typeface="+mn-ea"/>
              <a:cs typeface="+mn-cs"/>
            </a:rPr>
            <a:t>?</a:t>
          </a:r>
          <a:r>
            <a:rPr lang="en-NZ">
              <a:solidFill>
                <a:srgbClr val="FF0000"/>
              </a:solidFill>
            </a:rPr>
            <a:t> </a:t>
          </a:r>
          <a:endParaRPr lang="en-NZ" sz="1100">
            <a:solidFill>
              <a:srgbClr val="FF0000"/>
            </a:solidFill>
          </a:endParaRPr>
        </a:p>
      </xdr:txBody>
    </xdr:sp>
    <xdr:clientData/>
  </xdr:twoCellAnchor>
  <xdr:twoCellAnchor>
    <xdr:from>
      <xdr:col>5</xdr:col>
      <xdr:colOff>395288</xdr:colOff>
      <xdr:row>233</xdr:row>
      <xdr:rowOff>128588</xdr:rowOff>
    </xdr:from>
    <xdr:to>
      <xdr:col>6</xdr:col>
      <xdr:colOff>390525</xdr:colOff>
      <xdr:row>237</xdr:row>
      <xdr:rowOff>38100</xdr:rowOff>
    </xdr:to>
    <xdr:cxnSp macro="">
      <xdr:nvCxnSpPr>
        <xdr:cNvPr id="51" name="Straight Arrow Connector 50">
          <a:extLst>
            <a:ext uri="{FF2B5EF4-FFF2-40B4-BE49-F238E27FC236}">
              <a16:creationId xmlns:a16="http://schemas.microsoft.com/office/drawing/2014/main" id="{3F9E5E28-A85E-4695-AACF-48D360F2A9EF}"/>
            </a:ext>
          </a:extLst>
        </xdr:cNvPr>
        <xdr:cNvCxnSpPr/>
      </xdr:nvCxnSpPr>
      <xdr:spPr>
        <a:xfrm>
          <a:off x="7777163" y="32246888"/>
          <a:ext cx="609600" cy="5572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233</xdr:row>
      <xdr:rowOff>152400</xdr:rowOff>
    </xdr:from>
    <xdr:to>
      <xdr:col>2</xdr:col>
      <xdr:colOff>219075</xdr:colOff>
      <xdr:row>240</xdr:row>
      <xdr:rowOff>19050</xdr:rowOff>
    </xdr:to>
    <xdr:cxnSp macro="">
      <xdr:nvCxnSpPr>
        <xdr:cNvPr id="60" name="Straight Arrow Connector 59">
          <a:extLst>
            <a:ext uri="{FF2B5EF4-FFF2-40B4-BE49-F238E27FC236}">
              <a16:creationId xmlns:a16="http://schemas.microsoft.com/office/drawing/2014/main" id="{386A3EFA-C751-4475-AEC0-836EA4D29BAD}"/>
            </a:ext>
          </a:extLst>
        </xdr:cNvPr>
        <xdr:cNvCxnSpPr/>
      </xdr:nvCxnSpPr>
      <xdr:spPr>
        <a:xfrm flipH="1">
          <a:off x="5729288" y="32270700"/>
          <a:ext cx="28575" cy="100012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327952</xdr:colOff>
      <xdr:row>563</xdr:row>
      <xdr:rowOff>84367</xdr:rowOff>
    </xdr:from>
    <xdr:to>
      <xdr:col>12</xdr:col>
      <xdr:colOff>328132</xdr:colOff>
      <xdr:row>563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2">
          <xdr14:nvContentPartPr>
            <xdr14:cNvPr id="141" name="Ink 140">
              <a:extLst>
                <a:ext uri="{FF2B5EF4-FFF2-40B4-BE49-F238E27FC236}">
                  <a16:creationId xmlns:a16="http://schemas.microsoft.com/office/drawing/2014/main" id="{9A715BB2-A209-4361-B000-B2115B61A1AF}"/>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12</xdr:col>
      <xdr:colOff>327952</xdr:colOff>
      <xdr:row>603</xdr:row>
      <xdr:rowOff>84367</xdr:rowOff>
    </xdr:from>
    <xdr:to>
      <xdr:col>12</xdr:col>
      <xdr:colOff>328132</xdr:colOff>
      <xdr:row>603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3">
          <xdr14:nvContentPartPr>
            <xdr14:cNvPr id="148" name="Ink 147">
              <a:extLst>
                <a:ext uri="{FF2B5EF4-FFF2-40B4-BE49-F238E27FC236}">
                  <a16:creationId xmlns:a16="http://schemas.microsoft.com/office/drawing/2014/main" id="{BF5286AE-9602-4F68-A754-95930D1ABD71}"/>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720</xdr:row>
      <xdr:rowOff>84367</xdr:rowOff>
    </xdr:from>
    <xdr:to>
      <xdr:col>17</xdr:col>
      <xdr:colOff>328132</xdr:colOff>
      <xdr:row>720</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4">
          <xdr14:nvContentPartPr>
            <xdr14:cNvPr id="161" name="Ink 160">
              <a:extLst>
                <a:ext uri="{FF2B5EF4-FFF2-40B4-BE49-F238E27FC236}">
                  <a16:creationId xmlns:a16="http://schemas.microsoft.com/office/drawing/2014/main" id="{4EA24B85-EBE8-43F9-9B44-4A4A03A08098}"/>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627</xdr:row>
      <xdr:rowOff>84367</xdr:rowOff>
    </xdr:from>
    <xdr:to>
      <xdr:col>17</xdr:col>
      <xdr:colOff>328132</xdr:colOff>
      <xdr:row>627</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5">
          <xdr14:nvContentPartPr>
            <xdr14:cNvPr id="118" name="Ink 117">
              <a:extLst>
                <a:ext uri="{FF2B5EF4-FFF2-40B4-BE49-F238E27FC236}">
                  <a16:creationId xmlns:a16="http://schemas.microsoft.com/office/drawing/2014/main" id="{BE82533F-331F-4C58-BDC9-37705DE48B6A}"/>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12</xdr:col>
      <xdr:colOff>327952</xdr:colOff>
      <xdr:row>654</xdr:row>
      <xdr:rowOff>84367</xdr:rowOff>
    </xdr:from>
    <xdr:to>
      <xdr:col>12</xdr:col>
      <xdr:colOff>328132</xdr:colOff>
      <xdr:row>654</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6">
          <xdr14:nvContentPartPr>
            <xdr14:cNvPr id="123" name="Ink 122">
              <a:extLst>
                <a:ext uri="{FF2B5EF4-FFF2-40B4-BE49-F238E27FC236}">
                  <a16:creationId xmlns:a16="http://schemas.microsoft.com/office/drawing/2014/main" id="{317DB132-849A-4FE4-92CE-0FEC4C784343}"/>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12</xdr:col>
      <xdr:colOff>327952</xdr:colOff>
      <xdr:row>664</xdr:row>
      <xdr:rowOff>84367</xdr:rowOff>
    </xdr:from>
    <xdr:to>
      <xdr:col>12</xdr:col>
      <xdr:colOff>328132</xdr:colOff>
      <xdr:row>664</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7">
          <xdr14:nvContentPartPr>
            <xdr14:cNvPr id="124" name="Ink 123">
              <a:extLst>
                <a:ext uri="{FF2B5EF4-FFF2-40B4-BE49-F238E27FC236}">
                  <a16:creationId xmlns:a16="http://schemas.microsoft.com/office/drawing/2014/main" id="{C0A76F4A-D04C-472A-84F4-DDD278A4F76F}"/>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xdr:col>
      <xdr:colOff>23642</xdr:colOff>
      <xdr:row>485</xdr:row>
      <xdr:rowOff>7142</xdr:rowOff>
    </xdr:from>
    <xdr:to>
      <xdr:col>7</xdr:col>
      <xdr:colOff>460941</xdr:colOff>
      <xdr:row>502</xdr:row>
      <xdr:rowOff>338</xdr:rowOff>
    </xdr:to>
    <xdr:graphicFrame macro="">
      <xdr:nvGraphicFramePr>
        <xdr:cNvPr id="8" name="Chart 7">
          <a:extLst>
            <a:ext uri="{FF2B5EF4-FFF2-40B4-BE49-F238E27FC236}">
              <a16:creationId xmlns:a16="http://schemas.microsoft.com/office/drawing/2014/main" id="{CA6DA727-1F38-4164-B3B6-4DA94EA2C2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8</xdr:col>
      <xdr:colOff>4763</xdr:colOff>
      <xdr:row>484</xdr:row>
      <xdr:rowOff>66673</xdr:rowOff>
    </xdr:from>
    <xdr:to>
      <xdr:col>8</xdr:col>
      <xdr:colOff>447675</xdr:colOff>
      <xdr:row>485</xdr:row>
      <xdr:rowOff>161924</xdr:rowOff>
    </xdr:to>
    <xdr:sp macro="" textlink="">
      <xdr:nvSpPr>
        <xdr:cNvPr id="22" name="TextBox 21">
          <a:extLst>
            <a:ext uri="{FF2B5EF4-FFF2-40B4-BE49-F238E27FC236}">
              <a16:creationId xmlns:a16="http://schemas.microsoft.com/office/drawing/2014/main" id="{AECB09E7-FEB9-4E3A-B4C1-24D7B8BDD22A}"/>
            </a:ext>
          </a:extLst>
        </xdr:cNvPr>
        <xdr:cNvSpPr txBox="1"/>
      </xdr:nvSpPr>
      <xdr:spPr>
        <a:xfrm>
          <a:off x="4929188" y="70661211"/>
          <a:ext cx="442912" cy="257176"/>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a:latin typeface="Arial Narrow" panose="020B0606020202030204" pitchFamily="34" charset="0"/>
            </a:rPr>
            <a:t>$m</a:t>
          </a:r>
        </a:p>
      </xdr:txBody>
    </xdr:sp>
    <xdr:clientData/>
  </xdr:twoCellAnchor>
  <xdr:twoCellAnchor>
    <xdr:from>
      <xdr:col>7</xdr:col>
      <xdr:colOff>20070</xdr:colOff>
      <xdr:row>511</xdr:row>
      <xdr:rowOff>21431</xdr:rowOff>
    </xdr:from>
    <xdr:to>
      <xdr:col>7</xdr:col>
      <xdr:colOff>462982</xdr:colOff>
      <xdr:row>512</xdr:row>
      <xdr:rowOff>104435</xdr:rowOff>
    </xdr:to>
    <xdr:sp macro="" textlink="">
      <xdr:nvSpPr>
        <xdr:cNvPr id="125" name="TextBox 124">
          <a:extLst>
            <a:ext uri="{FF2B5EF4-FFF2-40B4-BE49-F238E27FC236}">
              <a16:creationId xmlns:a16="http://schemas.microsoft.com/office/drawing/2014/main" id="{52E754E9-155A-438F-8B53-FDEE44C84D1C}"/>
            </a:ext>
          </a:extLst>
        </xdr:cNvPr>
        <xdr:cNvSpPr txBox="1"/>
      </xdr:nvSpPr>
      <xdr:spPr>
        <a:xfrm>
          <a:off x="4259546" y="76986833"/>
          <a:ext cx="442912" cy="257346"/>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a:latin typeface="Arial Narrow" panose="020B0606020202030204" pitchFamily="34" charset="0"/>
            </a:rPr>
            <a:t>$m</a:t>
          </a:r>
        </a:p>
      </xdr:txBody>
    </xdr:sp>
    <xdr:clientData/>
  </xdr:twoCellAnchor>
  <xdr:twoCellAnchor>
    <xdr:from>
      <xdr:col>0</xdr:col>
      <xdr:colOff>-5330700</xdr:colOff>
      <xdr:row>1</xdr:row>
      <xdr:rowOff>0</xdr:rowOff>
    </xdr:from>
    <xdr:to>
      <xdr:col>0</xdr:col>
      <xdr:colOff>-5194260</xdr:colOff>
      <xdr:row>1</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39">
          <xdr14:nvContentPartPr>
            <xdr14:cNvPr id="57" name="Ink 56">
              <a:extLst>
                <a:ext uri="{FF2B5EF4-FFF2-40B4-BE49-F238E27FC236}">
                  <a16:creationId xmlns:a16="http://schemas.microsoft.com/office/drawing/2014/main" id="{34077D38-E5C8-491D-97E9-633E722F22CF}"/>
                </a:ext>
              </a:extLst>
            </xdr14:cNvPr>
            <xdr14:cNvContentPartPr/>
          </xdr14:nvContentPartPr>
          <xdr14:nvPr macro=""/>
          <xdr14:xfrm>
            <a:off x="-5330700" y="230760"/>
            <a:ext cx="136440" cy="75240"/>
          </xdr14:xfrm>
        </xdr:contentPart>
      </mc:Choice>
      <mc:Fallback xmlns="">
        <xdr:pic>
          <xdr:nvPicPr>
            <xdr:cNvPr id="57" name="Ink 56">
              <a:extLst>
                <a:ext uri="{FF2B5EF4-FFF2-40B4-BE49-F238E27FC236}">
                  <a16:creationId xmlns:a16="http://schemas.microsoft.com/office/drawing/2014/main" id="{34077D38-E5C8-491D-97E9-633E722F22CF}"/>
                </a:ext>
              </a:extLst>
            </xdr:cNvPr>
            <xdr:cNvPicPr/>
          </xdr:nvPicPr>
          <xdr:blipFill/>
          <xdr:spPr/>
        </xdr:pic>
      </mc:Fallback>
    </mc:AlternateContent>
    <xdr:clientData/>
  </xdr:twoCellAnchor>
  <xdr:twoCellAnchor>
    <xdr:from>
      <xdr:col>11</xdr:col>
      <xdr:colOff>189</xdr:colOff>
      <xdr:row>32</xdr:row>
      <xdr:rowOff>158557</xdr:rowOff>
    </xdr:from>
    <xdr:to>
      <xdr:col>11</xdr:col>
      <xdr:colOff>369</xdr:colOff>
      <xdr:row>32</xdr:row>
      <xdr:rowOff>158737</xdr:rowOff>
    </xdr:to>
    <mc:AlternateContent xmlns:mc="http://schemas.openxmlformats.org/markup-compatibility/2006" xmlns:xdr14="http://schemas.microsoft.com/office/excel/2010/spreadsheetDrawing">
      <mc:Choice Requires="xdr14">
        <xdr:contentPart xmlns:r="http://schemas.openxmlformats.org/officeDocument/2006/relationships" r:id="rId140">
          <xdr14:nvContentPartPr>
            <xdr14:cNvPr id="63" name="Ink 62">
              <a:extLst>
                <a:ext uri="{FF2B5EF4-FFF2-40B4-BE49-F238E27FC236}">
                  <a16:creationId xmlns:a16="http://schemas.microsoft.com/office/drawing/2014/main" id="{AD099E58-780C-4FFC-AF2E-5E386AEC6657}"/>
                </a:ext>
              </a:extLst>
            </xdr14:cNvPr>
            <xdr14:cNvContentPartPr/>
          </xdr14:nvContentPartPr>
          <xdr14:nvPr macro=""/>
          <xdr14:xfrm>
            <a:off x="6684698" y="5716225"/>
            <a:ext cx="180" cy="180"/>
          </xdr14:xfrm>
        </xdr:contentPart>
      </mc:Choice>
      <mc:Fallback xmlns="">
        <xdr:pic>
          <xdr:nvPicPr>
            <xdr:cNvPr id="63" name="Ink 62">
              <a:extLst>
                <a:ext uri="{FF2B5EF4-FFF2-40B4-BE49-F238E27FC236}">
                  <a16:creationId xmlns:a16="http://schemas.microsoft.com/office/drawing/2014/main" id="{AD099E58-780C-4FFC-AF2E-5E386AEC6657}"/>
                </a:ext>
              </a:extLst>
            </xdr:cNvPr>
            <xdr:cNvPicPr/>
          </xdr:nvPicPr>
          <xdr:blipFill/>
          <xdr:spPr/>
        </xdr:pic>
      </mc:Fallback>
    </mc:AlternateContent>
    <xdr:clientData/>
  </xdr:twoCellAnchor>
  <xdr:twoCellAnchor>
    <xdr:from>
      <xdr:col>9</xdr:col>
      <xdr:colOff>187875</xdr:colOff>
      <xdr:row>230</xdr:row>
      <xdr:rowOff>112072</xdr:rowOff>
    </xdr:from>
    <xdr:to>
      <xdr:col>9</xdr:col>
      <xdr:colOff>188055</xdr:colOff>
      <xdr:row>230</xdr:row>
      <xdr:rowOff>112252</xdr:rowOff>
    </xdr:to>
    <mc:AlternateContent xmlns:mc="http://schemas.openxmlformats.org/markup-compatibility/2006" xmlns:xdr14="http://schemas.microsoft.com/office/excel/2010/spreadsheetDrawing">
      <mc:Choice Requires="xdr14">
        <xdr:contentPart xmlns:r="http://schemas.openxmlformats.org/officeDocument/2006/relationships" r:id="rId141">
          <xdr14:nvContentPartPr>
            <xdr14:cNvPr id="64" name="Ink 63">
              <a:extLst>
                <a:ext uri="{FF2B5EF4-FFF2-40B4-BE49-F238E27FC236}">
                  <a16:creationId xmlns:a16="http://schemas.microsoft.com/office/drawing/2014/main" id="{A9BEE7F6-81F2-4C19-A356-2DE277C76C9E}"/>
                </a:ext>
              </a:extLst>
            </xdr14:cNvPr>
            <xdr14:cNvContentPartPr/>
          </xdr14:nvContentPartPr>
          <xdr14:nvPr macro=""/>
          <xdr14:xfrm>
            <a:off x="5647741" y="32361001"/>
            <a:ext cx="180" cy="180"/>
          </xdr14:xfrm>
        </xdr:contentPart>
      </mc:Choice>
      <mc:Fallback xmlns="">
        <xdr:pic>
          <xdr:nvPicPr>
            <xdr:cNvPr id="64" name="Ink 63">
              <a:extLst>
                <a:ext uri="{FF2B5EF4-FFF2-40B4-BE49-F238E27FC236}">
                  <a16:creationId xmlns:a16="http://schemas.microsoft.com/office/drawing/2014/main" id="{A9BEE7F6-81F2-4C19-A356-2DE277C76C9E}"/>
                </a:ext>
              </a:extLst>
            </xdr:cNvPr>
            <xdr:cNvPicPr/>
          </xdr:nvPicPr>
          <xdr:blipFill/>
          <xdr:spPr/>
        </xdr:pic>
      </mc:Fallback>
    </mc:AlternateContent>
    <xdr:clientData/>
  </xdr:twoCellAnchor>
  <xdr:twoCellAnchor>
    <xdr:from>
      <xdr:col>12</xdr:col>
      <xdr:colOff>327952</xdr:colOff>
      <xdr:row>543</xdr:row>
      <xdr:rowOff>84367</xdr:rowOff>
    </xdr:from>
    <xdr:to>
      <xdr:col>12</xdr:col>
      <xdr:colOff>328132</xdr:colOff>
      <xdr:row>543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2">
          <xdr14:nvContentPartPr>
            <xdr14:cNvPr id="66" name="Ink 65">
              <a:extLst>
                <a:ext uri="{FF2B5EF4-FFF2-40B4-BE49-F238E27FC236}">
                  <a16:creationId xmlns:a16="http://schemas.microsoft.com/office/drawing/2014/main" id="{0CF7858D-C6CF-4BCB-BA58-A8F9FE7D7A72}"/>
                </a:ext>
              </a:extLst>
            </xdr14:cNvPr>
            <xdr14:cNvContentPartPr/>
          </xdr14:nvContentPartPr>
          <xdr14:nvPr macro=""/>
          <xdr14:xfrm>
            <a:off x="7624782" y="84410383"/>
            <a:ext cx="180" cy="180"/>
          </xdr14:xfrm>
        </xdr:contentPart>
      </mc:Choice>
      <mc:Fallback xmlns="">
        <xdr:pic>
          <xdr:nvPicPr>
            <xdr:cNvPr id="66" name="Ink 65">
              <a:extLst>
                <a:ext uri="{FF2B5EF4-FFF2-40B4-BE49-F238E27FC236}">
                  <a16:creationId xmlns:a16="http://schemas.microsoft.com/office/drawing/2014/main" id="{0CF7858D-C6CF-4BCB-BA58-A8F9FE7D7A72}"/>
                </a:ext>
              </a:extLst>
            </xdr:cNvPr>
            <xdr:cNvPicPr/>
          </xdr:nvPicPr>
          <xdr:blipFill/>
          <xdr:spPr/>
        </xdr:pic>
      </mc:Fallback>
    </mc:AlternateContent>
    <xdr:clientData/>
  </xdr:twoCellAnchor>
  <xdr:twoCellAnchor>
    <xdr:from>
      <xdr:col>12</xdr:col>
      <xdr:colOff>327952</xdr:colOff>
      <xdr:row>553</xdr:row>
      <xdr:rowOff>84367</xdr:rowOff>
    </xdr:from>
    <xdr:to>
      <xdr:col>12</xdr:col>
      <xdr:colOff>328132</xdr:colOff>
      <xdr:row>553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3">
          <xdr14:nvContentPartPr>
            <xdr14:cNvPr id="67" name="Ink 66">
              <a:extLst>
                <a:ext uri="{FF2B5EF4-FFF2-40B4-BE49-F238E27FC236}">
                  <a16:creationId xmlns:a16="http://schemas.microsoft.com/office/drawing/2014/main" id="{EDA598D9-B13D-4092-84D6-DB376319FD35}"/>
                </a:ext>
              </a:extLst>
            </xdr14:cNvPr>
            <xdr14:cNvContentPartPr/>
          </xdr14:nvContentPartPr>
          <xdr14:nvPr macro=""/>
          <xdr14:xfrm>
            <a:off x="7624782" y="86124032"/>
            <a:ext cx="180" cy="180"/>
          </xdr14:xfrm>
        </xdr:contentPart>
      </mc:Choice>
      <mc:Fallback xmlns="">
        <xdr:pic>
          <xdr:nvPicPr>
            <xdr:cNvPr id="67" name="Ink 66">
              <a:extLst>
                <a:ext uri="{FF2B5EF4-FFF2-40B4-BE49-F238E27FC236}">
                  <a16:creationId xmlns:a16="http://schemas.microsoft.com/office/drawing/2014/main" id="{EDA598D9-B13D-4092-84D6-DB376319FD35}"/>
                </a:ext>
              </a:extLst>
            </xdr:cNvPr>
            <xdr:cNvPicPr/>
          </xdr:nvPicPr>
          <xdr:blipFill/>
          <xdr:spPr/>
        </xdr:pic>
      </mc:Fallback>
    </mc:AlternateContent>
    <xdr:clientData/>
  </xdr:twoCellAnchor>
  <xdr:twoCellAnchor>
    <xdr:from>
      <xdr:col>12</xdr:col>
      <xdr:colOff>327952</xdr:colOff>
      <xdr:row>573</xdr:row>
      <xdr:rowOff>84367</xdr:rowOff>
    </xdr:from>
    <xdr:to>
      <xdr:col>12</xdr:col>
      <xdr:colOff>328132</xdr:colOff>
      <xdr:row>573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4">
          <xdr14:nvContentPartPr>
            <xdr14:cNvPr id="68" name="Ink 67">
              <a:extLst>
                <a:ext uri="{FF2B5EF4-FFF2-40B4-BE49-F238E27FC236}">
                  <a16:creationId xmlns:a16="http://schemas.microsoft.com/office/drawing/2014/main" id="{E74A48A7-A609-4153-B6AD-A699F35E22EB}"/>
                </a:ext>
              </a:extLst>
            </xdr14:cNvPr>
            <xdr14:cNvContentPartPr/>
          </xdr14:nvContentPartPr>
          <xdr14:nvPr macro=""/>
          <xdr14:xfrm>
            <a:off x="7624782" y="89559836"/>
            <a:ext cx="180" cy="180"/>
          </xdr14:xfrm>
        </xdr:contentPart>
      </mc:Choice>
      <mc:Fallback xmlns="">
        <xdr:pic>
          <xdr:nvPicPr>
            <xdr:cNvPr id="68" name="Ink 67">
              <a:extLst>
                <a:ext uri="{FF2B5EF4-FFF2-40B4-BE49-F238E27FC236}">
                  <a16:creationId xmlns:a16="http://schemas.microsoft.com/office/drawing/2014/main" id="{E74A48A7-A609-4153-B6AD-A699F35E22EB}"/>
                </a:ext>
              </a:extLst>
            </xdr:cNvPr>
            <xdr:cNvPicPr/>
          </xdr:nvPicPr>
          <xdr:blipFill/>
          <xdr:spPr/>
        </xdr:pic>
      </mc:Fallback>
    </mc:AlternateContent>
    <xdr:clientData/>
  </xdr:twoCellAnchor>
  <xdr:twoCellAnchor>
    <xdr:from>
      <xdr:col>12</xdr:col>
      <xdr:colOff>327952</xdr:colOff>
      <xdr:row>583</xdr:row>
      <xdr:rowOff>84367</xdr:rowOff>
    </xdr:from>
    <xdr:to>
      <xdr:col>12</xdr:col>
      <xdr:colOff>328132</xdr:colOff>
      <xdr:row>583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5">
          <xdr14:nvContentPartPr>
            <xdr14:cNvPr id="69" name="Ink 68">
              <a:extLst>
                <a:ext uri="{FF2B5EF4-FFF2-40B4-BE49-F238E27FC236}">
                  <a16:creationId xmlns:a16="http://schemas.microsoft.com/office/drawing/2014/main" id="{837528EA-308F-4419-B6CD-678D27D8C87A}"/>
                </a:ext>
              </a:extLst>
            </xdr14:cNvPr>
            <xdr14:cNvContentPartPr/>
          </xdr14:nvContentPartPr>
          <xdr14:nvPr macro=""/>
          <xdr14:xfrm>
            <a:off x="7624782" y="91281990"/>
            <a:ext cx="180" cy="180"/>
          </xdr14:xfrm>
        </xdr:contentPart>
      </mc:Choice>
      <mc:Fallback xmlns="">
        <xdr:pic>
          <xdr:nvPicPr>
            <xdr:cNvPr id="69" name="Ink 68">
              <a:extLst>
                <a:ext uri="{FF2B5EF4-FFF2-40B4-BE49-F238E27FC236}">
                  <a16:creationId xmlns:a16="http://schemas.microsoft.com/office/drawing/2014/main" id="{837528EA-308F-4419-B6CD-678D27D8C87A}"/>
                </a:ext>
              </a:extLst>
            </xdr:cNvPr>
            <xdr:cNvPicPr/>
          </xdr:nvPicPr>
          <xdr:blipFill/>
          <xdr:spPr/>
        </xdr:pic>
      </mc:Fallback>
    </mc:AlternateContent>
    <xdr:clientData/>
  </xdr:twoCellAnchor>
  <xdr:twoCellAnchor>
    <xdr:from>
      <xdr:col>12</xdr:col>
      <xdr:colOff>327952</xdr:colOff>
      <xdr:row>593</xdr:row>
      <xdr:rowOff>84367</xdr:rowOff>
    </xdr:from>
    <xdr:to>
      <xdr:col>12</xdr:col>
      <xdr:colOff>328132</xdr:colOff>
      <xdr:row>593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6">
          <xdr14:nvContentPartPr>
            <xdr14:cNvPr id="76" name="Ink 75">
              <a:extLst>
                <a:ext uri="{FF2B5EF4-FFF2-40B4-BE49-F238E27FC236}">
                  <a16:creationId xmlns:a16="http://schemas.microsoft.com/office/drawing/2014/main" id="{1745896F-D3F9-424F-8A9E-B616F68990F5}"/>
                </a:ext>
              </a:extLst>
            </xdr14:cNvPr>
            <xdr14:cNvContentPartPr/>
          </xdr14:nvContentPartPr>
          <xdr14:nvPr macro=""/>
          <xdr14:xfrm>
            <a:off x="7624782" y="93012648"/>
            <a:ext cx="180" cy="180"/>
          </xdr14:xfrm>
        </xdr:contentPart>
      </mc:Choice>
      <mc:Fallback xmlns="">
        <xdr:pic>
          <xdr:nvPicPr>
            <xdr:cNvPr id="76" name="Ink 75">
              <a:extLst>
                <a:ext uri="{FF2B5EF4-FFF2-40B4-BE49-F238E27FC236}">
                  <a16:creationId xmlns:a16="http://schemas.microsoft.com/office/drawing/2014/main" id="{1745896F-D3F9-424F-8A9E-B616F68990F5}"/>
                </a:ext>
              </a:extLst>
            </xdr:cNvPr>
            <xdr:cNvPicPr/>
          </xdr:nvPicPr>
          <xdr:blipFill/>
          <xdr:spPr/>
        </xdr:pic>
      </mc:Fallback>
    </mc:AlternateContent>
    <xdr:clientData/>
  </xdr:twoCellAnchor>
  <xdr:twoCellAnchor>
    <xdr:from>
      <xdr:col>12</xdr:col>
      <xdr:colOff>327952</xdr:colOff>
      <xdr:row>616</xdr:row>
      <xdr:rowOff>84367</xdr:rowOff>
    </xdr:from>
    <xdr:to>
      <xdr:col>12</xdr:col>
      <xdr:colOff>328132</xdr:colOff>
      <xdr:row>616</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7">
          <xdr14:nvContentPartPr>
            <xdr14:cNvPr id="79" name="Ink 78">
              <a:extLst>
                <a:ext uri="{FF2B5EF4-FFF2-40B4-BE49-F238E27FC236}">
                  <a16:creationId xmlns:a16="http://schemas.microsoft.com/office/drawing/2014/main" id="{5F636BB8-9FB6-4CDC-B89E-E44A2681C593}"/>
                </a:ext>
              </a:extLst>
            </xdr14:cNvPr>
            <xdr14:cNvContentPartPr/>
          </xdr14:nvContentPartPr>
          <xdr14:nvPr macro=""/>
          <xdr14:xfrm>
            <a:off x="7624782" y="96971477"/>
            <a:ext cx="180" cy="180"/>
          </xdr14:xfrm>
        </xdr:contentPart>
      </mc:Choice>
      <mc:Fallback xmlns="">
        <xdr:pic>
          <xdr:nvPicPr>
            <xdr:cNvPr id="79" name="Ink 78">
              <a:extLst>
                <a:ext uri="{FF2B5EF4-FFF2-40B4-BE49-F238E27FC236}">
                  <a16:creationId xmlns:a16="http://schemas.microsoft.com/office/drawing/2014/main" id="{5F636BB8-9FB6-4CDC-B89E-E44A2681C593}"/>
                </a:ext>
              </a:extLst>
            </xdr:cNvPr>
            <xdr:cNvPicPr/>
          </xdr:nvPicPr>
          <xdr:blipFill/>
          <xdr:spPr/>
        </xdr:pic>
      </mc:Fallback>
    </mc:AlternateContent>
    <xdr:clientData/>
  </xdr:twoCellAnchor>
  <xdr:twoCellAnchor>
    <xdr:from>
      <xdr:col>17</xdr:col>
      <xdr:colOff>327952</xdr:colOff>
      <xdr:row>640</xdr:row>
      <xdr:rowOff>84367</xdr:rowOff>
    </xdr:from>
    <xdr:to>
      <xdr:col>17</xdr:col>
      <xdr:colOff>328132</xdr:colOff>
      <xdr:row>640</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8">
          <xdr14:nvContentPartPr>
            <xdr14:cNvPr id="80" name="Ink 79">
              <a:extLst>
                <a:ext uri="{FF2B5EF4-FFF2-40B4-BE49-F238E27FC236}">
                  <a16:creationId xmlns:a16="http://schemas.microsoft.com/office/drawing/2014/main" id="{6F13FFE7-84FA-47B9-B1FC-B5748FFC2DEB}"/>
                </a:ext>
              </a:extLst>
            </xdr14:cNvPr>
            <xdr14:cNvContentPartPr/>
          </xdr14:nvContentPartPr>
          <xdr14:nvPr macro=""/>
          <xdr14:xfrm>
            <a:off x="10686390" y="101087638"/>
            <a:ext cx="180" cy="180"/>
          </xdr14:xfrm>
        </xdr:contentPart>
      </mc:Choice>
      <mc:Fallback xmlns="">
        <xdr:pic>
          <xdr:nvPicPr>
            <xdr:cNvPr id="80" name="Ink 79">
              <a:extLst>
                <a:ext uri="{FF2B5EF4-FFF2-40B4-BE49-F238E27FC236}">
                  <a16:creationId xmlns:a16="http://schemas.microsoft.com/office/drawing/2014/main" id="{6F13FFE7-84FA-47B9-B1FC-B5748FFC2DEB}"/>
                </a:ext>
              </a:extLst>
            </xdr:cNvPr>
            <xdr:cNvPicPr/>
          </xdr:nvPicPr>
          <xdr:blipFill/>
          <xdr:spPr/>
        </xdr:pic>
      </mc:Fallback>
    </mc:AlternateContent>
    <xdr:clientData/>
  </xdr:twoCellAnchor>
  <xdr:twoCellAnchor>
    <xdr:from>
      <xdr:col>0</xdr:col>
      <xdr:colOff>-7283520</xdr:colOff>
      <xdr:row>0</xdr:row>
      <xdr:rowOff>142200</xdr:rowOff>
    </xdr:from>
    <xdr:to>
      <xdr:col>0</xdr:col>
      <xdr:colOff>-7283340</xdr:colOff>
      <xdr:row>0</xdr:row>
      <xdr:rowOff>142380</xdr:rowOff>
    </xdr:to>
    <mc:AlternateContent xmlns:mc="http://schemas.openxmlformats.org/markup-compatibility/2006" xmlns:xdr14="http://schemas.microsoft.com/office/excel/2010/spreadsheetDrawing">
      <mc:Choice Requires="xdr14">
        <xdr:contentPart xmlns:r="http://schemas.openxmlformats.org/officeDocument/2006/relationships" r:id="rId149">
          <xdr14:nvContentPartPr>
            <xdr14:cNvPr id="82" name="Ink 81">
              <a:extLst>
                <a:ext uri="{FF2B5EF4-FFF2-40B4-BE49-F238E27FC236}">
                  <a16:creationId xmlns:a16="http://schemas.microsoft.com/office/drawing/2014/main" id="{BAC33FC3-2375-4256-A758-1D0AB3AF2637}"/>
                </a:ext>
              </a:extLst>
            </xdr14:cNvPr>
            <xdr14:cNvContentPartPr/>
          </xdr14:nvContentPartPr>
          <xdr14:nvPr macro=""/>
          <xdr14:xfrm>
            <a:off x="-7283520" y="142200"/>
            <a:ext cx="180" cy="180"/>
          </xdr14:xfrm>
        </xdr:contentPart>
      </mc:Choice>
      <mc:Fallback xmlns="">
        <xdr:pic>
          <xdr:nvPicPr>
            <xdr:cNvPr id="82" name="Ink 81">
              <a:extLst>
                <a:ext uri="{FF2B5EF4-FFF2-40B4-BE49-F238E27FC236}">
                  <a16:creationId xmlns:a16="http://schemas.microsoft.com/office/drawing/2014/main" id="{BAC33FC3-2375-4256-A758-1D0AB3AF2637}"/>
                </a:ext>
              </a:extLst>
            </xdr:cNvPr>
            <xdr:cNvPicPr/>
          </xdr:nvPicPr>
          <xdr:blipFill/>
          <xdr:spPr/>
        </xdr:pic>
      </mc:Fallback>
    </mc:AlternateContent>
    <xdr:clientData/>
  </xdr:twoCellAnchor>
  <xdr:twoCellAnchor>
    <xdr:from>
      <xdr:col>7</xdr:col>
      <xdr:colOff>224130</xdr:colOff>
      <xdr:row>129</xdr:row>
      <xdr:rowOff>57067</xdr:rowOff>
    </xdr:from>
    <xdr:to>
      <xdr:col>7</xdr:col>
      <xdr:colOff>224310</xdr:colOff>
      <xdr:row>129</xdr:row>
      <xdr:rowOff>57247</xdr:rowOff>
    </xdr:to>
    <mc:AlternateContent xmlns:mc="http://schemas.openxmlformats.org/markup-compatibility/2006" xmlns:xdr14="http://schemas.microsoft.com/office/excel/2010/spreadsheetDrawing">
      <mc:Choice Requires="xdr14">
        <xdr:contentPart xmlns:r="http://schemas.openxmlformats.org/officeDocument/2006/relationships" r:id="rId150">
          <xdr14:nvContentPartPr>
            <xdr14:cNvPr id="132" name="Ink 131">
              <a:extLst>
                <a:ext uri="{FF2B5EF4-FFF2-40B4-BE49-F238E27FC236}">
                  <a16:creationId xmlns:a16="http://schemas.microsoft.com/office/drawing/2014/main" id="{48733485-3A78-4E85-AA31-16F08CC3599B}"/>
                </a:ext>
              </a:extLst>
            </xdr14:cNvPr>
            <xdr14:cNvContentPartPr/>
          </xdr14:nvContentPartPr>
          <xdr14:nvPr macro=""/>
          <xdr14:xfrm>
            <a:off x="9387180" y="16692480"/>
            <a:ext cx="180" cy="180"/>
          </xdr14:xfrm>
        </xdr:contentPart>
      </mc:Choice>
      <mc:Fallback xmlns="">
        <xdr:pic>
          <xdr:nvPicPr>
            <xdr:cNvPr id="94" name="Ink 93">
              <a:extLst>
                <a:ext uri="{FF2B5EF4-FFF2-40B4-BE49-F238E27FC236}">
                  <a16:creationId xmlns:a16="http://schemas.microsoft.com/office/drawing/2014/main" id="{60D8912B-C76E-4EC0-9F59-2245976CDCEF}"/>
                </a:ext>
              </a:extLst>
            </xdr:cNvPr>
            <xdr:cNvPicPr/>
          </xdr:nvPicPr>
          <xdr:blipFill/>
          <xdr:spPr/>
        </xdr:pic>
      </mc:Fallback>
    </mc:AlternateContent>
    <xdr:clientData/>
  </xdr:twoCellAnchor>
  <xdr:twoCellAnchor>
    <xdr:from>
      <xdr:col>12</xdr:col>
      <xdr:colOff>21261</xdr:colOff>
      <xdr:row>71</xdr:row>
      <xdr:rowOff>4763</xdr:rowOff>
    </xdr:from>
    <xdr:to>
      <xdr:col>18</xdr:col>
      <xdr:colOff>849</xdr:colOff>
      <xdr:row>83</xdr:row>
      <xdr:rowOff>80792</xdr:rowOff>
    </xdr:to>
    <xdr:graphicFrame macro="">
      <xdr:nvGraphicFramePr>
        <xdr:cNvPr id="128" name="Chart 127">
          <a:extLst>
            <a:ext uri="{FF2B5EF4-FFF2-40B4-BE49-F238E27FC236}">
              <a16:creationId xmlns:a16="http://schemas.microsoft.com/office/drawing/2014/main" id="{66EAAC54-AD48-443D-A71F-FFFE10690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12</xdr:col>
      <xdr:colOff>562800</xdr:colOff>
      <xdr:row>17</xdr:row>
      <xdr:rowOff>40027</xdr:rowOff>
    </xdr:from>
    <xdr:to>
      <xdr:col>12</xdr:col>
      <xdr:colOff>562980</xdr:colOff>
      <xdr:row>17</xdr:row>
      <xdr:rowOff>40207</xdr:rowOff>
    </xdr:to>
    <mc:AlternateContent xmlns:mc="http://schemas.openxmlformats.org/markup-compatibility/2006" xmlns:xdr14="http://schemas.microsoft.com/office/excel/2010/spreadsheetDrawing">
      <mc:Choice Requires="xdr14">
        <xdr:contentPart xmlns:r="http://schemas.openxmlformats.org/officeDocument/2006/relationships" r:id="rId152">
          <xdr14:nvContentPartPr>
            <xdr14:cNvPr id="142" name="Ink 141">
              <a:extLst>
                <a:ext uri="{FF2B5EF4-FFF2-40B4-BE49-F238E27FC236}">
                  <a16:creationId xmlns:a16="http://schemas.microsoft.com/office/drawing/2014/main" id="{5C3CA320-A7B0-4C47-850E-4F14B5F1E5D1}"/>
                </a:ext>
              </a:extLst>
            </xdr14:cNvPr>
            <xdr14:cNvContentPartPr/>
          </xdr14:nvContentPartPr>
          <xdr14:nvPr macro=""/>
          <xdr14:xfrm>
            <a:off x="6696900" y="2311740"/>
            <a:ext cx="180" cy="180"/>
          </xdr14:xfrm>
        </xdr:contentPart>
      </mc:Choice>
      <mc:Fallback xmlns="">
        <xdr:pic>
          <xdr:nvPicPr>
            <xdr:cNvPr id="10" name="Ink 9">
              <a:extLst>
                <a:ext uri="{FF2B5EF4-FFF2-40B4-BE49-F238E27FC236}">
                  <a16:creationId xmlns:a16="http://schemas.microsoft.com/office/drawing/2014/main" id="{FCE91F2D-9C58-46FA-A726-6972953FCFAA}"/>
                </a:ext>
              </a:extLst>
            </xdr:cNvPr>
            <xdr:cNvPicPr/>
          </xdr:nvPicPr>
          <xdr:blipFill/>
          <xdr:spPr/>
        </xdr:pic>
      </mc:Fallback>
    </mc:AlternateContent>
    <xdr:clientData/>
  </xdr:twoCellAnchor>
  <xdr:twoCellAnchor>
    <xdr:from>
      <xdr:col>11</xdr:col>
      <xdr:colOff>236865</xdr:colOff>
      <xdr:row>20</xdr:row>
      <xdr:rowOff>87772</xdr:rowOff>
    </xdr:from>
    <xdr:to>
      <xdr:col>11</xdr:col>
      <xdr:colOff>237045</xdr:colOff>
      <xdr:row>20</xdr:row>
      <xdr:rowOff>87952</xdr:rowOff>
    </xdr:to>
    <mc:AlternateContent xmlns:mc="http://schemas.openxmlformats.org/markup-compatibility/2006" xmlns:xdr14="http://schemas.microsoft.com/office/excel/2010/spreadsheetDrawing">
      <mc:Choice Requires="xdr14">
        <xdr:contentPart xmlns:r="http://schemas.openxmlformats.org/officeDocument/2006/relationships" r:id="rId153">
          <xdr14:nvContentPartPr>
            <xdr14:cNvPr id="143" name="Ink 142">
              <a:extLst>
                <a:ext uri="{FF2B5EF4-FFF2-40B4-BE49-F238E27FC236}">
                  <a16:creationId xmlns:a16="http://schemas.microsoft.com/office/drawing/2014/main" id="{D2759BD4-909C-4FC8-AAFD-F3C4DDD4B6AE}"/>
                </a:ext>
              </a:extLst>
            </xdr14:cNvPr>
            <xdr14:cNvContentPartPr/>
          </xdr14:nvContentPartPr>
          <xdr14:nvPr macro=""/>
          <xdr14:xfrm>
            <a:off x="4799340" y="2845260"/>
            <a:ext cx="180" cy="180"/>
          </xdr14:xfrm>
        </xdr:contentPart>
      </mc:Choice>
      <mc:Fallback xmlns="">
        <xdr:pic>
          <xdr:nvPicPr>
            <xdr:cNvPr id="24" name="Ink 23">
              <a:extLst>
                <a:ext uri="{FF2B5EF4-FFF2-40B4-BE49-F238E27FC236}">
                  <a16:creationId xmlns:a16="http://schemas.microsoft.com/office/drawing/2014/main" id="{3E1B0660-07E3-4675-8B11-8D7F8D2F1471}"/>
                </a:ext>
              </a:extLst>
            </xdr:cNvPr>
            <xdr:cNvPicPr/>
          </xdr:nvPicPr>
          <xdr:blipFill/>
          <xdr:spPr/>
        </xdr:pic>
      </mc:Fallback>
    </mc:AlternateContent>
    <xdr:clientData/>
  </xdr:twoCellAnchor>
  <xdr:twoCellAnchor>
    <xdr:from>
      <xdr:col>11</xdr:col>
      <xdr:colOff>236865</xdr:colOff>
      <xdr:row>20</xdr:row>
      <xdr:rowOff>87772</xdr:rowOff>
    </xdr:from>
    <xdr:to>
      <xdr:col>11</xdr:col>
      <xdr:colOff>237045</xdr:colOff>
      <xdr:row>20</xdr:row>
      <xdr:rowOff>87952</xdr:rowOff>
    </xdr:to>
    <mc:AlternateContent xmlns:mc="http://schemas.openxmlformats.org/markup-compatibility/2006" xmlns:xdr14="http://schemas.microsoft.com/office/excel/2010/spreadsheetDrawing">
      <mc:Choice Requires="xdr14">
        <xdr:contentPart xmlns:r="http://schemas.openxmlformats.org/officeDocument/2006/relationships" r:id="rId154">
          <xdr14:nvContentPartPr>
            <xdr14:cNvPr id="144" name="Ink 143">
              <a:extLst>
                <a:ext uri="{FF2B5EF4-FFF2-40B4-BE49-F238E27FC236}">
                  <a16:creationId xmlns:a16="http://schemas.microsoft.com/office/drawing/2014/main" id="{9ECD5B33-B35D-4F2D-97CF-D015A8B31A8D}"/>
                </a:ext>
              </a:extLst>
            </xdr14:cNvPr>
            <xdr14:cNvContentPartPr/>
          </xdr14:nvContentPartPr>
          <xdr14:nvPr macro=""/>
          <xdr14:xfrm>
            <a:off x="4799340" y="2845260"/>
            <a:ext cx="180" cy="180"/>
          </xdr14:xfrm>
        </xdr:contentPart>
      </mc:Choice>
      <mc:Fallback xmlns="">
        <xdr:pic>
          <xdr:nvPicPr>
            <xdr:cNvPr id="31" name="Ink 30">
              <a:extLst>
                <a:ext uri="{FF2B5EF4-FFF2-40B4-BE49-F238E27FC236}">
                  <a16:creationId xmlns:a16="http://schemas.microsoft.com/office/drawing/2014/main" id="{C9714641-6A9F-4628-B77B-28AA2106A68A}"/>
                </a:ext>
              </a:extLst>
            </xdr:cNvPr>
            <xdr:cNvPicPr/>
          </xdr:nvPicPr>
          <xdr:blipFill/>
          <xdr:spPr/>
        </xdr:pic>
      </mc:Fallback>
    </mc:AlternateContent>
    <xdr:clientData/>
  </xdr:twoCellAnchor>
  <xdr:twoCellAnchor>
    <xdr:from>
      <xdr:col>11</xdr:col>
      <xdr:colOff>274845</xdr:colOff>
      <xdr:row>20</xdr:row>
      <xdr:rowOff>103072</xdr:rowOff>
    </xdr:from>
    <xdr:to>
      <xdr:col>11</xdr:col>
      <xdr:colOff>427485</xdr:colOff>
      <xdr:row>20</xdr:row>
      <xdr:rowOff>110812</xdr:rowOff>
    </xdr:to>
    <mc:AlternateContent xmlns:mc="http://schemas.openxmlformats.org/markup-compatibility/2006" xmlns:xdr14="http://schemas.microsoft.com/office/excel/2010/spreadsheetDrawing">
      <mc:Choice Requires="xdr14">
        <xdr:contentPart xmlns:r="http://schemas.openxmlformats.org/officeDocument/2006/relationships" r:id="rId155">
          <xdr14:nvContentPartPr>
            <xdr14:cNvPr id="145" name="Ink 144">
              <a:extLst>
                <a:ext uri="{FF2B5EF4-FFF2-40B4-BE49-F238E27FC236}">
                  <a16:creationId xmlns:a16="http://schemas.microsoft.com/office/drawing/2014/main" id="{129586FA-4823-450E-AEEE-CE0A702D7A8D}"/>
                </a:ext>
              </a:extLst>
            </xdr14:cNvPr>
            <xdr14:cNvContentPartPr/>
          </xdr14:nvContentPartPr>
          <xdr14:nvPr macro=""/>
          <xdr14:xfrm>
            <a:off x="4837320" y="2860560"/>
            <a:ext cx="152640" cy="7740"/>
          </xdr14:xfrm>
        </xdr:contentPart>
      </mc:Choice>
      <mc:Fallback xmlns="">
        <xdr:pic>
          <xdr:nvPicPr>
            <xdr:cNvPr id="35" name="Ink 34">
              <a:extLst>
                <a:ext uri="{FF2B5EF4-FFF2-40B4-BE49-F238E27FC236}">
                  <a16:creationId xmlns:a16="http://schemas.microsoft.com/office/drawing/2014/main" id="{6D4B7176-E27F-4FDC-92B9-4A98C7FB9FF1}"/>
                </a:ext>
              </a:extLst>
            </xdr:cNvPr>
            <xdr:cNvPicPr/>
          </xdr:nvPicPr>
          <xdr:blipFill/>
          <xdr:spPr/>
        </xdr:pic>
      </mc:Fallback>
    </mc:AlternateContent>
    <xdr:clientData/>
  </xdr:twoCellAnchor>
  <xdr:twoCellAnchor>
    <xdr:from>
      <xdr:col>11</xdr:col>
      <xdr:colOff>427305</xdr:colOff>
      <xdr:row>20</xdr:row>
      <xdr:rowOff>110812</xdr:rowOff>
    </xdr:from>
    <xdr:to>
      <xdr:col>11</xdr:col>
      <xdr:colOff>427665</xdr:colOff>
      <xdr:row>20</xdr:row>
      <xdr:rowOff>111172</xdr:rowOff>
    </xdr:to>
    <mc:AlternateContent xmlns:mc="http://schemas.openxmlformats.org/markup-compatibility/2006" xmlns:xdr14="http://schemas.microsoft.com/office/excel/2010/spreadsheetDrawing">
      <mc:Choice Requires="xdr14">
        <xdr:contentPart xmlns:r="http://schemas.openxmlformats.org/officeDocument/2006/relationships" r:id="rId156">
          <xdr14:nvContentPartPr>
            <xdr14:cNvPr id="149" name="Ink 148">
              <a:extLst>
                <a:ext uri="{FF2B5EF4-FFF2-40B4-BE49-F238E27FC236}">
                  <a16:creationId xmlns:a16="http://schemas.microsoft.com/office/drawing/2014/main" id="{ED5D275E-0DEC-47FB-BAA8-05D4C2B89DA1}"/>
                </a:ext>
              </a:extLst>
            </xdr14:cNvPr>
            <xdr14:cNvContentPartPr/>
          </xdr14:nvContentPartPr>
          <xdr14:nvPr macro=""/>
          <xdr14:xfrm>
            <a:off x="4989780" y="2868300"/>
            <a:ext cx="360" cy="360"/>
          </xdr14:xfrm>
        </xdr:contentPart>
      </mc:Choice>
      <mc:Fallback xmlns="">
        <xdr:pic>
          <xdr:nvPicPr>
            <xdr:cNvPr id="45" name="Ink 44">
              <a:extLst>
                <a:ext uri="{FF2B5EF4-FFF2-40B4-BE49-F238E27FC236}">
                  <a16:creationId xmlns:a16="http://schemas.microsoft.com/office/drawing/2014/main" id="{08DD70B3-11F7-4ADC-BAF6-386A9271140C}"/>
                </a:ext>
              </a:extLst>
            </xdr:cNvPr>
            <xdr:cNvPicPr/>
          </xdr:nvPicPr>
          <xdr:blipFill/>
          <xdr:spPr/>
        </xdr:pic>
      </mc:Fallback>
    </mc:AlternateContent>
    <xdr:clientData/>
  </xdr:twoCellAnchor>
  <xdr:twoCellAnchor>
    <xdr:from>
      <xdr:col>14</xdr:col>
      <xdr:colOff>20055</xdr:colOff>
      <xdr:row>74</xdr:row>
      <xdr:rowOff>2287</xdr:rowOff>
    </xdr:from>
    <xdr:to>
      <xdr:col>14</xdr:col>
      <xdr:colOff>20235</xdr:colOff>
      <xdr:row>74</xdr:row>
      <xdr:rowOff>2467</xdr:rowOff>
    </xdr:to>
    <mc:AlternateContent xmlns:mc="http://schemas.openxmlformats.org/markup-compatibility/2006" xmlns:xdr14="http://schemas.microsoft.com/office/excel/2010/spreadsheetDrawing">
      <mc:Choice Requires="xdr14">
        <xdr:contentPart xmlns:r="http://schemas.openxmlformats.org/officeDocument/2006/relationships" r:id="rId157">
          <xdr14:nvContentPartPr>
            <xdr14:cNvPr id="150" name="Ink 149">
              <a:extLst>
                <a:ext uri="{FF2B5EF4-FFF2-40B4-BE49-F238E27FC236}">
                  <a16:creationId xmlns:a16="http://schemas.microsoft.com/office/drawing/2014/main" id="{AA0982CD-4CF7-4918-9292-2E5EB0875E55}"/>
                </a:ext>
              </a:extLst>
            </xdr14:cNvPr>
            <xdr14:cNvContentPartPr/>
          </xdr14:nvContentPartPr>
          <xdr14:nvPr macro=""/>
          <xdr14:xfrm>
            <a:off x="7725780" y="3912300"/>
            <a:ext cx="180" cy="180"/>
          </xdr14:xfrm>
        </xdr:contentPart>
      </mc:Choice>
      <mc:Fallback xmlns="">
        <xdr:pic>
          <xdr:nvPicPr>
            <xdr:cNvPr id="52" name="Ink 51">
              <a:extLst>
                <a:ext uri="{FF2B5EF4-FFF2-40B4-BE49-F238E27FC236}">
                  <a16:creationId xmlns:a16="http://schemas.microsoft.com/office/drawing/2014/main" id="{67484F94-6296-4EB9-BC20-73137587B9B8}"/>
                </a:ext>
              </a:extLst>
            </xdr:cNvPr>
            <xdr:cNvPicPr/>
          </xdr:nvPicPr>
          <xdr:blipFill/>
          <xdr:spPr/>
        </xdr:pic>
      </mc:Fallback>
    </mc:AlternateContent>
    <xdr:clientData/>
  </xdr:twoCellAnchor>
  <xdr:twoCellAnchor>
    <xdr:from>
      <xdr:col>10</xdr:col>
      <xdr:colOff>776932</xdr:colOff>
      <xdr:row>19</xdr:row>
      <xdr:rowOff>120277</xdr:rowOff>
    </xdr:from>
    <xdr:to>
      <xdr:col>10</xdr:col>
      <xdr:colOff>777112</xdr:colOff>
      <xdr:row>19</xdr:row>
      <xdr:rowOff>120457</xdr:rowOff>
    </xdr:to>
    <mc:AlternateContent xmlns:mc="http://schemas.openxmlformats.org/markup-compatibility/2006" xmlns:xdr14="http://schemas.microsoft.com/office/excel/2010/spreadsheetDrawing">
      <mc:Choice Requires="xdr14">
        <xdr:contentPart xmlns:r="http://schemas.openxmlformats.org/officeDocument/2006/relationships" r:id="rId158">
          <xdr14:nvContentPartPr>
            <xdr14:cNvPr id="153" name="Ink 152">
              <a:extLst>
                <a:ext uri="{FF2B5EF4-FFF2-40B4-BE49-F238E27FC236}">
                  <a16:creationId xmlns:a16="http://schemas.microsoft.com/office/drawing/2014/main" id="{4BB943DD-332A-4A13-96C5-E7187AB5D0E5}"/>
                </a:ext>
              </a:extLst>
            </xdr14:cNvPr>
            <xdr14:cNvContentPartPr/>
          </xdr14:nvContentPartPr>
          <xdr14:nvPr macro=""/>
          <xdr14:xfrm>
            <a:off x="5210820" y="2715840"/>
            <a:ext cx="180" cy="180"/>
          </xdr14:xfrm>
        </xdr:contentPart>
      </mc:Choice>
      <mc:Fallback xmlns="">
        <xdr:pic>
          <xdr:nvPicPr>
            <xdr:cNvPr id="9" name="Ink 8">
              <a:extLst>
                <a:ext uri="{FF2B5EF4-FFF2-40B4-BE49-F238E27FC236}">
                  <a16:creationId xmlns:a16="http://schemas.microsoft.com/office/drawing/2014/main" id="{D5DB12CA-B042-4FA6-B428-2E4F4A670F03}"/>
                </a:ext>
              </a:extLst>
            </xdr:cNvPr>
            <xdr:cNvPicPr/>
          </xdr:nvPicPr>
          <xdr:blipFill/>
          <xdr:spPr/>
        </xdr:pic>
      </mc:Fallback>
    </mc:AlternateContent>
    <xdr:clientData/>
  </xdr:twoCellAnchor>
  <xdr:twoCellAnchor>
    <xdr:from>
      <xdr:col>11</xdr:col>
      <xdr:colOff>761632</xdr:colOff>
      <xdr:row>19</xdr:row>
      <xdr:rowOff>120277</xdr:rowOff>
    </xdr:from>
    <xdr:to>
      <xdr:col>11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59">
          <xdr14:nvContentPartPr>
            <xdr14:cNvPr id="154" name="Ink 153">
              <a:extLst>
                <a:ext uri="{FF2B5EF4-FFF2-40B4-BE49-F238E27FC236}">
                  <a16:creationId xmlns:a16="http://schemas.microsoft.com/office/drawing/2014/main" id="{F4A1D75C-0E16-4BD4-8E45-1BB0CC639427}"/>
                </a:ext>
              </a:extLst>
            </xdr14:cNvPr>
            <xdr14:cNvContentPartPr/>
          </xdr14:nvContentPartPr>
          <xdr14:nvPr macro=""/>
          <xdr14:xfrm>
            <a:off x="5195520" y="2715840"/>
            <a:ext cx="360" cy="360"/>
          </xdr14:xfrm>
        </xdr:contentPart>
      </mc:Choice>
      <mc:Fallback xmlns="">
        <xdr:pic>
          <xdr:nvPicPr>
            <xdr:cNvPr id="13" name="Ink 12">
              <a:extLst>
                <a:ext uri="{FF2B5EF4-FFF2-40B4-BE49-F238E27FC236}">
                  <a16:creationId xmlns:a16="http://schemas.microsoft.com/office/drawing/2014/main" id="{7ACE90E3-A610-4758-A9EC-BA5AA5942B0B}"/>
                </a:ext>
              </a:extLst>
            </xdr:cNvPr>
            <xdr:cNvPicPr/>
          </xdr:nvPicPr>
          <xdr:blipFill/>
          <xdr:spPr/>
        </xdr:pic>
      </mc:Fallback>
    </mc:AlternateContent>
    <xdr:clientData/>
  </xdr:twoCellAnchor>
  <xdr:twoCellAnchor>
    <xdr:from>
      <xdr:col>11</xdr:col>
      <xdr:colOff>761632</xdr:colOff>
      <xdr:row>19</xdr:row>
      <xdr:rowOff>120277</xdr:rowOff>
    </xdr:from>
    <xdr:to>
      <xdr:col>11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60">
          <xdr14:nvContentPartPr>
            <xdr14:cNvPr id="155" name="Ink 154">
              <a:extLst>
                <a:ext uri="{FF2B5EF4-FFF2-40B4-BE49-F238E27FC236}">
                  <a16:creationId xmlns:a16="http://schemas.microsoft.com/office/drawing/2014/main" id="{5420F2B6-45DB-47B4-8CBC-3A05EC3CC98C}"/>
                </a:ext>
              </a:extLst>
            </xdr14:cNvPr>
            <xdr14:cNvContentPartPr/>
          </xdr14:nvContentPartPr>
          <xdr14:nvPr macro=""/>
          <xdr14:xfrm>
            <a:off x="5195520" y="2715840"/>
            <a:ext cx="360" cy="360"/>
          </xdr14:xfrm>
        </xdr:contentPart>
      </mc:Choice>
      <mc:Fallback xmlns="">
        <xdr:pic>
          <xdr:nvPicPr>
            <xdr:cNvPr id="16" name="Ink 15">
              <a:extLst>
                <a:ext uri="{FF2B5EF4-FFF2-40B4-BE49-F238E27FC236}">
                  <a16:creationId xmlns:a16="http://schemas.microsoft.com/office/drawing/2014/main" id="{433B03B0-DE66-4500-A8B7-4859F84A94DB}"/>
                </a:ext>
              </a:extLst>
            </xdr:cNvPr>
            <xdr:cNvPicPr/>
          </xdr:nvPicPr>
          <xdr:blipFill/>
          <xdr:spPr/>
        </xdr:pic>
      </mc:Fallback>
    </mc:AlternateContent>
    <xdr:clientData/>
  </xdr:twoCellAnchor>
  <xdr:twoCellAnchor>
    <xdr:from>
      <xdr:col>11</xdr:col>
      <xdr:colOff>761632</xdr:colOff>
      <xdr:row>19</xdr:row>
      <xdr:rowOff>120277</xdr:rowOff>
    </xdr:from>
    <xdr:to>
      <xdr:col>11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61">
          <xdr14:nvContentPartPr>
            <xdr14:cNvPr id="157" name="Ink 156">
              <a:extLst>
                <a:ext uri="{FF2B5EF4-FFF2-40B4-BE49-F238E27FC236}">
                  <a16:creationId xmlns:a16="http://schemas.microsoft.com/office/drawing/2014/main" id="{BC9C53F4-72D2-4254-947C-18C7DE401524}"/>
                </a:ext>
              </a:extLst>
            </xdr14:cNvPr>
            <xdr14:cNvContentPartPr/>
          </xdr14:nvContentPartPr>
          <xdr14:nvPr macro=""/>
          <xdr14:xfrm>
            <a:off x="5195520" y="2715840"/>
            <a:ext cx="360" cy="360"/>
          </xdr14:xfrm>
        </xdr:contentPart>
      </mc:Choice>
      <mc:Fallback xmlns="">
        <xdr:pic>
          <xdr:nvPicPr>
            <xdr:cNvPr id="21" name="Ink 20">
              <a:extLst>
                <a:ext uri="{FF2B5EF4-FFF2-40B4-BE49-F238E27FC236}">
                  <a16:creationId xmlns:a16="http://schemas.microsoft.com/office/drawing/2014/main" id="{0F04A798-0868-48E3-8164-DFAC75680836}"/>
                </a:ext>
              </a:extLst>
            </xdr:cNvPr>
            <xdr:cNvPicPr/>
          </xdr:nvPicPr>
          <xdr:blipFill/>
          <xdr:spPr/>
        </xdr:pic>
      </mc:Fallback>
    </mc:AlternateContent>
    <xdr:clientData/>
  </xdr:twoCellAnchor>
  <xdr:twoCellAnchor>
    <xdr:from>
      <xdr:col>2</xdr:col>
      <xdr:colOff>3571</xdr:colOff>
      <xdr:row>71</xdr:row>
      <xdr:rowOff>46605</xdr:rowOff>
    </xdr:from>
    <xdr:to>
      <xdr:col>7</xdr:col>
      <xdr:colOff>591228</xdr:colOff>
      <xdr:row>83</xdr:row>
      <xdr:rowOff>122634</xdr:rowOff>
    </xdr:to>
    <xdr:graphicFrame macro="">
      <xdr:nvGraphicFramePr>
        <xdr:cNvPr id="136" name="Chart 135">
          <a:extLst>
            <a:ext uri="{FF2B5EF4-FFF2-40B4-BE49-F238E27FC236}">
              <a16:creationId xmlns:a16="http://schemas.microsoft.com/office/drawing/2014/main" id="{76D8EC45-BF2D-4DD9-A416-2F5900FF8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3</xdr:col>
      <xdr:colOff>34018</xdr:colOff>
      <xdr:row>75</xdr:row>
      <xdr:rowOff>68035</xdr:rowOff>
    </xdr:from>
    <xdr:to>
      <xdr:col>3</xdr:col>
      <xdr:colOff>212612</xdr:colOff>
      <xdr:row>76</xdr:row>
      <xdr:rowOff>76539</xdr:rowOff>
    </xdr:to>
    <xdr:cxnSp macro="">
      <xdr:nvCxnSpPr>
        <xdr:cNvPr id="30" name="Straight Arrow Connector 29">
          <a:extLst>
            <a:ext uri="{FF2B5EF4-FFF2-40B4-BE49-F238E27FC236}">
              <a16:creationId xmlns:a16="http://schemas.microsoft.com/office/drawing/2014/main" id="{6DCA1A7C-D207-4C1D-9181-6E5089D75F92}"/>
            </a:ext>
          </a:extLst>
        </xdr:cNvPr>
        <xdr:cNvCxnSpPr/>
      </xdr:nvCxnSpPr>
      <xdr:spPr>
        <a:xfrm>
          <a:off x="2151630" y="2168638"/>
          <a:ext cx="178594" cy="170089"/>
        </a:xfrm>
        <a:prstGeom prst="straightConnector1">
          <a:avLst/>
        </a:prstGeom>
        <a:ln>
          <a:tailEnd type="triangle"/>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4</xdr:col>
      <xdr:colOff>250201</xdr:colOff>
      <xdr:row>75</xdr:row>
      <xdr:rowOff>67354</xdr:rowOff>
    </xdr:from>
    <xdr:to>
      <xdr:col>4</xdr:col>
      <xdr:colOff>428796</xdr:colOff>
      <xdr:row>76</xdr:row>
      <xdr:rowOff>75858</xdr:rowOff>
    </xdr:to>
    <xdr:cxnSp macro="">
      <xdr:nvCxnSpPr>
        <xdr:cNvPr id="159" name="Straight Arrow Connector 158">
          <a:extLst>
            <a:ext uri="{FF2B5EF4-FFF2-40B4-BE49-F238E27FC236}">
              <a16:creationId xmlns:a16="http://schemas.microsoft.com/office/drawing/2014/main" id="{C20F08EF-5261-4326-8B36-38DB8FE23484}"/>
            </a:ext>
          </a:extLst>
        </xdr:cNvPr>
        <xdr:cNvCxnSpPr/>
      </xdr:nvCxnSpPr>
      <xdr:spPr>
        <a:xfrm>
          <a:off x="3154476" y="2167957"/>
          <a:ext cx="178595" cy="170089"/>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6</xdr:col>
      <xdr:colOff>89295</xdr:colOff>
      <xdr:row>71</xdr:row>
      <xdr:rowOff>119064</xdr:rowOff>
    </xdr:from>
    <xdr:to>
      <xdr:col>7</xdr:col>
      <xdr:colOff>110557</xdr:colOff>
      <xdr:row>73</xdr:row>
      <xdr:rowOff>38271</xdr:rowOff>
    </xdr:to>
    <xdr:sp macro="" textlink="">
      <xdr:nvSpPr>
        <xdr:cNvPr id="34" name="TextBox 33">
          <a:extLst>
            <a:ext uri="{FF2B5EF4-FFF2-40B4-BE49-F238E27FC236}">
              <a16:creationId xmlns:a16="http://schemas.microsoft.com/office/drawing/2014/main" id="{A088A528-4993-4BE8-B89A-5E37FC23A315}"/>
            </a:ext>
          </a:extLst>
        </xdr:cNvPr>
        <xdr:cNvSpPr txBox="1"/>
      </xdr:nvSpPr>
      <xdr:spPr>
        <a:xfrm>
          <a:off x="4341527" y="1573327"/>
          <a:ext cx="744142" cy="242377"/>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solidFill>
                <a:schemeClr val="dk1"/>
              </a:solidFill>
              <a:latin typeface="+mn-lt"/>
              <a:ea typeface="+mn-ea"/>
              <a:cs typeface="+mn-cs"/>
            </a:rPr>
            <a:t>Caltex</a:t>
          </a:r>
        </a:p>
      </xdr:txBody>
    </xdr:sp>
    <xdr:clientData/>
  </xdr:twoCellAnchor>
  <xdr:twoCellAnchor>
    <xdr:from>
      <xdr:col>6</xdr:col>
      <xdr:colOff>131818</xdr:colOff>
      <xdr:row>72</xdr:row>
      <xdr:rowOff>4253</xdr:rowOff>
    </xdr:from>
    <xdr:to>
      <xdr:col>6</xdr:col>
      <xdr:colOff>131820</xdr:colOff>
      <xdr:row>73</xdr:row>
      <xdr:rowOff>76540</xdr:rowOff>
    </xdr:to>
    <xdr:cxnSp macro="">
      <xdr:nvCxnSpPr>
        <xdr:cNvPr id="40" name="Straight Connector 39">
          <a:extLst>
            <a:ext uri="{FF2B5EF4-FFF2-40B4-BE49-F238E27FC236}">
              <a16:creationId xmlns:a16="http://schemas.microsoft.com/office/drawing/2014/main" id="{CB1433DC-77E9-4CEF-9D7D-9A0ED9E1E019}"/>
            </a:ext>
          </a:extLst>
        </xdr:cNvPr>
        <xdr:cNvCxnSpPr/>
      </xdr:nvCxnSpPr>
      <xdr:spPr>
        <a:xfrm flipV="1">
          <a:off x="4456339" y="1620101"/>
          <a:ext cx="2" cy="2338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126884</xdr:colOff>
      <xdr:row>71</xdr:row>
      <xdr:rowOff>135392</xdr:rowOff>
    </xdr:from>
    <xdr:to>
      <xdr:col>17</xdr:col>
      <xdr:colOff>262957</xdr:colOff>
      <xdr:row>73</xdr:row>
      <xdr:rowOff>54599</xdr:rowOff>
    </xdr:to>
    <xdr:sp macro="" textlink="">
      <xdr:nvSpPr>
        <xdr:cNvPr id="160" name="TextBox 159">
          <a:extLst>
            <a:ext uri="{FF2B5EF4-FFF2-40B4-BE49-F238E27FC236}">
              <a16:creationId xmlns:a16="http://schemas.microsoft.com/office/drawing/2014/main" id="{3DC8B6AD-7438-4E80-BFF6-BBD32E6CE42B}"/>
            </a:ext>
          </a:extLst>
        </xdr:cNvPr>
        <xdr:cNvSpPr txBox="1"/>
      </xdr:nvSpPr>
      <xdr:spPr>
        <a:xfrm>
          <a:off x="10872275" y="1589655"/>
          <a:ext cx="744142" cy="242377"/>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solidFill>
                <a:schemeClr val="dk1"/>
              </a:solidFill>
              <a:latin typeface="+mn-lt"/>
              <a:ea typeface="+mn-ea"/>
              <a:cs typeface="+mn-cs"/>
            </a:rPr>
            <a:t>Caltex</a:t>
          </a:r>
        </a:p>
      </xdr:txBody>
    </xdr:sp>
    <xdr:clientData/>
  </xdr:twoCellAnchor>
  <xdr:twoCellAnchor>
    <xdr:from>
      <xdr:col>16</xdr:col>
      <xdr:colOff>182166</xdr:colOff>
      <xdr:row>72</xdr:row>
      <xdr:rowOff>20581</xdr:rowOff>
    </xdr:from>
    <xdr:to>
      <xdr:col>16</xdr:col>
      <xdr:colOff>186418</xdr:colOff>
      <xdr:row>73</xdr:row>
      <xdr:rowOff>48221</xdr:rowOff>
    </xdr:to>
    <xdr:cxnSp macro="">
      <xdr:nvCxnSpPr>
        <xdr:cNvPr id="162" name="Straight Connector 161">
          <a:extLst>
            <a:ext uri="{FF2B5EF4-FFF2-40B4-BE49-F238E27FC236}">
              <a16:creationId xmlns:a16="http://schemas.microsoft.com/office/drawing/2014/main" id="{6024C046-A4A0-47EC-801A-0B070365F61A}"/>
            </a:ext>
          </a:extLst>
        </xdr:cNvPr>
        <xdr:cNvCxnSpPr/>
      </xdr:nvCxnSpPr>
      <xdr:spPr>
        <a:xfrm flipH="1" flipV="1">
          <a:off x="10927557" y="1636429"/>
          <a:ext cx="4252" cy="1892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14</xdr:col>
      <xdr:colOff>484755</xdr:colOff>
      <xdr:row>78</xdr:row>
      <xdr:rowOff>59531</xdr:rowOff>
    </xdr:from>
    <xdr:ext cx="450736" cy="340179"/>
    <xdr:sp macro="" textlink="">
      <xdr:nvSpPr>
        <xdr:cNvPr id="4" name="TextBox 3">
          <a:extLst>
            <a:ext uri="{FF2B5EF4-FFF2-40B4-BE49-F238E27FC236}">
              <a16:creationId xmlns:a16="http://schemas.microsoft.com/office/drawing/2014/main" id="{44FA2E7F-6556-4EE8-8E1E-386D9085E27F}"/>
            </a:ext>
          </a:extLst>
        </xdr:cNvPr>
        <xdr:cNvSpPr txBox="1"/>
      </xdr:nvSpPr>
      <xdr:spPr>
        <a:xfrm>
          <a:off x="9172066" y="2644888"/>
          <a:ext cx="450736" cy="3401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NZ" sz="800">
              <a:latin typeface="Arial Narrow" panose="020B0606020202030204" pitchFamily="34" charset="0"/>
            </a:rPr>
            <a:t>Cost of </a:t>
          </a:r>
          <a:r>
            <a:rPr lang="en-NZ" sz="800" b="1">
              <a:latin typeface="Arial Narrow" panose="020B0606020202030204" pitchFamily="34" charset="0"/>
            </a:rPr>
            <a:t>capital</a:t>
          </a:r>
        </a:p>
      </xdr:txBody>
    </xdr:sp>
    <xdr:clientData/>
  </xdr:oneCellAnchor>
  <xdr:oneCellAnchor>
    <xdr:from>
      <xdr:col>4</xdr:col>
      <xdr:colOff>559934</xdr:colOff>
      <xdr:row>78</xdr:row>
      <xdr:rowOff>96441</xdr:rowOff>
    </xdr:from>
    <xdr:ext cx="481861" cy="340179"/>
    <xdr:sp macro="" textlink="">
      <xdr:nvSpPr>
        <xdr:cNvPr id="163" name="TextBox 162">
          <a:extLst>
            <a:ext uri="{FF2B5EF4-FFF2-40B4-BE49-F238E27FC236}">
              <a16:creationId xmlns:a16="http://schemas.microsoft.com/office/drawing/2014/main" id="{80ABAA83-3DE5-42BB-857F-456BC46EEE72}"/>
            </a:ext>
          </a:extLst>
        </xdr:cNvPr>
        <xdr:cNvSpPr txBox="1"/>
      </xdr:nvSpPr>
      <xdr:spPr>
        <a:xfrm>
          <a:off x="3464209" y="2681798"/>
          <a:ext cx="481861" cy="3401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NZ" sz="800" b="1">
              <a:latin typeface="Arial Narrow" panose="020B0606020202030204" pitchFamily="34" charset="0"/>
            </a:rPr>
            <a:t>Cost of capital</a:t>
          </a:r>
        </a:p>
      </xdr:txBody>
    </xdr:sp>
    <xdr:clientData/>
  </xdr:oneCellAnchor>
</xdr:wsDr>
</file>

<file path=xl/drawings/drawing6.xml><?xml version="1.0" encoding="utf-8"?>
<c:userShapes xmlns:c="http://schemas.openxmlformats.org/drawingml/2006/chart">
  <cdr:relSizeAnchor xmlns:cdr="http://schemas.openxmlformats.org/drawingml/2006/chartDrawing">
    <cdr:from>
      <cdr:x>0.48249</cdr:x>
      <cdr:y>0.25958</cdr:y>
    </cdr:from>
    <cdr:to>
      <cdr:x>0.63516</cdr:x>
      <cdr:y>0.33275</cdr:y>
    </cdr:to>
    <cdr:sp macro="" textlink="">
      <cdr:nvSpPr>
        <cdr:cNvPr id="2" name="TextBox 1">
          <a:extLst xmlns:a="http://schemas.openxmlformats.org/drawingml/2006/main">
            <a:ext uri="{FF2B5EF4-FFF2-40B4-BE49-F238E27FC236}">
              <a16:creationId xmlns:a16="http://schemas.microsoft.com/office/drawing/2014/main" id="{FF70F9FA-0A15-47AB-B129-163856DC885C}"/>
            </a:ext>
          </a:extLst>
        </cdr:cNvPr>
        <cdr:cNvSpPr txBox="1"/>
      </cdr:nvSpPr>
      <cdr:spPr>
        <a:xfrm xmlns:a="http://schemas.openxmlformats.org/drawingml/2006/main">
          <a:off x="3476625" y="709613"/>
          <a:ext cx="1100138"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0.31917</cdr:x>
      <cdr:y>0.30362</cdr:y>
    </cdr:from>
    <cdr:to>
      <cdr:x>0.59338</cdr:x>
      <cdr:y>0.44712</cdr:y>
    </cdr:to>
    <cdr:sp macro="" textlink="">
      <cdr:nvSpPr>
        <cdr:cNvPr id="4" name="TextBox 3">
          <a:extLst xmlns:a="http://schemas.openxmlformats.org/drawingml/2006/main">
            <a:ext uri="{FF2B5EF4-FFF2-40B4-BE49-F238E27FC236}">
              <a16:creationId xmlns:a16="http://schemas.microsoft.com/office/drawing/2014/main" id="{7B47C464-584C-4B2C-96FB-A2075DD69659}"/>
            </a:ext>
          </a:extLst>
        </cdr:cNvPr>
        <cdr:cNvSpPr txBox="1"/>
      </cdr:nvSpPr>
      <cdr:spPr>
        <a:xfrm xmlns:a="http://schemas.openxmlformats.org/drawingml/2006/main">
          <a:off x="1301680" y="611810"/>
          <a:ext cx="1118337" cy="2891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000" b="1"/>
        </a:p>
      </cdr:txBody>
    </cdr:sp>
  </cdr:relSizeAnchor>
  <cdr:relSizeAnchor xmlns:cdr="http://schemas.openxmlformats.org/drawingml/2006/chartDrawing">
    <cdr:from>
      <cdr:x>0.40869</cdr:x>
      <cdr:y>0.02085</cdr:y>
    </cdr:from>
    <cdr:to>
      <cdr:x>0.49741</cdr:x>
      <cdr:y>0.16223</cdr:y>
    </cdr:to>
    <cdr:sp macro="" textlink="">
      <cdr:nvSpPr>
        <cdr:cNvPr id="5" name="TextBox 4">
          <a:extLst xmlns:a="http://schemas.openxmlformats.org/drawingml/2006/main">
            <a:ext uri="{FF2B5EF4-FFF2-40B4-BE49-F238E27FC236}">
              <a16:creationId xmlns:a16="http://schemas.microsoft.com/office/drawing/2014/main" id="{6AB64ABA-0842-436F-9845-9936285449AC}"/>
            </a:ext>
          </a:extLst>
        </cdr:cNvPr>
        <cdr:cNvSpPr txBox="1"/>
      </cdr:nvSpPr>
      <cdr:spPr>
        <a:xfrm xmlns:a="http://schemas.openxmlformats.org/drawingml/2006/main">
          <a:off x="1743415" y="42012"/>
          <a:ext cx="378449" cy="2848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a:t>RC</a:t>
          </a:r>
        </a:p>
      </cdr:txBody>
    </cdr:sp>
  </cdr:relSizeAnchor>
</c:userShapes>
</file>

<file path=xl/drawings/drawing7.xml><?xml version="1.0" encoding="utf-8"?>
<c:userShapes xmlns:c="http://schemas.openxmlformats.org/drawingml/2006/chart">
  <cdr:relSizeAnchor xmlns:cdr="http://schemas.openxmlformats.org/drawingml/2006/chartDrawing">
    <cdr:from>
      <cdr:x>0.67741</cdr:x>
      <cdr:y>0.05499</cdr:y>
    </cdr:from>
    <cdr:to>
      <cdr:x>0.86996</cdr:x>
      <cdr:y>0.15466</cdr:y>
    </cdr:to>
    <cdr:sp macro="" textlink="">
      <cdr:nvSpPr>
        <cdr:cNvPr id="2" name="TextBox 1">
          <a:extLst xmlns:a="http://schemas.openxmlformats.org/drawingml/2006/main">
            <a:ext uri="{FF2B5EF4-FFF2-40B4-BE49-F238E27FC236}">
              <a16:creationId xmlns:a16="http://schemas.microsoft.com/office/drawing/2014/main" id="{88AA2ED7-A4E1-422D-ACC0-5FAFF500181A}"/>
            </a:ext>
          </a:extLst>
        </cdr:cNvPr>
        <cdr:cNvSpPr txBox="1"/>
      </cdr:nvSpPr>
      <cdr:spPr>
        <a:xfrm xmlns:a="http://schemas.openxmlformats.org/drawingml/2006/main">
          <a:off x="2352389" y="125028"/>
          <a:ext cx="668650" cy="226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NZ" sz="1100" b="1">
              <a:solidFill>
                <a:srgbClr val="0070C0"/>
              </a:solidFill>
              <a:latin typeface="Arial Narrow" panose="020B0606020202030204" pitchFamily="34" charset="0"/>
            </a:rPr>
            <a:t>Briscoe</a:t>
          </a:r>
          <a:r>
            <a:rPr lang="en-NZ" sz="1100" b="1">
              <a:solidFill>
                <a:schemeClr val="tx2">
                  <a:lumMod val="75000"/>
                </a:schemeClr>
              </a:solidFill>
            </a:rPr>
            <a:t> </a:t>
          </a:r>
        </a:p>
      </cdr:txBody>
    </cdr:sp>
  </cdr:relSizeAnchor>
  <cdr:relSizeAnchor xmlns:cdr="http://schemas.openxmlformats.org/drawingml/2006/chartDrawing">
    <cdr:from>
      <cdr:x>0.50207</cdr:x>
      <cdr:y>0.73488</cdr:y>
    </cdr:from>
    <cdr:to>
      <cdr:x>0.85179</cdr:x>
      <cdr:y>0.83708</cdr:y>
    </cdr:to>
    <cdr:sp macro="" textlink="">
      <cdr:nvSpPr>
        <cdr:cNvPr id="3" name="TextBox 1">
          <a:extLst xmlns:a="http://schemas.openxmlformats.org/drawingml/2006/main">
            <a:ext uri="{FF2B5EF4-FFF2-40B4-BE49-F238E27FC236}">
              <a16:creationId xmlns:a16="http://schemas.microsoft.com/office/drawing/2014/main" id="{37098373-8392-400A-B7CD-F4D07EC66A82}"/>
            </a:ext>
          </a:extLst>
        </cdr:cNvPr>
        <cdr:cNvSpPr txBox="1"/>
      </cdr:nvSpPr>
      <cdr:spPr>
        <a:xfrm xmlns:a="http://schemas.openxmlformats.org/drawingml/2006/main">
          <a:off x="2295467" y="2015918"/>
          <a:ext cx="1598920" cy="28035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NZ" sz="1100" b="1">
              <a:solidFill>
                <a:srgbClr val="FF0000"/>
              </a:solidFill>
            </a:rPr>
            <a:t>The </a:t>
          </a:r>
          <a:r>
            <a:rPr lang="en-NZ" sz="1100" b="1">
              <a:solidFill>
                <a:srgbClr val="FF0000"/>
              </a:solidFill>
              <a:latin typeface="Arial Narrow" panose="020B0606020202030204" pitchFamily="34" charset="0"/>
            </a:rPr>
            <a:t>Warehouse</a:t>
          </a:r>
        </a:p>
      </cdr:txBody>
    </cdr:sp>
  </cdr:relSizeAnchor>
</c:userShapes>
</file>

<file path=xl/drawings/drawing8.xml><?xml version="1.0" encoding="utf-8"?>
<c:userShapes xmlns:c="http://schemas.openxmlformats.org/drawingml/2006/chart">
  <cdr:relSizeAnchor xmlns:cdr="http://schemas.openxmlformats.org/drawingml/2006/chartDrawing">
    <cdr:from>
      <cdr:x>0.78364</cdr:x>
      <cdr:y>0.07061</cdr:y>
    </cdr:from>
    <cdr:to>
      <cdr:x>0.94405</cdr:x>
      <cdr:y>0.1819</cdr:y>
    </cdr:to>
    <cdr:sp macro="" textlink="">
      <cdr:nvSpPr>
        <cdr:cNvPr id="2" name="TextBox 1">
          <a:extLst xmlns:a="http://schemas.openxmlformats.org/drawingml/2006/main">
            <a:ext uri="{FF2B5EF4-FFF2-40B4-BE49-F238E27FC236}">
              <a16:creationId xmlns:a16="http://schemas.microsoft.com/office/drawing/2014/main" id="{88AA2ED7-A4E1-422D-ACC0-5FAFF500181A}"/>
            </a:ext>
          </a:extLst>
        </cdr:cNvPr>
        <cdr:cNvSpPr txBox="1"/>
      </cdr:nvSpPr>
      <cdr:spPr>
        <a:xfrm xmlns:a="http://schemas.openxmlformats.org/drawingml/2006/main">
          <a:off x="3021389" y="160503"/>
          <a:ext cx="618464" cy="2529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NZ" sz="1100" b="1">
              <a:solidFill>
                <a:schemeClr val="tx2">
                  <a:lumMod val="75000"/>
                </a:schemeClr>
              </a:solidFill>
              <a:latin typeface="Arial Narrow" panose="020B0606020202030204" pitchFamily="34" charset="0"/>
            </a:rPr>
            <a:t>Briscoe</a:t>
          </a:r>
        </a:p>
      </cdr:txBody>
    </cdr:sp>
  </cdr:relSizeAnchor>
  <cdr:relSizeAnchor xmlns:cdr="http://schemas.openxmlformats.org/drawingml/2006/chartDrawing">
    <cdr:from>
      <cdr:x>0.46351</cdr:x>
      <cdr:y>0.55214</cdr:y>
    </cdr:from>
    <cdr:to>
      <cdr:x>0.81323</cdr:x>
      <cdr:y>0.69457</cdr:y>
    </cdr:to>
    <cdr:sp macro="" textlink="">
      <cdr:nvSpPr>
        <cdr:cNvPr id="3" name="TextBox 1">
          <a:extLst xmlns:a="http://schemas.openxmlformats.org/drawingml/2006/main">
            <a:ext uri="{FF2B5EF4-FFF2-40B4-BE49-F238E27FC236}">
              <a16:creationId xmlns:a16="http://schemas.microsoft.com/office/drawing/2014/main" id="{37098373-8392-400A-B7CD-F4D07EC66A82}"/>
            </a:ext>
          </a:extLst>
        </cdr:cNvPr>
        <cdr:cNvSpPr txBox="1"/>
      </cdr:nvSpPr>
      <cdr:spPr>
        <a:xfrm xmlns:a="http://schemas.openxmlformats.org/drawingml/2006/main">
          <a:off x="1709194" y="1302432"/>
          <a:ext cx="1289584" cy="33597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NZ" sz="1100" b="1">
              <a:solidFill>
                <a:srgbClr val="E60019"/>
              </a:solidFill>
              <a:latin typeface="Arial Narrow" panose="020B0606020202030204" pitchFamily="34" charset="0"/>
            </a:rPr>
            <a:t>The Warehouse</a:t>
          </a:r>
        </a:p>
      </cdr:txBody>
    </cdr:sp>
  </cdr:relSizeAnchor>
</c:userShapes>
</file>

<file path=xl/drawings/drawing9.xml><?xml version="1.0" encoding="utf-8"?>
<c:userShapes xmlns:c="http://schemas.openxmlformats.org/drawingml/2006/chart">
  <cdr:relSizeAnchor xmlns:cdr="http://schemas.openxmlformats.org/drawingml/2006/chartDrawing">
    <cdr:from>
      <cdr:x>0.48249</cdr:x>
      <cdr:y>0.25958</cdr:y>
    </cdr:from>
    <cdr:to>
      <cdr:x>0.63516</cdr:x>
      <cdr:y>0.33275</cdr:y>
    </cdr:to>
    <cdr:sp macro="" textlink="">
      <cdr:nvSpPr>
        <cdr:cNvPr id="2" name="TextBox 1">
          <a:extLst xmlns:a="http://schemas.openxmlformats.org/drawingml/2006/main">
            <a:ext uri="{FF2B5EF4-FFF2-40B4-BE49-F238E27FC236}">
              <a16:creationId xmlns:a16="http://schemas.microsoft.com/office/drawing/2014/main" id="{FF70F9FA-0A15-47AB-B129-163856DC885C}"/>
            </a:ext>
          </a:extLst>
        </cdr:cNvPr>
        <cdr:cNvSpPr txBox="1"/>
      </cdr:nvSpPr>
      <cdr:spPr>
        <a:xfrm xmlns:a="http://schemas.openxmlformats.org/drawingml/2006/main">
          <a:off x="3476625" y="709613"/>
          <a:ext cx="1100138"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0.67376</cdr:x>
      <cdr:y>0.21217</cdr:y>
    </cdr:from>
    <cdr:to>
      <cdr:x>0.88637</cdr:x>
      <cdr:y>0.31846</cdr:y>
    </cdr:to>
    <cdr:sp macro="" textlink="">
      <cdr:nvSpPr>
        <cdr:cNvPr id="3" name="TextBox 2">
          <a:extLst xmlns:a="http://schemas.openxmlformats.org/drawingml/2006/main">
            <a:ext uri="{FF2B5EF4-FFF2-40B4-BE49-F238E27FC236}">
              <a16:creationId xmlns:a16="http://schemas.microsoft.com/office/drawing/2014/main" id="{1C38736E-6FA5-4833-A3A0-03FF6C2C1323}"/>
            </a:ext>
          </a:extLst>
        </cdr:cNvPr>
        <cdr:cNvSpPr txBox="1"/>
      </cdr:nvSpPr>
      <cdr:spPr>
        <a:xfrm xmlns:a="http://schemas.openxmlformats.org/drawingml/2006/main">
          <a:off x="2478604" y="498156"/>
          <a:ext cx="782132" cy="24956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n-NZ" sz="1100" b="1" baseline="0">
              <a:solidFill>
                <a:srgbClr val="0070C0"/>
              </a:solidFill>
              <a:latin typeface="Arial Narrow" panose="020B0606020202030204" pitchFamily="34" charset="0"/>
            </a:rPr>
            <a:t>Briscoe</a:t>
          </a:r>
          <a:r>
            <a:rPr lang="en-NZ" sz="1100" b="1" baseline="0">
              <a:solidFill>
                <a:srgbClr val="0070C0"/>
              </a:solidFill>
            </a:rPr>
            <a:t> </a:t>
          </a:r>
          <a:endParaRPr lang="en-NZ" sz="1100" b="1">
            <a:solidFill>
              <a:srgbClr val="0070C0"/>
            </a:solidFill>
          </a:endParaRPr>
        </a:p>
      </cdr:txBody>
    </cdr:sp>
  </cdr:relSizeAnchor>
</c:userShapes>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695"/>
    </inkml:context>
    <inkml:brush xml:id="br0">
      <inkml:brushProperty name="width" value="0.05" units="cm"/>
      <inkml:brushProperty name="height" value="0.05" units="cm"/>
      <inkml:brushProperty name="ignorePressure" value="1"/>
    </inkml:brush>
  </inkml:definitions>
  <inkml:trace contextRef="#ctx0" brushRef="#br0">1 26,'116'3,"128"-6,-175-9,-50 7,0 2,28-2,-23 4,261 3,-253 3,0 1,0 1,32 13,-40-12,0 0,1-2,0 0,1-2,49 2,-63-7,1-1,-1 0,16-5,-16 3,0 1,1 1,16-2,61 4,-57 1,0-2,0 0,-1-2,38-9,-3 2,-46 9</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0T22:05:27.375"/>
    </inkml:context>
    <inkml:brush xml:id="br0">
      <inkml:brushProperty name="width" value="0.025" units="cm"/>
      <inkml:brushProperty name="height" value="0.025" units="cm"/>
      <inkml:brushProperty name="ignorePressure" value="1"/>
    </inkml:brush>
  </inkml:definitions>
  <inkml:traceGroup>
    <inkml:annotationXML>
      <emma:emma xmlns:emma="http://www.w3.org/2003/04/emma" version="1.0">
        <emma:interpretation id="{1730A9BE-533E-4E22-ABBB-3D1582844414}" emma:medium="tactile" emma:mode="ink">
          <msink:context xmlns:msink="http://schemas.microsoft.com/ink/2010/main" type="inkDrawing" rotatedBoundingBox="28382,73183 28397,73183 28397,73198 28382,73198" shapeName="Other"/>
        </emma:interpretation>
      </emma:emma>
    </inkml:annotationXML>
    <inkml:trace contextRef="#ctx0" brushRef="#br0">28384 73183</inkml:trace>
  </inkml:traceGroup>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0T22:44:51.917"/>
    </inkml:context>
    <inkml:brush xml:id="br0">
      <inkml:brushProperty name="width" value="0.02646" units="cm"/>
      <inkml:brushProperty name="height" value="0.02646" units="cm"/>
      <inkml:brushProperty name="color" value="#ED1C24"/>
      <inkml:brushProperty name="ignorePressure" value="1"/>
    </inkml:brush>
  </inkml:definitions>
  <inkml:traceGroup>
    <inkml:annotationXML>
      <emma:emma xmlns:emma="http://www.w3.org/2003/04/emma" version="1.0">
        <emma:interpretation id="{059A278F-F674-4470-B274-D0A0E43197E8}" emma:medium="tactile" emma:mode="ink">
          <msink:context xmlns:msink="http://schemas.microsoft.com/ink/2010/main" type="inkDrawing"/>
        </emma:interpretation>
      </emma:emma>
    </inkml:annotationXML>
    <inkml:trace contextRef="#ctx0" brushRef="#br0">36449 117549</inkml:trace>
  </inkml:traceGroup>
</inkml:ink>
</file>

<file path=xl/ink/ink12.xml><?xml version="1.0" encoding="utf-8"?>
<inkml:ink xmlns:inkml="http://www.w3.org/2003/InkML">
  <inkml:definitions/>
  <inkml:traceGroup>
    <inkml:annotationXML>
      <emma:emma xmlns:emma="http://www.w3.org/2003/04/emma" version="1.0">
        <emma:interpretation id="{D4BD5055-F229-4292-8428-483284754765}" emma:medium="tactile" emma:mode="ink">
          <msink:context xmlns:msink="http://schemas.microsoft.com/ink/2010/main" type="writingRegion" rotatedBoundingBox="23344,116278 24759,116278 24759,116520 23344,116520"/>
        </emma:interpretation>
      </emma:emma>
    </inkml:annotationXML>
  </inkml:traceGroup>
</inkml:ink>
</file>

<file path=xl/ink/ink13.xml><?xml version="1.0" encoding="utf-8"?>
<inkml:ink xmlns:inkml="http://www.w3.org/2003/InkML">
  <inkml:definitions/>
  <inkml:traceGroup>
    <inkml:annotationXML>
      <emma:emma xmlns:emma="http://www.w3.org/2003/04/emma" version="1.0">
        <emma:interpretation id="{1022B22A-8BFD-43E2-8259-AE4920900585}" emma:medium="tactile" emma:mode="ink">
          <msink:context xmlns:msink="http://schemas.microsoft.com/ink/2010/main" type="inkDrawing" rotatedBoundingBox="24043,116278 24058,116278 24058,116293 24043,116293" shapeName="Other"/>
        </emma:interpretation>
      </emma:emma>
    </inkml:annotationXML>
  </inkml:traceGroup>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1T02:23:55.653"/>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D9FBF278-87F7-4558-959E-A9A403C6CA70}" emma:medium="tactile" emma:mode="ink">
          <msink:context xmlns:msink="http://schemas.microsoft.com/ink/2010/main" type="inkDrawing"/>
        </emma:interpretation>
      </emma:emma>
    </inkml:annotationXML>
    <inkml:trace contextRef="#ctx0" brushRef="#br0">27092 110156</inkml:trace>
  </inkml:traceGroup>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1T02:24:04.483"/>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A28F0679-7E74-404E-8CFB-7583EFC00525}" emma:medium="tactile" emma:mode="ink">
          <msink:context xmlns:msink="http://schemas.microsoft.com/ink/2010/main" type="inkDrawing"/>
        </emma:interpretation>
      </emma:emma>
    </inkml:annotationXML>
    <inkml:trace contextRef="#ctx0" brushRef="#br0">30352 116212</inkml:trace>
  </inkml:traceGroup>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1T02:24:07.654"/>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39361864-0B46-4821-BE75-40EC31885949}" emma:medium="tactile" emma:mode="ink">
          <msink:context xmlns:msink="http://schemas.microsoft.com/ink/2010/main" type="writingRegion" rotatedBoundingBox="22370,111828 22385,111828 22385,111843 22370,111843"/>
        </emma:interpretation>
      </emma:emma>
    </inkml:annotationXML>
    <inkml:traceGroup>
      <inkml:annotationXML>
        <emma:emma xmlns:emma="http://www.w3.org/2003/04/emma" version="1.0">
          <emma:interpretation id="{C600DD66-2D99-4BAF-A88C-F9B1C32C1C5F}" emma:medium="tactile" emma:mode="ink">
            <msink:context xmlns:msink="http://schemas.microsoft.com/ink/2010/main" type="paragraph" rotatedBoundingBox="22370,111828 22385,111828 22385,111843 22370,111843" alignmentLevel="1"/>
          </emma:interpretation>
        </emma:emma>
      </inkml:annotationXML>
      <inkml:traceGroup>
        <inkml:annotationXML>
          <emma:emma xmlns:emma="http://www.w3.org/2003/04/emma" version="1.0">
            <emma:interpretation id="{5FFA228A-FB59-4F9F-AB66-B3F676D1DFFB}" emma:medium="tactile" emma:mode="ink">
              <msink:context xmlns:msink="http://schemas.microsoft.com/ink/2010/main" type="line" rotatedBoundingBox="22370,111828 22385,111828 22385,111843 22370,111843"/>
            </emma:interpretation>
          </emma:emma>
        </inkml:annotationXML>
        <inkml:traceGroup>
          <inkml:annotationXML>
            <emma:emma xmlns:emma="http://www.w3.org/2003/04/emma" version="1.0">
              <emma:interpretation id="{0CF37B9A-73BB-48E3-A053-CC97B8F243C5}" emma:medium="tactile" emma:mode="ink">
                <msink:context xmlns:msink="http://schemas.microsoft.com/ink/2010/main" type="inkWord" rotatedBoundingBox="22370,111828 22385,111828 22385,111843 22370,111843"/>
              </emma:interpretation>
            </emma:emma>
          </inkml:annotationXML>
          <inkml:trace contextRef="#ctx0" brushRef="#br0">22372 111829</inkml:trace>
        </inkml:traceGroup>
      </inkml:traceGroup>
    </inkml:traceGroup>
  </inkml:traceGroup>
</inkml:ink>
</file>

<file path=xl/ink/ink17.xml><?xml version="1.0" encoding="utf-8"?>
<inkml:ink xmlns:inkml="http://www.w3.org/2003/InkML">
  <inkml:definitions/>
  <inkml:traceGroup>
    <inkml:annotationXML>
      <emma:emma xmlns:emma="http://www.w3.org/2003/04/emma" version="1.0">
        <emma:interpretation id="{5EBAF25B-2F97-402C-BC84-625B219FA401}" emma:medium="tactile" emma:mode="ink">
          <msink:context xmlns:msink="http://schemas.microsoft.com/ink/2010/main" type="inkDrawing" rotatedBoundingBox="26774,117883 26789,117883 26789,117898 26774,117898" shapeName="Other"/>
        </emma:interpretation>
      </emma:emma>
    </inkml:annotationXML>
  </inkml:traceGroup>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1T02:56:51.816"/>
    </inkml:context>
    <inkml:brush xml:id="br0">
      <inkml:brushProperty name="width" value="0.02646" units="cm"/>
      <inkml:brushProperty name="height" value="0.02646" units="cm"/>
      <inkml:brushProperty name="color" value="#ED1C24"/>
      <inkml:brushProperty name="ignorePressure" value="1"/>
    </inkml:brush>
  </inkml:definitions>
  <inkml:traceGroup>
    <inkml:annotationXML>
      <emma:emma xmlns:emma="http://www.w3.org/2003/04/emma" version="1.0">
        <emma:interpretation id="{F26F88A1-9D64-450C-91C1-0C6C4345D434}" emma:medium="tactile" emma:mode="ink">
          <msink:context xmlns:msink="http://schemas.microsoft.com/ink/2010/main" type="writingRegion" rotatedBoundingBox="28760,111551 30585,106497 31541,106842 29715,111897"/>
        </emma:interpretation>
      </emma:emma>
    </inkml:annotationXML>
    <inkml:traceGroup>
      <inkml:annotationXML>
        <emma:emma xmlns:emma="http://www.w3.org/2003/04/emma" version="1.0">
          <emma:interpretation id="{D9EA2C23-E564-446C-9F07-7E32F3C9DE6B}" emma:medium="tactile" emma:mode="ink">
            <msink:context xmlns:msink="http://schemas.microsoft.com/ink/2010/main" type="paragraph" rotatedBoundingBox="28764,106502 30938,106502 30938,111556 28764,111556" alignmentLevel="1"/>
          </emma:interpretation>
        </emma:emma>
      </inkml:annotationXML>
      <inkml:traceGroup>
        <inkml:annotationXML>
          <emma:emma xmlns:emma="http://www.w3.org/2003/04/emma" version="1.0">
            <emma:interpretation id="{A02EF591-38D6-4EB9-95C9-20A303A1CE69}" emma:medium="tactile" emma:mode="ink">
              <msink:context xmlns:msink="http://schemas.microsoft.com/ink/2010/main" type="inkBullet" rotatedBoundingBox="28760,111551 28765,111536 28778,111540 28773,111556"/>
            </emma:interpretation>
            <emma:one-of disjunction-type="recognition" id="oneOf0">
              <emma:interpretation id="interp0" emma:lang="en-NZ" emma:confidence="0">
                <emma:literal>↳</emma:literal>
              </emma:interpretation>
            </emma:one-of>
          </emma:emma>
        </inkml:annotationXML>
        <inkml:trace contextRef="#ctx0" brushRef="#br0">28765 110635</inkml:trace>
      </inkml:traceGroup>
      <inkml:traceGroup>
        <inkml:annotationXML>
          <emma:emma xmlns:emma="http://www.w3.org/2003/04/emma" version="1.0">
            <emma:interpretation id="{75B247EC-17B1-4029-A085-90349FA0C1F7}" emma:medium="tactile" emma:mode="ink">
              <msink:context xmlns:msink="http://schemas.microsoft.com/ink/2010/main" type="line" rotatedBoundingBox="30584,106502 30599,106502 30599,106517 30584,106517"/>
            </emma:interpretation>
          </emma:emma>
        </inkml:annotationXML>
        <inkml:traceGroup>
          <inkml:annotationXML>
            <emma:emma xmlns:emma="http://www.w3.org/2003/04/emma" version="1.0">
              <emma:interpretation id="{3772B510-7B50-4AA7-AF0E-A1AB7338BDAD}" emma:medium="tactile" emma:mode="ink">
                <msink:context xmlns:msink="http://schemas.microsoft.com/ink/2010/main" type="inkWord" rotatedBoundingBox="30584,106502 30599,106502 30599,106517 30584,106517"/>
              </emma:interpretation>
            </emma:emma>
          </inkml:annotationXML>
          <inkml:trace contextRef="#ctx0" brushRef="#br0" timeOffset="6704">30765 106502</inkml:trace>
        </inkml:traceGroup>
      </inkml:traceGroup>
      <inkml:traceGroup>
        <inkml:annotationXML>
          <emma:emma xmlns:emma="http://www.w3.org/2003/04/emma" version="1.0">
            <emma:interpretation id="{4B4DD8AD-3E5E-4FF0-B61E-DA5CA4A62A4E}" emma:medium="tactile" emma:mode="ink">
              <msink:context xmlns:msink="http://schemas.microsoft.com/ink/2010/main" type="line" rotatedBoundingBox="30923,108513 30938,108513 30938,108528 30923,108528"/>
            </emma:interpretation>
          </emma:emma>
        </inkml:annotationXML>
        <inkml:traceGroup>
          <inkml:annotationXML>
            <emma:emma xmlns:emma="http://www.w3.org/2003/04/emma" version="1.0">
              <emma:interpretation id="{E429ACCB-DB20-4C57-A072-CC15264B9E11}" emma:medium="tactile" emma:mode="ink">
                <msink:context xmlns:msink="http://schemas.microsoft.com/ink/2010/main" type="inkWord" rotatedBoundingBox="30923,108513 30938,108513 30938,108528 30923,108528"/>
              </emma:interpretation>
            </emma:emma>
          </inkml:annotationXML>
          <inkml:trace contextRef="#ctx0" brushRef="#br0" timeOffset="5033">31136 108152</inkml:trace>
        </inkml:traceGroup>
      </inkml:traceGroup>
    </inkml:traceGroup>
  </inkml:traceGroup>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03:01:33.281"/>
    </inkml:context>
    <inkml:brush xml:id="br0">
      <inkml:brushProperty name="width" value="0.03969" units="cm"/>
      <inkml:brushProperty name="height" value="0.03969" units="cm"/>
      <inkml:brushProperty name="color" value="#3165BB"/>
      <inkml:brushProperty name="ignorePressure" value="1"/>
    </inkml:brush>
  </inkml:definitions>
  <inkml:traceGroup>
    <inkml:annotationXML>
      <emma:emma xmlns:emma="http://www.w3.org/2003/04/emma" version="1.0">
        <emma:interpretation id="{167781C5-C552-4E23-BCD9-A266A5337765}" emma:medium="tactile" emma:mode="ink">
          <msink:context xmlns:msink="http://schemas.microsoft.com/ink/2010/main" type="inkDrawing" rotatedBoundingBox="24964,38086 24979,38086 24979,38101 24964,38101" shapeName="None"/>
        </emma:interpretation>
      </emma:emma>
    </inkml:annotationXML>
    <inkml:trace contextRef="#ctx0" brushRef="#br0">27876 18217</inkml:trace>
  </inkml:traceGroup>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696"/>
    </inkml:context>
    <inkml:brush xml:id="br0">
      <inkml:brushProperty name="width" value="0.05" units="cm"/>
      <inkml:brushProperty name="height" value="0.05" units="cm"/>
      <inkml:brushProperty name="ignorePressure" value="1"/>
    </inkml:brush>
  </inkml:definitions>
  <inkml:trace contextRef="#ctx0" brushRef="#br0">1 0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16.179"/>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A6735E5A-5F3F-4B7F-BAEE-916CD26D092A}" emma:medium="tactile" emma:mode="ink">
          <msink:context xmlns:msink="http://schemas.microsoft.com/ink/2010/main" type="inkDrawing"/>
        </emma:interpretation>
      </emma:emma>
    </inkml:annotationXML>
    <inkml:trace contextRef="#ctx0" brushRef="#br0">18603 6423</inkml:trace>
  </inkml:traceGroup>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36.827"/>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7243B4B9-7537-48B1-99A8-DD5A54EE5DBF}" emma:medium="tactile" emma:mode="ink">
          <msink:context xmlns:msink="http://schemas.microsoft.com/ink/2010/main" type="writingRegion" rotatedBoundingBox="27028,3838 27043,3838 27043,3853 27028,3853"/>
        </emma:interpretation>
      </emma:emma>
    </inkml:annotationXML>
    <inkml:traceGroup>
      <inkml:annotationXML>
        <emma:emma xmlns:emma="http://www.w3.org/2003/04/emma" version="1.0">
          <emma:interpretation id="{1B3EF680-D9C1-4FDD-92CA-88696EF4D905}" emma:medium="tactile" emma:mode="ink">
            <msink:context xmlns:msink="http://schemas.microsoft.com/ink/2010/main" type="paragraph" rotatedBoundingBox="27028,3838 27043,3838 27043,3853 27028,3853" alignmentLevel="1"/>
          </emma:interpretation>
        </emma:emma>
      </inkml:annotationXML>
      <inkml:traceGroup>
        <inkml:annotationXML>
          <emma:emma xmlns:emma="http://www.w3.org/2003/04/emma" version="1.0">
            <emma:interpretation id="{5DE78485-CBE0-4263-A92E-9D139B21394D}" emma:medium="tactile" emma:mode="ink">
              <msink:context xmlns:msink="http://schemas.microsoft.com/ink/2010/main" type="line" rotatedBoundingBox="27028,3838 27043,3838 27043,3853 27028,3853"/>
            </emma:interpretation>
          </emma:emma>
        </inkml:annotationXML>
        <inkml:traceGroup>
          <inkml:annotationXML>
            <emma:emma xmlns:emma="http://www.w3.org/2003/04/emma" version="1.0">
              <emma:interpretation id="{4E73FD42-EB5D-4A78-B5ED-F14D84B859E5}" emma:medium="tactile" emma:mode="ink">
                <msink:context xmlns:msink="http://schemas.microsoft.com/ink/2010/main" type="inkWord" rotatedBoundingBox="27028,3838 27043,3838 27043,3853 27028,3853"/>
              </emma:interpretation>
            </emma:emma>
          </inkml:annotationXML>
          <inkml:trace contextRef="#ctx0" brushRef="#br0">27028 3840</inkml:trace>
        </inkml:traceGroup>
      </inkml:traceGroup>
    </inkml:traceGroup>
  </inkml:traceGroup>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40.928"/>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0629EE08-CCA9-44B5-9E77-17E5E49FB3AF}" emma:medium="tactile" emma:mode="ink">
          <msink:context xmlns:msink="http://schemas.microsoft.com/ink/2010/main" type="inkDrawing"/>
        </emma:interpretation>
      </emma:emma>
    </inkml:annotationXML>
    <inkml:trace contextRef="#ctx0" brushRef="#br0">13332 7905</inkml:trace>
  </inkml:traceGroup>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41.210"/>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7B718A74-45E5-454F-8BBA-A83863905113}" emma:medium="tactile" emma:mode="ink">
          <msink:context xmlns:msink="http://schemas.microsoft.com/ink/2010/main" type="inkDrawing"/>
        </emma:interpretation>
      </emma:emma>
    </inkml:annotationXML>
    <inkml:trace contextRef="#ctx0" brushRef="#br0">13332 7905</inkml:trace>
  </inkml:traceGroup>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41.938"/>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AE6B9258-7DA5-4552-97A2-A27841F24F12}" emma:medium="tactile" emma:mode="ink">
          <msink:context xmlns:msink="http://schemas.microsoft.com/ink/2010/main" type="inkDrawing"/>
        </emma:interpretation>
      </emma:emma>
    </inkml:annotationXML>
    <inkml:trace contextRef="#ctx0" brushRef="#br0">25716 5301</inkml:trace>
  </inkml:traceGroup>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39.828"/>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B0336944-8450-4623-A95B-DDBDAF4E3519}" emma:medium="tactile" emma:mode="ink">
          <msink:context xmlns:msink="http://schemas.microsoft.com/ink/2010/main" type="writingRegion" rotatedBoundingBox="13437,7945 13876,7966 13875,7982 13436,7960"/>
        </emma:interpretation>
      </emma:emma>
    </inkml:annotationXML>
    <inkml:traceGroup>
      <inkml:annotationXML>
        <emma:emma xmlns:emma="http://www.w3.org/2003/04/emma" version="1.0">
          <emma:interpretation id="{D28D0FF8-2CFC-45F6-9D73-D94E03EA4796}" emma:medium="tactile" emma:mode="ink">
            <msink:context xmlns:msink="http://schemas.microsoft.com/ink/2010/main" type="paragraph" rotatedBoundingBox="13437,7945 13876,7966 13875,7982 13436,7960" alignmentLevel="1"/>
          </emma:interpretation>
        </emma:emma>
      </inkml:annotationXML>
      <inkml:traceGroup>
        <inkml:annotationXML>
          <emma:emma xmlns:emma="http://www.w3.org/2003/04/emma" version="1.0">
            <emma:interpretation id="{BADD3385-ABAA-4367-BE27-99EEB71DF31A}" emma:medium="tactile" emma:mode="ink">
              <msink:context xmlns:msink="http://schemas.microsoft.com/ink/2010/main" type="line" rotatedBoundingBox="13437,7945 13876,7966 13875,7982 13436,7960"/>
            </emma:interpretation>
          </emma:emma>
        </inkml:annotationXML>
        <inkml:traceGroup>
          <inkml:annotationXML>
            <emma:emma xmlns:emma="http://www.w3.org/2003/04/emma" version="1.0">
              <emma:interpretation id="{D85667F5-B993-434F-9251-80BA3A16BBCC}" emma:medium="tactile" emma:mode="ink">
                <msink:context xmlns:msink="http://schemas.microsoft.com/ink/2010/main" type="inkWord" rotatedBoundingBox="13437,7945 13876,7966 13875,7982 13436,7960"/>
              </emma:interpretation>
            </emma:emma>
          </inkml:annotationXML>
          <inkml:trace contextRef="#ctx0" brushRef="#br0">13438 7947</inkml:trace>
          <inkml:trace contextRef="#ctx0" brushRef="#br0" timeOffset="7141">13859 7968</inkml:trace>
          <inkml:trace contextRef="#ctx0" brushRef="#br0" timeOffset="7817">13859 7968</inkml:trace>
        </inkml:traceGroup>
      </inkml:traceGroup>
    </inkml:traceGroup>
  </inkml:traceGroup>
</inkml:ink>
</file>

<file path=xl/ink/ink26.xml><?xml version="1.0" encoding="utf-8"?>
<inkml:ink xmlns:inkml="http://www.w3.org/2003/InkML">
  <inkml:definitions/>
  <inkml:traceGroup>
    <inkml:annotationXML>
      <emma:emma xmlns:emma="http://www.w3.org/2003/04/emma" version="1.0">
        <emma:interpretation id="{0C8C8635-9009-4086-A38E-440576AFB57D}" emma:medium="tactile" emma:mode="ink">
          <msink:context xmlns:msink="http://schemas.microsoft.com/ink/2010/main" type="writingRegion" rotatedBoundingBox="29864,1954 29879,1954 29879,1969 29864,1969"/>
        </emma:interpretation>
      </emma:emma>
    </inkml:annotationXML>
    <inkml:traceGroup>
      <inkml:annotationXML>
        <emma:emma xmlns:emma="http://www.w3.org/2003/04/emma" version="1.0">
          <emma:interpretation id="{06B0485F-FF3E-44F2-95B0-7CA5CAC63CF8}" emma:medium="tactile" emma:mode="ink">
            <msink:context xmlns:msink="http://schemas.microsoft.com/ink/2010/main" type="paragraph" rotatedBoundingBox="29864,1954 29879,1954 29879,1969 29864,1969" alignmentLevel="1"/>
          </emma:interpretation>
        </emma:emma>
      </inkml:annotationXML>
      <inkml:traceGroup>
        <inkml:annotationXML>
          <emma:emma xmlns:emma="http://www.w3.org/2003/04/emma" version="1.0">
            <emma:interpretation id="{1BE2E9DF-7701-4214-A776-E6E0B309CD33}" emma:medium="tactile" emma:mode="ink">
              <msink:context xmlns:msink="http://schemas.microsoft.com/ink/2010/main" type="line" rotatedBoundingBox="29864,1954 29879,1954 29879,1969 29864,1969"/>
            </emma:interpretation>
          </emma:emma>
        </inkml:annotationXML>
        <inkml:traceGroup>
          <inkml:annotationXML>
            <emma:emma xmlns:emma="http://www.w3.org/2003/04/emma" version="1.0">
              <emma:interpretation id="{D5B293CF-25F0-4FB0-B135-95A1C6A8CECE}" emma:medium="tactile" emma:mode="ink">
                <msink:context xmlns:msink="http://schemas.microsoft.com/ink/2010/main" type="inkWord" rotatedBoundingBox="29864,1954 29879,1954 29879,1969 29864,1969"/>
              </emma:interpretation>
            </emma:emma>
          </inkml:annotationXML>
        </inkml:traceGroup>
      </inkml:traceGroup>
    </inkml:traceGroup>
  </inkml:traceGroup>
</inkml:ink>
</file>

<file path=xl/ink/ink27.xml><?xml version="1.0" encoding="utf-8"?>
<inkml:ink xmlns:inkml="http://www.w3.org/2003/InkML">
  <inkml:definitions/>
  <inkml:traceGroup>
    <inkml:annotationXML>
      <emma:emma xmlns:emma="http://www.w3.org/2003/04/emma" version="1.0">
        <emma:interpretation id="{5D15768C-FF54-46B3-8340-C91815133DEA}" emma:medium="tactile" emma:mode="ink">
          <msink:context xmlns:msink="http://schemas.microsoft.com/ink/2010/main" type="writingRegion" rotatedBoundingBox="13860,13980 13875,13980 13875,13995 13860,13995"/>
        </emma:interpretation>
      </emma:emma>
    </inkml:annotationXML>
    <inkml:traceGroup>
      <inkml:annotationXML>
        <emma:emma xmlns:emma="http://www.w3.org/2003/04/emma" version="1.0">
          <emma:interpretation id="{15F3DD0D-1E73-44CE-BD4E-E61992CC840E}" emma:medium="tactile" emma:mode="ink">
            <msink:context xmlns:msink="http://schemas.microsoft.com/ink/2010/main" type="paragraph" rotatedBoundingBox="13860,13980 13875,13980 13875,13995 13860,13995" alignmentLevel="1"/>
          </emma:interpretation>
        </emma:emma>
      </inkml:annotationXML>
      <inkml:traceGroup>
        <inkml:annotationXML>
          <emma:emma xmlns:emma="http://www.w3.org/2003/04/emma" version="1.0">
            <emma:interpretation id="{3E12EBF9-EF78-4BB3-B4BA-4E990D73D6D2}" emma:medium="tactile" emma:mode="ink">
              <msink:context xmlns:msink="http://schemas.microsoft.com/ink/2010/main" type="line" rotatedBoundingBox="13860,13980 13875,13980 13875,13995 13860,13995"/>
            </emma:interpretation>
          </emma:emma>
        </inkml:annotationXML>
        <inkml:traceGroup>
          <inkml:annotationXML>
            <emma:emma xmlns:emma="http://www.w3.org/2003/04/emma" version="1.0">
              <emma:interpretation id="{78791541-DADB-4FA4-8B13-7448DE2ECBBA}" emma:medium="tactile" emma:mode="ink">
                <msink:context xmlns:msink="http://schemas.microsoft.com/ink/2010/main" type="inkWord" rotatedBoundingBox="13860,13980 13875,13980 13875,13995 13860,13995"/>
              </emma:interpretation>
            </emma:emma>
          </inkml:annotationXML>
        </inkml:traceGroup>
      </inkml:traceGroup>
    </inkml:traceGroup>
  </inkml:traceGroup>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51.793"/>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CA0C15BF-CC5D-4B13-9E7F-88048381C9BA}" emma:medium="tactile" emma:mode="ink">
          <msink:context xmlns:msink="http://schemas.microsoft.com/ink/2010/main" type="writingRegion" rotatedBoundingBox="21862,1954 21877,1954 21877,1969 21862,1969"/>
        </emma:interpretation>
      </emma:emma>
    </inkml:annotationXML>
    <inkml:traceGroup>
      <inkml:annotationXML>
        <emma:emma xmlns:emma="http://www.w3.org/2003/04/emma" version="1.0">
          <emma:interpretation id="{37801924-6A31-45B8-8279-5B4749D0AC87}" emma:medium="tactile" emma:mode="ink">
            <msink:context xmlns:msink="http://schemas.microsoft.com/ink/2010/main" type="paragraph" rotatedBoundingBox="21862,1954 21877,1954 21877,1969 21862,1969" alignmentLevel="1"/>
          </emma:interpretation>
        </emma:emma>
      </inkml:annotationXML>
      <inkml:traceGroup>
        <inkml:annotationXML>
          <emma:emma xmlns:emma="http://www.w3.org/2003/04/emma" version="1.0">
            <emma:interpretation id="{E6C0B262-97B9-44E4-A0D5-24E954C9D779}" emma:medium="tactile" emma:mode="ink">
              <msink:context xmlns:msink="http://schemas.microsoft.com/ink/2010/main" type="line" rotatedBoundingBox="21862,1954 21877,1954 21877,1969 21862,1969"/>
            </emma:interpretation>
          </emma:emma>
        </inkml:annotationXML>
        <inkml:traceGroup>
          <inkml:annotationXML>
            <emma:emma xmlns:emma="http://www.w3.org/2003/04/emma" version="1.0">
              <emma:interpretation id="{63509C6E-5DE6-4FB4-8352-6A87EA32614F}" emma:medium="tactile" emma:mode="ink">
                <msink:context xmlns:msink="http://schemas.microsoft.com/ink/2010/main" type="inkWord" rotatedBoundingBox="21862,1954 21877,1954 21877,1969 21862,1969"/>
              </emma:interpretation>
            </emma:emma>
          </inkml:annotationXML>
          <inkml:trace contextRef="#ctx0" brushRef="#br0">21864 1955</inkml:trace>
        </inkml:traceGroup>
      </inkml:traceGroup>
    </inkml:traceGroup>
  </inkml:traceGroup>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51.793"/>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BFA34D80-1245-462A-A08E-9D86B33F8E74}" emma:medium="tactile" emma:mode="ink">
          <msink:context xmlns:msink="http://schemas.microsoft.com/ink/2010/main" type="writingRegion" rotatedBoundingBox="13860,7967 13875,7967 13875,7982 13860,7982"/>
        </emma:interpretation>
      </emma:emma>
    </inkml:annotationXML>
    <inkml:traceGroup>
      <inkml:annotationXML>
        <emma:emma xmlns:emma="http://www.w3.org/2003/04/emma" version="1.0">
          <emma:interpretation id="{A701FF4A-8103-43E9-A6FB-0F7579BF422C}" emma:medium="tactile" emma:mode="ink">
            <msink:context xmlns:msink="http://schemas.microsoft.com/ink/2010/main" type="paragraph" rotatedBoundingBox="13860,7967 13875,7967 13875,7982 13860,7982" alignmentLevel="1"/>
          </emma:interpretation>
        </emma:emma>
      </inkml:annotationXML>
      <inkml:traceGroup>
        <inkml:annotationXML>
          <emma:emma xmlns:emma="http://www.w3.org/2003/04/emma" version="1.0">
            <emma:interpretation id="{E3237EBD-8FF6-4A29-84EE-1F01360811D9}" emma:medium="tactile" emma:mode="ink">
              <msink:context xmlns:msink="http://schemas.microsoft.com/ink/2010/main" type="line" rotatedBoundingBox="13860,7967 13875,7967 13875,7982 13860,7982"/>
            </emma:interpretation>
          </emma:emma>
        </inkml:annotationXML>
        <inkml:traceGroup>
          <inkml:annotationXML>
            <emma:emma xmlns:emma="http://www.w3.org/2003/04/emma" version="1.0">
              <emma:interpretation id="{F00AD540-C50C-4C57-A551-DCC53E0C36A3}" emma:medium="tactile" emma:mode="ink">
                <msink:context xmlns:msink="http://schemas.microsoft.com/ink/2010/main" type="inkWord" rotatedBoundingBox="13860,7967 13875,7967 13875,7982 13860,7982"/>
              </emma:interpretation>
            </emma:emma>
          </inkml:annotationXML>
          <inkml:trace contextRef="#ctx0" brushRef="#br0">13862 7968</inkml:trace>
        </inkml:traceGroup>
      </inkml:traceGroup>
    </inkml:traceGroup>
  </inkml:traceGroup>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697"/>
    </inkml:context>
    <inkml:brush xml:id="br0">
      <inkml:brushProperty name="width" value="0.05" units="cm"/>
      <inkml:brushProperty name="height" value="0.05" units="cm"/>
      <inkml:brushProperty name="ignorePressure" value="1"/>
    </inkml:brush>
  </inkml:definitions>
  <inkml:trace contextRef="#ctx0" brushRef="#br0">29 0,'5'0,"0"1,0-1,0 1,0 0,0 0,0 1,0-1,0 1,0 0,0 0,-1 1,1-1,-1 1,0 0,1 1,4 5,-6-7,-1 1,0 0,0-1,0 1,0 0,-1 0,1 0,-1 1,0-1,0 0,0 0,0 1,-1-1,1 0,-1 1,0-1,0 1,0-1,0 1,0-1,-1 0,0 1,0-1,0 0,-1 4,-3 2,0-1,0 0,0 0,-1 0,0-1,-1 0,0 0,0-1,0 1,-1-2,0 1,0-1,0 0,-14 5,6-4</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9:02.137"/>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0A1A3F64-3205-4C3C-81CA-974216B06408}" emma:medium="tactile" emma:mode="ink">
          <msink:context xmlns:msink="http://schemas.microsoft.com/ink/2010/main" type="inkDrawing"/>
        </emma:interpretation>
      </emma:emma>
    </inkml:annotationXML>
    <inkml:trace contextRef="#ctx0" brushRef="#br0">22118 5956</inkml:trace>
  </inkml:traceGroup>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9:06.740"/>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B10406D6-E358-48F1-A214-4E739230A8B2}" emma:medium="tactile" emma:mode="ink">
          <msink:context xmlns:msink="http://schemas.microsoft.com/ink/2010/main" type="inkDrawing"/>
        </emma:interpretation>
      </emma:emma>
    </inkml:annotationXML>
    <inkml:trace contextRef="#ctx0" brushRef="#br0">21461 10869</inkml:trace>
  </inkml:traceGroup>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9:08.362"/>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075F379B-8A38-4732-92CF-F3F11C1856CC}" emma:medium="tactile" emma:mode="ink">
          <msink:context xmlns:msink="http://schemas.microsoft.com/ink/2010/main" type="inkDrawing" rotatedBoundingBox="32320,2865 32335,2865 32335,2880 32320,2880" shapeName="None"/>
        </emma:interpretation>
      </emma:emma>
    </inkml:annotationXML>
    <inkml:trace contextRef="#ctx0" brushRef="#br0">32321 2865</inkml:trace>
  </inkml:traceGroup>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4:23.785"/>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50AFE926-0121-46EB-AFAB-AA6575F7C522}" emma:medium="tactile" emma:mode="ink">
          <msink:context xmlns:msink="http://schemas.microsoft.com/ink/2010/main" type="writingRegion" rotatedBoundingBox="20105,35999 20120,35999 20120,36014 20105,36014"/>
        </emma:interpretation>
      </emma:emma>
    </inkml:annotationXML>
    <inkml:traceGroup>
      <inkml:annotationXML>
        <emma:emma xmlns:emma="http://www.w3.org/2003/04/emma" version="1.0">
          <emma:interpretation id="{C8FE814A-9F4A-412C-AF5C-DAFBCD1071CF}" emma:medium="tactile" emma:mode="ink">
            <msink:context xmlns:msink="http://schemas.microsoft.com/ink/2010/main" type="paragraph" rotatedBoundingBox="20105,35999 20120,35999 20120,36014 20105,36014" alignmentLevel="1"/>
          </emma:interpretation>
        </emma:emma>
      </inkml:annotationXML>
      <inkml:traceGroup>
        <inkml:annotationXML>
          <emma:emma xmlns:emma="http://www.w3.org/2003/04/emma" version="1.0">
            <emma:interpretation id="{C067613C-F111-4A18-9D5E-18121059105A}" emma:medium="tactile" emma:mode="ink">
              <msink:context xmlns:msink="http://schemas.microsoft.com/ink/2010/main" type="line" rotatedBoundingBox="20105,35999 20120,35999 20120,36014 20105,36014"/>
            </emma:interpretation>
          </emma:emma>
        </inkml:annotationXML>
        <inkml:traceGroup>
          <inkml:annotationXML>
            <emma:emma xmlns:emma="http://www.w3.org/2003/04/emma" version="1.0">
              <emma:interpretation id="{249042E7-2E97-41F9-8A26-96C6E96D54C1}" emma:medium="tactile" emma:mode="ink">
                <msink:context xmlns:msink="http://schemas.microsoft.com/ink/2010/main" type="inkWord" rotatedBoundingBox="20105,35999 20120,35999 20120,36014 20105,36014"/>
              </emma:interpretation>
            </emma:emma>
          </inkml:annotationXML>
          <inkml:trace contextRef="#ctx0" brushRef="#br0">20107 35999</inkml:trace>
        </inkml:traceGroup>
      </inkml:traceGroup>
    </inkml:traceGroup>
  </inkml:traceGroup>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4:58.072"/>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DE441676-4742-42C3-9784-F0CE6AC80F8C}" emma:medium="tactile" emma:mode="ink">
          <msink:context xmlns:msink="http://schemas.microsoft.com/ink/2010/main" type="writingRegion" rotatedBoundingBox="25313,38857 25328,38857 25328,38872 25313,38872"/>
        </emma:interpretation>
      </emma:emma>
    </inkml:annotationXML>
    <inkml:traceGroup>
      <inkml:annotationXML>
        <emma:emma xmlns:emma="http://www.w3.org/2003/04/emma" version="1.0">
          <emma:interpretation id="{88C07944-DDF5-4596-BEF8-12464EFF6824}" emma:medium="tactile" emma:mode="ink">
            <msink:context xmlns:msink="http://schemas.microsoft.com/ink/2010/main" type="paragraph" rotatedBoundingBox="25313,38857 25328,38857 25328,38872 25313,38872" alignmentLevel="1"/>
          </emma:interpretation>
        </emma:emma>
      </inkml:annotationXML>
      <inkml:traceGroup>
        <inkml:annotationXML>
          <emma:emma xmlns:emma="http://www.w3.org/2003/04/emma" version="1.0">
            <emma:interpretation id="{E7F96E58-1166-4A4E-9EB6-75F1166D9D71}" emma:medium="tactile" emma:mode="ink">
              <msink:context xmlns:msink="http://schemas.microsoft.com/ink/2010/main" type="line" rotatedBoundingBox="25313,38857 25328,38857 25328,38872 25313,38872"/>
            </emma:interpretation>
          </emma:emma>
        </inkml:annotationXML>
        <inkml:traceGroup>
          <inkml:annotationXML>
            <emma:emma xmlns:emma="http://www.w3.org/2003/04/emma" version="1.0">
              <emma:interpretation id="{5B200F86-46A7-45C7-B85F-F065B6F791A8}" emma:medium="tactile" emma:mode="ink">
                <msink:context xmlns:msink="http://schemas.microsoft.com/ink/2010/main" type="inkWord" rotatedBoundingBox="25313,38857 25328,38857 25328,38872 25313,38872"/>
              </emma:interpretation>
            </emma:emma>
          </inkml:annotationXML>
          <inkml:trace contextRef="#ctx0" brushRef="#br0">25314 38858</inkml:trace>
        </inkml:traceGroup>
      </inkml:traceGroup>
    </inkml:traceGroup>
  </inkml:traceGroup>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4:58.956"/>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8A18620F-B239-485B-AE6A-340A6671593E}" emma:medium="tactile" emma:mode="ink">
          <msink:context xmlns:msink="http://schemas.microsoft.com/ink/2010/main" type="inkDrawing"/>
        </emma:interpretation>
      </emma:emma>
    </inkml:annotationXML>
    <inkml:trace contextRef="#ctx0" brushRef="#br0">13862 40551</inkml:trace>
  </inkml:traceGroup>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4:59.670"/>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91909C06-3FB6-421F-AFEC-7342B608BF01}" emma:medium="tactile" emma:mode="ink">
          <msink:context xmlns:msink="http://schemas.microsoft.com/ink/2010/main" type="inkDrawing"/>
        </emma:interpretation>
      </emma:emma>
    </inkml:annotationXML>
    <inkml:trace contextRef="#ctx0" brushRef="#br0">13862 40551</inkml:trace>
  </inkml:traceGroup>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4:59.966"/>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E831904B-5FD7-4F6F-8E1F-5436A51FFBD9}" emma:medium="tactile" emma:mode="ink">
          <msink:context xmlns:msink="http://schemas.microsoft.com/ink/2010/main" type="inkDrawing"/>
        </emma:interpretation>
      </emma:emma>
    </inkml:annotationXML>
    <inkml:trace contextRef="#ctx0" brushRef="#br0">13862 40551</inkml:trace>
  </inkml:traceGroup>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5:00.253"/>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3B5729B3-65A2-4781-9AB3-1750F45B2886}" emma:medium="tactile" emma:mode="ink">
          <msink:context xmlns:msink="http://schemas.microsoft.com/ink/2010/main" type="inkDrawing"/>
        </emma:interpretation>
      </emma:emma>
    </inkml:annotationXML>
    <inkml:trace contextRef="#ctx0" brushRef="#br0">13862 40551</inkml:trace>
  </inkml:traceGroup>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5:01.143"/>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DCB66D0B-6075-40A8-8B9C-7E0C3A059813}" emma:medium="tactile" emma:mode="ink">
          <msink:context xmlns:msink="http://schemas.microsoft.com/ink/2010/main" type="inkDrawing"/>
        </emma:interpretation>
      </emma:emma>
    </inkml:annotationXML>
    <inkml:trace contextRef="#ctx0" brushRef="#br0">11765 35872</inkml:trace>
  </inkml:traceGroup>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698"/>
    </inkml:context>
    <inkml:brush xml:id="br0">
      <inkml:brushProperty name="width" value="0.05" units="cm"/>
      <inkml:brushProperty name="height" value="0.05" units="cm"/>
      <inkml:brushProperty name="ignorePressure" value="1"/>
    </inkml:brush>
  </inkml:definitions>
  <inkml:trace contextRef="#ctx0" brushRef="#br0">1 0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8:19.576"/>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358C5219-B8F7-4AC9-8A99-648EC4DB2964}" emma:medium="tactile" emma:mode="ink">
          <msink:context xmlns:msink="http://schemas.microsoft.com/ink/2010/main" type="inkDrawing" rotatedBoundingBox="21333,44886 21348,44886 21348,44901 21333,44901" shapeName="None"/>
        </emma:interpretation>
      </emma:emma>
    </inkml:annotationXML>
    <inkml:trace contextRef="#ctx0" brushRef="#br0">21334 44887</inkml:trace>
  </inkml:traceGroup>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8:23.286"/>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57765864-C6A6-40B5-81D6-A11C1C3C73C8}" emma:medium="tactile" emma:mode="ink">
          <msink:context xmlns:msink="http://schemas.microsoft.com/ink/2010/main" type="inkDrawing" rotatedBoundingBox="26075,46368 26090,46368 26090,46383 26075,46383" shapeName="None"/>
        </emma:interpretation>
      </emma:emma>
    </inkml:annotationXML>
    <inkml:trace contextRef="#ctx0" brushRef="#br0">26076 46369</inkml:trace>
  </inkml:traceGroup>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8:47.168"/>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8BDDE980-35AE-492A-AC45-39405CE8FAA3}" emma:medium="tactile" emma:mode="ink">
          <msink:context xmlns:msink="http://schemas.microsoft.com/ink/2010/main" type="inkDrawing" rotatedBoundingBox="21058,45712 21073,45712 21073,45727 21058,45727" shapeName="None"/>
        </emma:interpretation>
      </emma:emma>
    </inkml:annotationXML>
    <inkml:trace contextRef="#ctx0" brushRef="#br0">21059 45712</inkml:trace>
  </inkml:traceGroup>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55:02.427"/>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1FE8BD7F-A1AC-4FFE-AE11-E85592DAB4CB}" emma:medium="tactile" emma:mode="ink">
          <msink:context xmlns:msink="http://schemas.microsoft.com/ink/2010/main" type="inkDrawing"/>
        </emma:interpretation>
      </emma:emma>
    </inkml:annotationXML>
    <inkml:trace contextRef="#ctx0" brushRef="#br0">22499 45246</inkml:trace>
  </inkml:traceGroup>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55:04.898"/>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3022C8F5-B9D1-46DF-9400-CB6B2AF9AA50}" emma:medium="tactile" emma:mode="ink">
          <msink:context xmlns:msink="http://schemas.microsoft.com/ink/2010/main" type="inkDrawing" rotatedBoundingBox="21778,47235 21793,47235 21793,47250 21778,47250" shapeName="None"/>
        </emma:interpretation>
      </emma:emma>
    </inkml:annotationXML>
    <inkml:trace contextRef="#ctx0" brushRef="#br0">21778 47237</inkml:trace>
  </inkml:traceGroup>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55:05.563"/>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4B2E6C11-241D-48A0-A09A-9B4133363AAA}" emma:medium="tactile" emma:mode="ink">
          <msink:context xmlns:msink="http://schemas.microsoft.com/ink/2010/main" type="inkDrawing" rotatedBoundingBox="21778,47235 21793,47235 21793,47250 21778,47250" shapeName="None"/>
        </emma:interpretation>
      </emma:emma>
    </inkml:annotationXML>
    <inkml:trace contextRef="#ctx0" brushRef="#br0">21778 47237</inkml:trace>
  </inkml:traceGroup>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55:07.081"/>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BF365D84-BB45-43C4-B77E-EB5BB667102E}" emma:medium="tactile" emma:mode="ink">
          <msink:context xmlns:msink="http://schemas.microsoft.com/ink/2010/main" type="inkDrawing" rotatedBoundingBox="21778,47235 21793,47235 21793,47250 21778,47250" shapeName="None"/>
        </emma:interpretation>
      </emma:emma>
    </inkml:annotationXML>
    <inkml:trace contextRef="#ctx0" brushRef="#br0">21778 47237</inkml:trace>
  </inkml:traceGroup>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55:07.617"/>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1878DA90-24AD-4FDC-976E-9D28DC187A5B}" emma:medium="tactile" emma:mode="ink">
          <msink:context xmlns:msink="http://schemas.microsoft.com/ink/2010/main" type="inkDrawing" rotatedBoundingBox="29272,49670 29287,49670 29287,49685 29272,49685" shapeName="None"/>
        </emma:interpretation>
      </emma:emma>
    </inkml:annotationXML>
    <inkml:trace contextRef="#ctx0" brushRef="#br0">29272 49671</inkml:trace>
  </inkml:traceGroup>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2:03:24.851"/>
    </inkml:context>
    <inkml:brush xml:id="br0">
      <inkml:brushProperty name="width" value="0.02646" units="cm"/>
      <inkml:brushProperty name="height" value="0.02646" units="cm"/>
      <inkml:brushProperty name="ignorePressure" value="1"/>
    </inkml:brush>
  </inkml:definitions>
  <inkml:traceGroup>
    <inkml:annotationXML>
      <emma:emma xmlns:emma="http://www.w3.org/2003/04/emma" version="1.0">
        <emma:interpretation id="{85CC9E5F-D83D-4265-98A2-B3FD76DDA846}" emma:medium="tactile" emma:mode="ink">
          <msink:context xmlns:msink="http://schemas.microsoft.com/ink/2010/main" type="inkDrawing" rotatedBoundingBox="21930,70872 22394,71753 22369,71767 21904,70886" shapeName="None"/>
        </emma:interpretation>
      </emma:emma>
    </inkml:annotationXML>
    <inkml:trace contextRef="#ctx0" brushRef="#br0">21905 70887,'7'10,"7"12,7 6,4 11,5 8,1 3,-1-1,-7 0,2 2,-1-9,-4-6,-3-7,-2 0,-2-1,-3 1,5-1,0-1,-1 2,0-1,-1 1,-2-4,1-2,2 8,-2 1,-2-2,0-1,3-7,-3-5</inkml:trace>
  </inkml:traceGroup>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2:03:30.797"/>
    </inkml:context>
    <inkml:brush xml:id="br0">
      <inkml:brushProperty name="width" value="0.02646" units="cm"/>
      <inkml:brushProperty name="height" value="0.02646" units="cm"/>
      <inkml:brushProperty name="ignorePressure" value="1"/>
    </inkml:brush>
  </inkml:definitions>
  <inkml:traceGroup>
    <inkml:annotationXML>
      <emma:emma xmlns:emma="http://www.w3.org/2003/04/emma" version="1.0">
        <emma:interpretation id="{7C61EC1E-FE20-4FC8-BACD-A609D68A2C86}" emma:medium="tactile" emma:mode="ink">
          <msink:context xmlns:msink="http://schemas.microsoft.com/ink/2010/main" type="inkDrawing" rotatedBoundingBox="22026,73007 22370,72336 22440,72372 22095,73042" shapeName="None"/>
        </emma:interpretation>
      </emma:emma>
    </inkml:annotationXML>
    <inkml:trace contextRef="#ctx0" brushRef="#br0">22392 72347,'0'4,"0"4,0 5,0 11,-3 5,-2 1,-3-1,0-2,-3-2,-3-1,1-2,0-1,1 1,-1-2,2 1,0 7,-3 3,-2-1,-2 2,2 2,0 0,-1-7,-1 0,3-1,0-5,-1-3,2-4,-7-5,-4-3,3-3</inkml:trace>
  </inkml:traceGroup>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699"/>
    </inkml:context>
    <inkml:brush xml:id="br0">
      <inkml:brushProperty name="width" value="0.05" units="cm"/>
      <inkml:brushProperty name="height" value="0.05" units="cm"/>
      <inkml:brushProperty name="ignorePressure" value="1"/>
    </inkml:brush>
  </inkml:definitions>
  <inkml:trace contextRef="#ctx0" brushRef="#br0">1 27,'120'3,"130"-6,-179-10,-51 9,0 0,28-1,-23 4,268 3,-260 3,0 1,0 2,33 12,-41-11,0-1,1-1,-1-2,2 0,50 1,-64-7,-1-1,1 0,16-6,-17 5,1-1,0 2,17-2,63 4,-59 1,-1-2,1 0,0-3,37-7,-2 0,-47 10</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2:03:38.542"/>
    </inkml:context>
    <inkml:brush xml:id="br0">
      <inkml:brushProperty name="width" value="0.02646" units="cm"/>
      <inkml:brushProperty name="height" value="0.02646" units="cm"/>
      <inkml:brushProperty name="ignorePressure" value="1"/>
    </inkml:brush>
  </inkml:definitions>
  <inkml:traceGroup>
    <inkml:annotationXML>
      <emma:emma xmlns:emma="http://www.w3.org/2003/04/emma" version="1.0">
        <emma:interpretation id="{E9BB69C7-D880-463B-867A-0E2EBE2203D1}" emma:medium="tactile" emma:mode="ink">
          <msink:context xmlns:msink="http://schemas.microsoft.com/ink/2010/main" type="inkDrawing"/>
        </emma:interpretation>
      </emma:emma>
    </inkml:annotationXML>
    <inkml:trace contextRef="#ctx0" brushRef="#br0">18858 79144</inkml:trace>
  </inkml:traceGroup>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2:03:41.604"/>
    </inkml:context>
    <inkml:brush xml:id="br0">
      <inkml:brushProperty name="width" value="0.02646" units="cm"/>
      <inkml:brushProperty name="height" value="0.02646" units="cm"/>
      <inkml:brushProperty name="ignorePressure" value="1"/>
    </inkml:brush>
  </inkml:definitions>
  <inkml:traceGroup>
    <inkml:annotationXML>
      <emma:emma xmlns:emma="http://www.w3.org/2003/04/emma" version="1.0">
        <emma:interpretation id="{4A685608-AF03-4FDE-A8A2-555EAE0C5C5C}" emma:medium="tactile" emma:mode="ink">
          <msink:context xmlns:msink="http://schemas.microsoft.com/ink/2010/main" type="inkDrawing"/>
        </emma:interpretation>
      </emma:emma>
    </inkml:annotationXML>
    <inkml:trace contextRef="#ctx0" brushRef="#br0">27495 79673</inkml:trace>
  </inkml:traceGroup>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2:03:44.603"/>
    </inkml:context>
    <inkml:brush xml:id="br0">
      <inkml:brushProperty name="width" value="0.02646" units="cm"/>
      <inkml:brushProperty name="height" value="0.02646" units="cm"/>
      <inkml:brushProperty name="ignorePressure" value="1"/>
    </inkml:brush>
  </inkml:definitions>
  <inkml:traceGroup>
    <inkml:annotationXML>
      <emma:emma xmlns:emma="http://www.w3.org/2003/04/emma" version="1.0">
        <emma:interpretation id="{1046A772-71DD-4C09-80CB-60967DFB8B8D}" emma:medium="tactile" emma:mode="ink">
          <msink:context xmlns:msink="http://schemas.microsoft.com/ink/2010/main" type="inkDrawing"/>
        </emma:interpretation>
      </emma:emma>
    </inkml:annotationXML>
    <inkml:trace contextRef="#ctx0" brushRef="#br0">28426 79504</inkml:trace>
  </inkml:traceGroup>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39:49.838"/>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8530293C-2400-46F8-8727-1D56876B3000}" emma:medium="tactile" emma:mode="ink">
          <msink:context xmlns:msink="http://schemas.microsoft.com/ink/2010/main" type="inkDrawing"/>
        </emma:interpretation>
      </emma:emma>
    </inkml:annotationXML>
    <inkml:trace contextRef="#ctx0" brushRef="#br0">26520 4601</inkml:trace>
  </inkml:traceGroup>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40:03.603"/>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D747A34B-F267-48CC-AED2-97F46AE4F039}" emma:medium="tactile" emma:mode="ink">
          <msink:context xmlns:msink="http://schemas.microsoft.com/ink/2010/main" type="writingRegion" rotatedBoundingBox="14474,7544 14489,7544 14489,7559 14474,7559"/>
        </emma:interpretation>
      </emma:emma>
    </inkml:annotationXML>
    <inkml:traceGroup>
      <inkml:annotationXML>
        <emma:emma xmlns:emma="http://www.w3.org/2003/04/emma" version="1.0">
          <emma:interpretation id="{72B03330-6C83-45EF-8390-75CD2D363026}" emma:medium="tactile" emma:mode="ink">
            <msink:context xmlns:msink="http://schemas.microsoft.com/ink/2010/main" type="paragraph" rotatedBoundingBox="14474,7544 14489,7544 14489,7559 14474,7559" alignmentLevel="1"/>
          </emma:interpretation>
        </emma:emma>
      </inkml:annotationXML>
      <inkml:traceGroup>
        <inkml:annotationXML>
          <emma:emma xmlns:emma="http://www.w3.org/2003/04/emma" version="1.0">
            <emma:interpretation id="{55C316CD-0725-4F96-A6A6-B013A2041986}" emma:medium="tactile" emma:mode="ink">
              <msink:context xmlns:msink="http://schemas.microsoft.com/ink/2010/main" type="line" rotatedBoundingBox="14474,7544 14489,7544 14489,7559 14474,7559"/>
            </emma:interpretation>
          </emma:emma>
        </inkml:annotationXML>
        <inkml:traceGroup>
          <inkml:annotationXML>
            <emma:emma xmlns:emma="http://www.w3.org/2003/04/emma" version="1.0">
              <emma:interpretation id="{30AF62A0-5073-4ED6-98E2-36129CC5528C}" emma:medium="tactile" emma:mode="ink">
                <msink:context xmlns:msink="http://schemas.microsoft.com/ink/2010/main" type="inkWord" rotatedBoundingBox="14474,7544 14489,7544 14489,7559 14474,7559"/>
              </emma:interpretation>
            </emma:emma>
          </inkml:annotationXML>
          <inkml:trace contextRef="#ctx0" brushRef="#br0">14475 7544</inkml:trace>
        </inkml:traceGroup>
      </inkml:traceGroup>
    </inkml:traceGroup>
  </inkml:traceGroup>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40:04.643"/>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78899092-969C-4B07-925D-56D546559658}" emma:medium="tactile" emma:mode="ink">
          <msink:context xmlns:msink="http://schemas.microsoft.com/ink/2010/main" type="inkDrawing"/>
        </emma:interpretation>
      </emma:emma>
    </inkml:annotationXML>
    <inkml:trace contextRef="#ctx0" brushRef="#br0">14433 7544</inkml:trace>
  </inkml:traceGroup>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40:05.200"/>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F4947F99-216A-40C0-9ECD-E01FBEEDCB22}" emma:medium="tactile" emma:mode="ink">
          <msink:context xmlns:msink="http://schemas.microsoft.com/ink/2010/main" type="inkDrawing"/>
        </emma:interpretation>
      </emma:emma>
    </inkml:annotationXML>
    <inkml:trace contextRef="#ctx0" brushRef="#br0">14433 7544</inkml:trace>
  </inkml:traceGroup>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40:05.450"/>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DBE771E1-7E34-456D-BEB7-6D3D6F24217F}" emma:medium="tactile" emma:mode="ink">
          <msink:context xmlns:msink="http://schemas.microsoft.com/ink/2010/main" type="inkDrawing"/>
        </emma:interpretation>
      </emma:emma>
    </inkml:annotationXML>
    <inkml:trace contextRef="#ctx0" brushRef="#br0">14433 7544</inkml:trace>
  </inkml:traceGroup>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40:06.461"/>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A0E560E0-A0BB-47E7-A1B0-302AF0576631}" emma:medium="tactile" emma:mode="ink">
          <msink:context xmlns:msink="http://schemas.microsoft.com/ink/2010/main" type="inkDrawing"/>
        </emma:interpretation>
      </emma:emma>
    </inkml:annotationXML>
    <inkml:trace contextRef="#ctx0" brushRef="#br0">28150 5829</inkml:trace>
  </inkml:traceGroup>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13T07:16:38.022"/>
    </inkml:context>
    <inkml:brush xml:id="br0">
      <inkml:brushProperty name="width" value="0.025" units="cm"/>
      <inkml:brushProperty name="height" value="0.025" units="cm"/>
      <inkml:brushProperty name="ignorePressure" value="1"/>
    </inkml:brush>
  </inkml:definitions>
  <inkml:traceGroup>
    <inkml:annotationXML>
      <emma:emma xmlns:emma="http://www.w3.org/2003/04/emma" version="1.0">
        <emma:interpretation id="{227C6F3A-1508-446D-BD8E-6E3E57A0A3D6}" emma:medium="tactile" emma:mode="ink">
          <msink:context xmlns:msink="http://schemas.microsoft.com/ink/2010/main" type="inkDrawing"/>
        </emma:interpretation>
      </emma:emma>
    </inkml:annotationXML>
    <inkml:trace contextRef="#ctx0" brushRef="#br0">28384 78775</inkml:trace>
  </inkml:traceGroup>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700"/>
    </inkml:context>
    <inkml:brush xml:id="br0">
      <inkml:brushProperty name="width" value="0.05" units="cm"/>
      <inkml:brushProperty name="height" value="0.05" units="cm"/>
      <inkml:brushProperty name="ignorePressure" value="1"/>
    </inkml:brush>
  </inkml:definitions>
  <inkml:trace contextRef="#ctx0" brushRef="#br0">29 0,'5'0,"0"1,0-1,0 1,0 0,0 0,0 1,0-1,0 1,0 0,0 0,-1 1,1-1,-1 1,0 0,1 1,4 5,-6-7,-1 1,0 0,0-1,0 1,0 0,-1 0,1 0,-1 1,0-1,0 0,0 0,0 1,-1-1,1 0,-1 1,0-1,0 1,0-1,0 1,0-1,-1 0,0 1,0-1,0 0,-1 4,-3 2,0-1,0 0,0 0,-1 0,0-1,-1 0,0 0,0-1,0 1,-1-2,0 1,0-1,0 0,-14 5,6-4</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10.329"/>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31D00AFA-9231-4802-AAC0-AF0975137DDB}" emma:medium="tactile" emma:mode="ink">
          <msink:context xmlns:msink="http://schemas.microsoft.com/ink/2010/main" type="inkDrawing"/>
        </emma:interpretation>
      </emma:emma>
    </inkml:annotationXML>
    <inkml:trace contextRef="#ctx0" brushRef="#br0">27092 110156</inkml:trace>
  </inkml:traceGroup>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1T05:02:37.428"/>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A2A1C98B-DA57-4CBC-8E04-907C837EFC03}" emma:medium="tactile" emma:mode="ink">
          <msink:context xmlns:msink="http://schemas.microsoft.com/ink/2010/main" type="inkDrawing"/>
        </emma:interpretation>
      </emma:emma>
    </inkml:annotationXML>
    <inkml:trace contextRef="#ctx0" brushRef="#br0">27092 110156</inkml:trace>
  </inkml:traceGroup>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1T22:55:50.630"/>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FDE5FCEE-E38C-41C8-8E31-9369FD8AF414}" emma:medium="tactile" emma:mode="ink">
          <msink:context xmlns:msink="http://schemas.microsoft.com/ink/2010/main" type="inkDrawing"/>
        </emma:interpretation>
      </emma:emma>
    </inkml:annotationXML>
    <inkml:trace contextRef="#ctx0" brushRef="#br0">27092 110156</inkml:trace>
  </inkml:traceGroup>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3T03:57:03.940"/>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7728F709-30A4-4583-BC54-8FA9FDD12F18}" emma:medium="tactile" emma:mode="ink">
          <msink:context xmlns:msink="http://schemas.microsoft.com/ink/2010/main" type="inkDrawing"/>
        </emma:interpretation>
      </emma:emma>
    </inkml:annotationXML>
    <inkml:trace contextRef="#ctx0" brushRef="#br0">27092 110156</inkml:trace>
  </inkml:traceGroup>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3T03:57:34.012"/>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82DC9F0B-06A8-4CF2-A87D-AF77914135D7}" emma:medium="tactile" emma:mode="ink">
          <msink:context xmlns:msink="http://schemas.microsoft.com/ink/2010/main" type="inkDrawing"/>
        </emma:interpretation>
      </emma:emma>
    </inkml:annotationXML>
    <inkml:trace contextRef="#ctx0" brushRef="#br0">27092 110156</inkml:trace>
  </inkml:traceGroup>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7T06:12:12.353"/>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726992A9-E545-481F-A578-F78C9346B08F}" emma:medium="tactile" emma:mode="ink">
          <msink:context xmlns:msink="http://schemas.microsoft.com/ink/2010/main" type="inkDrawing"/>
        </emma:interpretation>
      </emma:emma>
    </inkml:annotationXML>
    <inkml:trace contextRef="#ctx0" brushRef="#br0">27092 110156</inkml:trace>
  </inkml:traceGroup>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6-14T04:27:41.151"/>
    </inkml:context>
    <inkml:brush xml:id="br0">
      <inkml:brushProperty name="width" value="0.05292" units="cm"/>
      <inkml:brushProperty name="height" value="0.05292" units="cm"/>
      <inkml:brushProperty name="ignorePressure" value="1"/>
    </inkml:brush>
  </inkml:definitions>
  <inkml:traceGroup>
    <inkml:annotationXML>
      <emma:emma xmlns:emma="http://www.w3.org/2003/04/emma" version="1.0">
        <emma:interpretation id="{4549B564-4AFD-4538-8C9E-93C0DBA1DB9C}" emma:medium="tactile" emma:mode="ink">
          <msink:context xmlns:msink="http://schemas.microsoft.com/ink/2010/main" type="writingRegion" rotatedBoundingBox="-14807,641 -14414,641 -14414,864 -14807,864"/>
        </emma:interpretation>
      </emma:emma>
    </inkml:annotationXML>
    <inkml:traceGroup>
      <inkml:annotationXML>
        <emma:emma xmlns:emma="http://www.w3.org/2003/04/emma" version="1.0">
          <emma:interpretation id="{B5B58492-9B3C-48CB-A6B5-9E6B9A72FE0D}" emma:medium="tactile" emma:mode="ink">
            <msink:context xmlns:msink="http://schemas.microsoft.com/ink/2010/main" type="paragraph" rotatedBoundingBox="-14807,641 -14414,641 -14414,864 -14807,864" alignmentLevel="1"/>
          </emma:interpretation>
        </emma:emma>
      </inkml:annotationXML>
      <inkml:traceGroup>
        <inkml:annotationXML>
          <emma:emma xmlns:emma="http://www.w3.org/2003/04/emma" version="1.0">
            <emma:interpretation id="{90B2D134-5DEE-4E37-85BA-EAC7C5D694CC}" emma:medium="tactile" emma:mode="ink">
              <msink:context xmlns:msink="http://schemas.microsoft.com/ink/2010/main" type="line" rotatedBoundingBox="-14807,641 -14414,641 -14414,864 -14807,864"/>
            </emma:interpretation>
          </emma:emma>
        </inkml:annotationXML>
        <inkml:traceGroup>
          <inkml:annotationXML>
            <emma:emma xmlns:emma="http://www.w3.org/2003/04/emma" version="1.0">
              <emma:interpretation id="{B7DAE683-00C1-47D5-BF36-B956548CB48D}" emma:medium="tactile" emma:mode="ink">
                <msink:context xmlns:msink="http://schemas.microsoft.com/ink/2010/main" type="inkWord" rotatedBoundingBox="-14807,641 -14792,641 -14792,656 -14807,656"/>
              </emma:interpretation>
            </emma:emma>
          </inkml:annotationXML>
          <inkml:trace contextRef="#ctx0" brushRef="#br0">-14088 717</inkml:trace>
        </inkml:traceGroup>
        <inkml:traceGroup>
          <inkml:annotationXML>
            <emma:emma xmlns:emma="http://www.w3.org/2003/04/emma" version="1.0">
              <emma:interpretation id="{ED895C6C-3422-45CE-A320-F2BB9D7970E9}" emma:medium="tactile" emma:mode="ink">
                <msink:context xmlns:msink="http://schemas.microsoft.com/ink/2010/main" type="inkWord" rotatedBoundingBox="-14448,717 -14414,717 -14414,864 -14448,864"/>
              </emma:interpretation>
            </emma:emma>
          </inkml:annotationXML>
          <inkml:trace contextRef="#ctx0" brushRef="#br0" timeOffset="-499">-14448 924</inkml:trace>
          <inkml:trace contextRef="#ctx0" brushRef="#br0" timeOffset="-499">-14448 924</inkml:trace>
        </inkml:traceGroup>
      </inkml:traceGroup>
    </inkml:traceGroup>
  </inkml:traceGroup>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13T01:28:12.441"/>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88182F82-B7B2-4323-9C54-3109CC6ED5BA}" emma:medium="tactile" emma:mode="ink">
          <msink:context xmlns:msink="http://schemas.microsoft.com/ink/2010/main" type="writingRegion" rotatedBoundingBox="18568,15878 18583,15878 18583,15893 18568,15893"/>
        </emma:interpretation>
      </emma:emma>
    </inkml:annotationXML>
    <inkml:traceGroup>
      <inkml:annotationXML>
        <emma:emma xmlns:emma="http://www.w3.org/2003/04/emma" version="1.0">
          <emma:interpretation id="{C02C616D-2F11-4F2B-840A-C8BE73692A5E}" emma:medium="tactile" emma:mode="ink">
            <msink:context xmlns:msink="http://schemas.microsoft.com/ink/2010/main" type="paragraph" rotatedBoundingBox="18568,15878 18583,15878 18583,15893 18568,15893" alignmentLevel="1"/>
          </emma:interpretation>
        </emma:emma>
      </inkml:annotationXML>
      <inkml:traceGroup>
        <inkml:annotationXML>
          <emma:emma xmlns:emma="http://www.w3.org/2003/04/emma" version="1.0">
            <emma:interpretation id="{ECEDB7C9-DEB5-43BB-BC38-E2AAB19E7B92}" emma:medium="tactile" emma:mode="ink">
              <msink:context xmlns:msink="http://schemas.microsoft.com/ink/2010/main" type="line" rotatedBoundingBox="18568,15878 18583,15878 18583,15893 18568,15893"/>
            </emma:interpretation>
          </emma:emma>
        </inkml:annotationXML>
        <inkml:traceGroup>
          <inkml:annotationXML>
            <emma:emma xmlns:emma="http://www.w3.org/2003/04/emma" version="1.0">
              <emma:interpretation id="{E0E04CA0-731D-44BC-877E-8D2D4BD9CED4}" emma:medium="tactile" emma:mode="ink">
                <msink:context xmlns:msink="http://schemas.microsoft.com/ink/2010/main" type="inkWord" rotatedBoundingBox="18568,15878 18583,15878 18583,15893 18568,15893"/>
              </emma:interpretation>
            </emma:emma>
          </inkml:annotationXML>
          <inkml:trace contextRef="#ctx0" brushRef="#br0">21334 10402</inkml:trace>
        </inkml:traceGroup>
      </inkml:traceGroup>
    </inkml:traceGroup>
  </inkml:traceGroup>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3:32:35.946"/>
    </inkml:context>
    <inkml:brush xml:id="br0">
      <inkml:brushProperty name="width" value="0.025" units="cm"/>
      <inkml:brushProperty name="height" value="0.025" units="cm"/>
      <inkml:brushProperty name="ignorePressure" value="1"/>
    </inkml:brush>
  </inkml:definitions>
  <inkml:traceGroup>
    <inkml:annotationXML>
      <emma:emma xmlns:emma="http://www.w3.org/2003/04/emma" version="1.0">
        <emma:interpretation id="{5489C07E-B5F8-473A-91BD-8E2056C62A06}" emma:medium="tactile" emma:mode="ink">
          <msink:context xmlns:msink="http://schemas.microsoft.com/ink/2010/main" type="writingRegion" rotatedBoundingBox="15688,89891 15703,89891 15703,89906 15688,89906"/>
        </emma:interpretation>
      </emma:emma>
    </inkml:annotationXML>
    <inkml:traceGroup>
      <inkml:annotationXML>
        <emma:emma xmlns:emma="http://www.w3.org/2003/04/emma" version="1.0">
          <emma:interpretation id="{3D15EB4D-E7E1-4D72-BB75-E8E199093996}" emma:medium="tactile" emma:mode="ink">
            <msink:context xmlns:msink="http://schemas.microsoft.com/ink/2010/main" type="paragraph" rotatedBoundingBox="15688,89891 15703,89891 15703,89906 15688,89906" alignmentLevel="1"/>
          </emma:interpretation>
        </emma:emma>
      </inkml:annotationXML>
      <inkml:traceGroup>
        <inkml:annotationXML>
          <emma:emma xmlns:emma="http://www.w3.org/2003/04/emma" version="1.0">
            <emma:interpretation id="{AC99BB1B-F33A-47BA-8E69-18C385ACEF14}" emma:medium="tactile" emma:mode="ink">
              <msink:context xmlns:msink="http://schemas.microsoft.com/ink/2010/main" type="line" rotatedBoundingBox="15688,89891 15703,89891 15703,89906 15688,89906"/>
            </emma:interpretation>
          </emma:emma>
        </inkml:annotationXML>
        <inkml:traceGroup>
          <inkml:annotationXML>
            <emma:emma xmlns:emma="http://www.w3.org/2003/04/emma" version="1.0">
              <emma:interpretation id="{B84B866C-11A0-469C-9D68-18F28CF3A550}" emma:medium="tactile" emma:mode="ink">
                <msink:context xmlns:msink="http://schemas.microsoft.com/ink/2010/main" type="inkWord" rotatedBoundingBox="15688,89891 15703,89891 15703,89906 15688,89906"/>
              </emma:interpretation>
            </emma:emma>
          </inkml:annotationXML>
          <inkml:trace contextRef="#ctx0" brushRef="#br0">28384 78775</inkml:trace>
        </inkml:traceGroup>
      </inkml:traceGroup>
    </inkml:traceGroup>
  </inkml:traceGroup>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02.168"/>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0EF0E05F-FF0D-4C55-994A-EE45A33D885B}" emma:medium="tactile" emma:mode="ink">
          <msink:context xmlns:msink="http://schemas.microsoft.com/ink/2010/main" type="writingRegion" rotatedBoundingBox="21179,234473 21194,234473 21194,234488 21179,234488"/>
        </emma:interpretation>
      </emma:emma>
    </inkml:annotationXML>
    <inkml:traceGroup>
      <inkml:annotationXML>
        <emma:emma xmlns:emma="http://www.w3.org/2003/04/emma" version="1.0">
          <emma:interpretation id="{DB5C7C97-202F-4768-8B66-94D7694CF20D}" emma:medium="tactile" emma:mode="ink">
            <msink:context xmlns:msink="http://schemas.microsoft.com/ink/2010/main" type="paragraph" rotatedBoundingBox="21179,234473 21194,234473 21194,234488 21179,234488" alignmentLevel="1"/>
          </emma:interpretation>
        </emma:emma>
      </inkml:annotationXML>
      <inkml:traceGroup>
        <inkml:annotationXML>
          <emma:emma xmlns:emma="http://www.w3.org/2003/04/emma" version="1.0">
            <emma:interpretation id="{8CB94BC8-2388-41FC-A3A9-19C70203296C}" emma:medium="tactile" emma:mode="ink">
              <msink:context xmlns:msink="http://schemas.microsoft.com/ink/2010/main" type="line" rotatedBoundingBox="21179,234473 21194,234473 21194,234488 21179,234488"/>
            </emma:interpretation>
          </emma:emma>
        </inkml:annotationXML>
        <inkml:traceGroup>
          <inkml:annotationXML>
            <emma:emma xmlns:emma="http://www.w3.org/2003/04/emma" version="1.0">
              <emma:interpretation id="{45BC4110-FC99-4509-9984-D389FA9F0D17}" emma:medium="tactile" emma:mode="ink">
                <msink:context xmlns:msink="http://schemas.microsoft.com/ink/2010/main" type="inkWord" rotatedBoundingBox="21179,234473 21194,234473 21194,234488 21179,234488"/>
              </emma:interpretation>
            </emma:emma>
          </inkml:annotationXML>
          <inkml:trace contextRef="#ctx0" brushRef="#br0">27092 110156</inkml:trace>
        </inkml:traceGroup>
      </inkml:traceGroup>
    </inkml:traceGroup>
  </inkml:traceGroup>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7-03-07T01:55:45.189"/>
    </inkml:context>
    <inkml:brush xml:id="br0">
      <inkml:brushProperty name="width" value="0.0265" units="cm"/>
      <inkml:brushProperty name="height" value="0.0265" units="cm"/>
    </inkml:brush>
  </inkml:definitions>
  <inkml:traceGroup>
    <inkml:annotationXML>
      <emma:emma xmlns:emma="http://www.w3.org/2003/04/emma" version="1.0">
        <emma:interpretation id="{DB72A9CC-00DF-4627-A86E-C5BFA68F364F}" emma:medium="tactile" emma:mode="ink">
          <msink:context xmlns:msink="http://schemas.microsoft.com/ink/2010/main" type="writingRegion" rotatedBoundingBox="36164,30710 36245,30710 36245,30725 36164,30725"/>
        </emma:interpretation>
      </emma:emma>
    </inkml:annotationXML>
    <inkml:traceGroup>
      <inkml:annotationXML>
        <emma:emma xmlns:emma="http://www.w3.org/2003/04/emma" version="1.0">
          <emma:interpretation id="{0A757A9A-48ED-45EB-911D-94F875020D48}" emma:medium="tactile" emma:mode="ink">
            <msink:context xmlns:msink="http://schemas.microsoft.com/ink/2010/main" type="paragraph" rotatedBoundingBox="36164,30710 36245,30710 36245,30725 36164,30725" alignmentLevel="1"/>
          </emma:interpretation>
        </emma:emma>
      </inkml:annotationXML>
      <inkml:traceGroup>
        <inkml:annotationXML>
          <emma:emma xmlns:emma="http://www.w3.org/2003/04/emma" version="1.0">
            <emma:interpretation id="{09989BE8-20FF-453F-BA3E-97787BB95455}" emma:medium="tactile" emma:mode="ink">
              <msink:context xmlns:msink="http://schemas.microsoft.com/ink/2010/main" type="line" rotatedBoundingBox="36164,30710 36245,30710 36245,30725 36164,30725"/>
            </emma:interpretation>
          </emma:emma>
        </inkml:annotationXML>
        <inkml:traceGroup>
          <inkml:annotationXML>
            <emma:emma xmlns:emma="http://www.w3.org/2003/04/emma" version="1.0">
              <emma:interpretation id="{1C6ED3F4-CC03-498D-925A-ECD603E7F393}" emma:medium="tactile" emma:mode="ink">
                <msink:context xmlns:msink="http://schemas.microsoft.com/ink/2010/main" type="inkWord" rotatedBoundingBox="36164,30710 36245,30710 36245,30725 36164,30725"/>
              </emma:interpretation>
            </emma:emma>
          </inkml:annotationXML>
          <inkml:trace contextRef="#ctx0" brushRef="#br0">36245 30711 8576,'0'0'3232,"-67"0"-1728,53 0-2752,14 0 128</inkml:trace>
        </inkml:traceGroup>
      </inkml:traceGroup>
    </inkml:traceGroup>
  </inkml:traceGroup>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07.311"/>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794AB8A4-E813-473D-9D4A-28B60E1277B6}" emma:medium="tactile" emma:mode="ink">
          <msink:context xmlns:msink="http://schemas.microsoft.com/ink/2010/main" type="writingRegion" rotatedBoundingBox="21179,239233 21194,239233 21194,239248 21179,239248"/>
        </emma:interpretation>
      </emma:emma>
    </inkml:annotationXML>
    <inkml:traceGroup>
      <inkml:annotationXML>
        <emma:emma xmlns:emma="http://www.w3.org/2003/04/emma" version="1.0">
          <emma:interpretation id="{7D8F4DFD-E943-469E-B32F-6716F771FB84}" emma:medium="tactile" emma:mode="ink">
            <msink:context xmlns:msink="http://schemas.microsoft.com/ink/2010/main" type="paragraph" rotatedBoundingBox="21179,239233 21194,239233 21194,239248 21179,239248" alignmentLevel="1"/>
          </emma:interpretation>
        </emma:emma>
      </inkml:annotationXML>
      <inkml:traceGroup>
        <inkml:annotationXML>
          <emma:emma xmlns:emma="http://www.w3.org/2003/04/emma" version="1.0">
            <emma:interpretation id="{3467B51F-2CB5-4AA4-AC20-6D00AD2B4B7D}" emma:medium="tactile" emma:mode="ink">
              <msink:context xmlns:msink="http://schemas.microsoft.com/ink/2010/main" type="line" rotatedBoundingBox="21179,239233 21194,239233 21194,239248 21179,239248"/>
            </emma:interpretation>
          </emma:emma>
        </inkml:annotationXML>
        <inkml:traceGroup>
          <inkml:annotationXML>
            <emma:emma xmlns:emma="http://www.w3.org/2003/04/emma" version="1.0">
              <emma:interpretation id="{B90CF75F-60C3-4A65-A6A8-BFD67166C23F}" emma:medium="tactile" emma:mode="ink">
                <msink:context xmlns:msink="http://schemas.microsoft.com/ink/2010/main" type="inkWord" rotatedBoundingBox="21179,239233 21194,239233 21194,239248 21179,239248"/>
              </emma:interpretation>
            </emma:emma>
          </inkml:annotationXML>
          <inkml:trace contextRef="#ctx0" brushRef="#br0">27092 110156</inkml:trace>
        </inkml:traceGroup>
      </inkml:traceGroup>
    </inkml:traceGroup>
  </inkml:traceGroup>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15.082"/>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2F78A62B-28AB-42C8-A1D9-421A92E1690C}" emma:medium="tactile" emma:mode="ink">
          <msink:context xmlns:msink="http://schemas.microsoft.com/ink/2010/main" type="writingRegion" rotatedBoundingBox="21179,248777 21194,248777 21194,248792 21179,248792"/>
        </emma:interpretation>
      </emma:emma>
    </inkml:annotationXML>
    <inkml:traceGroup>
      <inkml:annotationXML>
        <emma:emma xmlns:emma="http://www.w3.org/2003/04/emma" version="1.0">
          <emma:interpretation id="{29A0ECA5-E915-497B-84E6-BC09CA19CF85}" emma:medium="tactile" emma:mode="ink">
            <msink:context xmlns:msink="http://schemas.microsoft.com/ink/2010/main" type="paragraph" rotatedBoundingBox="21179,248777 21194,248777 21194,248792 21179,248792" alignmentLevel="1"/>
          </emma:interpretation>
        </emma:emma>
      </inkml:annotationXML>
      <inkml:traceGroup>
        <inkml:annotationXML>
          <emma:emma xmlns:emma="http://www.w3.org/2003/04/emma" version="1.0">
            <emma:interpretation id="{D388ABE4-E0C7-4757-8465-18342371C015}" emma:medium="tactile" emma:mode="ink">
              <msink:context xmlns:msink="http://schemas.microsoft.com/ink/2010/main" type="line" rotatedBoundingBox="21179,248777 21194,248777 21194,248792 21179,248792"/>
            </emma:interpretation>
          </emma:emma>
        </inkml:annotationXML>
        <inkml:traceGroup>
          <inkml:annotationXML>
            <emma:emma xmlns:emma="http://www.w3.org/2003/04/emma" version="1.0">
              <emma:interpretation id="{835AB594-6DD3-48DE-9A2F-E1B93BDC06CB}" emma:medium="tactile" emma:mode="ink">
                <msink:context xmlns:msink="http://schemas.microsoft.com/ink/2010/main" type="inkWord" rotatedBoundingBox="21179,248777 21194,248777 21194,248792 21179,248792"/>
              </emma:interpretation>
            </emma:emma>
          </inkml:annotationXML>
          <inkml:trace contextRef="#ctx0" brushRef="#br0">27092 110156</inkml:trace>
        </inkml:traceGroup>
      </inkml:traceGroup>
    </inkml:traceGroup>
  </inkml:traceGroup>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18.140"/>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9786F16A-B000-4572-B83E-8E294248C525}" emma:medium="tactile" emma:mode="ink">
          <msink:context xmlns:msink="http://schemas.microsoft.com/ink/2010/main" type="writingRegion" rotatedBoundingBox="21179,253561 21194,253561 21194,253576 21179,253576"/>
        </emma:interpretation>
      </emma:emma>
    </inkml:annotationXML>
    <inkml:traceGroup>
      <inkml:annotationXML>
        <emma:emma xmlns:emma="http://www.w3.org/2003/04/emma" version="1.0">
          <emma:interpretation id="{7BE53F0E-B6EC-4AE5-9DFE-D24309811EF3}" emma:medium="tactile" emma:mode="ink">
            <msink:context xmlns:msink="http://schemas.microsoft.com/ink/2010/main" type="paragraph" rotatedBoundingBox="21179,253561 21194,253561 21194,253576 21179,253576" alignmentLevel="1"/>
          </emma:interpretation>
        </emma:emma>
      </inkml:annotationXML>
      <inkml:traceGroup>
        <inkml:annotationXML>
          <emma:emma xmlns:emma="http://www.w3.org/2003/04/emma" version="1.0">
            <emma:interpretation id="{97F30F88-1206-4EDA-90FF-A219AC34B625}" emma:medium="tactile" emma:mode="ink">
              <msink:context xmlns:msink="http://schemas.microsoft.com/ink/2010/main" type="line" rotatedBoundingBox="21179,253561 21194,253561 21194,253576 21179,253576"/>
            </emma:interpretation>
          </emma:emma>
        </inkml:annotationXML>
        <inkml:traceGroup>
          <inkml:annotationXML>
            <emma:emma xmlns:emma="http://www.w3.org/2003/04/emma" version="1.0">
              <emma:interpretation id="{A396C636-D103-48B7-B226-D217CBF6977E}" emma:medium="tactile" emma:mode="ink">
                <msink:context xmlns:msink="http://schemas.microsoft.com/ink/2010/main" type="inkWord" rotatedBoundingBox="21179,253561 21194,253561 21194,253576 21179,253576"/>
              </emma:interpretation>
            </emma:emma>
          </inkml:annotationXML>
          <inkml:trace contextRef="#ctx0" brushRef="#br0">27092 110156</inkml:trace>
        </inkml:traceGroup>
      </inkml:traceGroup>
    </inkml:traceGroup>
  </inkml:traceGroup>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21.895"/>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C169EF2E-417A-4880-82B4-481A9E96BB85}" emma:medium="tactile" emma:mode="ink">
          <msink:context xmlns:msink="http://schemas.microsoft.com/ink/2010/main" type="writingRegion" rotatedBoundingBox="21179,258368 21194,258368 21194,258383 21179,258383"/>
        </emma:interpretation>
      </emma:emma>
    </inkml:annotationXML>
    <inkml:traceGroup>
      <inkml:annotationXML>
        <emma:emma xmlns:emma="http://www.w3.org/2003/04/emma" version="1.0">
          <emma:interpretation id="{65A9AFE7-F382-489E-A22C-41CEA393EEC1}" emma:medium="tactile" emma:mode="ink">
            <msink:context xmlns:msink="http://schemas.microsoft.com/ink/2010/main" type="paragraph" rotatedBoundingBox="21179,258368 21194,258368 21194,258383 21179,258383" alignmentLevel="1"/>
          </emma:interpretation>
        </emma:emma>
      </inkml:annotationXML>
      <inkml:traceGroup>
        <inkml:annotationXML>
          <emma:emma xmlns:emma="http://www.w3.org/2003/04/emma" version="1.0">
            <emma:interpretation id="{960ADE0C-8EDE-4792-9406-EE932DCD92BC}" emma:medium="tactile" emma:mode="ink">
              <msink:context xmlns:msink="http://schemas.microsoft.com/ink/2010/main" type="line" rotatedBoundingBox="21179,258368 21194,258368 21194,258383 21179,258383"/>
            </emma:interpretation>
          </emma:emma>
        </inkml:annotationXML>
        <inkml:traceGroup>
          <inkml:annotationXML>
            <emma:emma xmlns:emma="http://www.w3.org/2003/04/emma" version="1.0">
              <emma:interpretation id="{04D92BC3-6172-423B-962F-5ACE0CBAD6A3}" emma:medium="tactile" emma:mode="ink">
                <msink:context xmlns:msink="http://schemas.microsoft.com/ink/2010/main" type="inkWord" rotatedBoundingBox="21179,258368 21194,258368 21194,258383 21179,258383"/>
              </emma:interpretation>
            </emma:emma>
          </inkml:annotationXML>
          <inkml:trace contextRef="#ctx0" brushRef="#br0">27092 110156</inkml:trace>
        </inkml:traceGroup>
      </inkml:traceGroup>
    </inkml:traceGroup>
  </inkml:traceGroup>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1T05:02:52.074"/>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5D9C9EBE-F521-4742-B4C2-60722732360E}" emma:medium="tactile" emma:mode="ink">
          <msink:context xmlns:msink="http://schemas.microsoft.com/ink/2010/main" type="writingRegion" rotatedBoundingBox="21179,269365 21194,269365 21194,269380 21179,269380"/>
        </emma:interpretation>
      </emma:emma>
    </inkml:annotationXML>
    <inkml:traceGroup>
      <inkml:annotationXML>
        <emma:emma xmlns:emma="http://www.w3.org/2003/04/emma" version="1.0">
          <emma:interpretation id="{D02FBFC8-2649-446A-B49E-C2F8310363C5}" emma:medium="tactile" emma:mode="ink">
            <msink:context xmlns:msink="http://schemas.microsoft.com/ink/2010/main" type="paragraph" rotatedBoundingBox="21179,269365 21194,269365 21194,269380 21179,269380" alignmentLevel="1"/>
          </emma:interpretation>
        </emma:emma>
      </inkml:annotationXML>
      <inkml:traceGroup>
        <inkml:annotationXML>
          <emma:emma xmlns:emma="http://www.w3.org/2003/04/emma" version="1.0">
            <emma:interpretation id="{CC405438-9C64-486A-BAA1-1BAA0B57FA2A}" emma:medium="tactile" emma:mode="ink">
              <msink:context xmlns:msink="http://schemas.microsoft.com/ink/2010/main" type="line" rotatedBoundingBox="21179,269365 21194,269365 21194,269380 21179,269380"/>
            </emma:interpretation>
          </emma:emma>
        </inkml:annotationXML>
        <inkml:traceGroup>
          <inkml:annotationXML>
            <emma:emma xmlns:emma="http://www.w3.org/2003/04/emma" version="1.0">
              <emma:interpretation id="{D4B58657-5F61-4238-A4F8-821341E98521}" emma:medium="tactile" emma:mode="ink">
                <msink:context xmlns:msink="http://schemas.microsoft.com/ink/2010/main" type="inkWord" rotatedBoundingBox="21179,269365 21194,269365 21194,269380 21179,269380"/>
              </emma:interpretation>
            </emma:emma>
          </inkml:annotationXML>
          <inkml:trace contextRef="#ctx0" brushRef="#br0">27092 110156</inkml:trace>
        </inkml:traceGroup>
      </inkml:traceGroup>
    </inkml:traceGroup>
  </inkml:traceGroup>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3T03:46:03.936"/>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90D6F51E-7F8B-4785-AF03-DE48DC1605BA}" emma:medium="tactile" emma:mode="ink">
          <msink:context xmlns:msink="http://schemas.microsoft.com/ink/2010/main" type="writingRegion" rotatedBoundingBox="29684,280798 29699,280798 29699,280813 29684,280813"/>
        </emma:interpretation>
      </emma:emma>
    </inkml:annotationXML>
    <inkml:traceGroup>
      <inkml:annotationXML>
        <emma:emma xmlns:emma="http://www.w3.org/2003/04/emma" version="1.0">
          <emma:interpretation id="{45C13E46-1FB1-4D9D-891C-B8A5D4071282}" emma:medium="tactile" emma:mode="ink">
            <msink:context xmlns:msink="http://schemas.microsoft.com/ink/2010/main" type="paragraph" rotatedBoundingBox="29684,280798 29699,280798 29699,280813 29684,280813" alignmentLevel="1"/>
          </emma:interpretation>
        </emma:emma>
      </inkml:annotationXML>
      <inkml:traceGroup>
        <inkml:annotationXML>
          <emma:emma xmlns:emma="http://www.w3.org/2003/04/emma" version="1.0">
            <emma:interpretation id="{640788B5-9B7D-490E-90FF-DA8CE4B9DD34}" emma:medium="tactile" emma:mode="ink">
              <msink:context xmlns:msink="http://schemas.microsoft.com/ink/2010/main" type="line" rotatedBoundingBox="29684,280798 29699,280798 29699,280813 29684,280813"/>
            </emma:interpretation>
          </emma:emma>
        </inkml:annotationXML>
        <inkml:traceGroup>
          <inkml:annotationXML>
            <emma:emma xmlns:emma="http://www.w3.org/2003/04/emma" version="1.0">
              <emma:interpretation id="{6BC79ADC-FEEF-46D1-99B2-3D10C8E1723D}" emma:medium="tactile" emma:mode="ink">
                <msink:context xmlns:msink="http://schemas.microsoft.com/ink/2010/main" type="inkWord" rotatedBoundingBox="29684,280798 29699,280798 29699,280813 29684,280813"/>
              </emma:interpretation>
            </emma:emma>
          </inkml:annotationXML>
          <inkml:trace contextRef="#ctx0" brushRef="#br0">27092 110156</inkml:trace>
        </inkml:traceGroup>
      </inkml:traceGroup>
    </inkml:traceGroup>
  </inkml:traceGroup>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6-14T04:27:45.176"/>
    </inkml:context>
    <inkml:brush xml:id="br0">
      <inkml:brushProperty name="width" value="0.05292" units="cm"/>
      <inkml:brushProperty name="height" value="0.05292" units="cm"/>
      <inkml:brushProperty name="ignorePressure" value="1"/>
    </inkml:brush>
  </inkml:definitions>
  <inkml:traceGroup>
    <inkml:annotationXML>
      <emma:emma xmlns:emma="http://www.w3.org/2003/04/emma" version="1.0">
        <emma:interpretation id="{2D1F5020-CC66-412E-A36C-603C7095F8ED}" emma:medium="tactile" emma:mode="ink">
          <msink:context xmlns:msink="http://schemas.microsoft.com/ink/2010/main" type="writingRegion" rotatedBoundingBox="-20232,395 -20217,395 -20217,410 -20232,410"/>
        </emma:interpretation>
      </emma:emma>
    </inkml:annotationXML>
    <inkml:traceGroup>
      <inkml:annotationXML>
        <emma:emma xmlns:emma="http://www.w3.org/2003/04/emma" version="1.0">
          <emma:interpretation id="{C63B4253-9008-4263-9517-33129626756C}" emma:medium="tactile" emma:mode="ink">
            <msink:context xmlns:msink="http://schemas.microsoft.com/ink/2010/main" type="paragraph" rotatedBoundingBox="-20232,395 -20217,395 -20217,410 -20232,410" alignmentLevel="1"/>
          </emma:interpretation>
        </emma:emma>
      </inkml:annotationXML>
      <inkml:traceGroup>
        <inkml:annotationXML>
          <emma:emma xmlns:emma="http://www.w3.org/2003/04/emma" version="1.0">
            <emma:interpretation id="{7F79AF33-2D44-425D-9052-DBB3013B492F}" emma:medium="tactile" emma:mode="ink">
              <msink:context xmlns:msink="http://schemas.microsoft.com/ink/2010/main" type="line" rotatedBoundingBox="-20232,395 -20217,395 -20217,410 -20232,410"/>
            </emma:interpretation>
          </emma:emma>
        </inkml:annotationXML>
        <inkml:traceGroup>
          <inkml:annotationXML>
            <emma:emma xmlns:emma="http://www.w3.org/2003/04/emma" version="1.0">
              <emma:interpretation id="{3133A47E-65EA-49EE-A3B8-09223A40EB3D}" emma:medium="tactile" emma:mode="ink">
                <msink:context xmlns:msink="http://schemas.microsoft.com/ink/2010/main" type="inkWord" rotatedBoundingBox="-20232,395 -20217,395 -20217,410 -20232,410"/>
              </emma:interpretation>
            </emma:emma>
          </inkml:annotationXML>
          <inkml:trace contextRef="#ctx0" brushRef="#br0">-20232 396</inkml:trace>
        </inkml:traceGroup>
      </inkml:traceGroup>
    </inkml:traceGroup>
  </inkml:traceGroup>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7-31T02:17:57.593"/>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26076 46369</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0"/>
    </inkml:context>
    <inkml:brush xml:id="br0">
      <inkml:brushProperty name="width" value="0.025" units="cm"/>
      <inkml:brushProperty name="height" value="0.025" units="cm"/>
      <inkml:brushProperty name="color" value="#ED1C24"/>
      <inkml:brushProperty name="ignorePressure" value="1"/>
    </inkml:brush>
  </inkml:definitions>
  <inkml:trace contextRef="#ctx0" brushRef="#br0">18603 6423</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1"/>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13332 7905</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0T22:02:22.484"/>
    </inkml:context>
    <inkml:brush xml:id="br0">
      <inkml:brushProperty name="width" value="0.025" units="cm"/>
      <inkml:brushProperty name="height" value="0.025" units="cm"/>
      <inkml:brushProperty name="ignorePressure" value="1"/>
    </inkml:brush>
  </inkml:definitions>
  <inkml:traceGroup>
    <inkml:annotationXML>
      <emma:emma xmlns:emma="http://www.w3.org/2003/04/emma" version="1.0">
        <emma:interpretation id="{501A6715-5090-4111-937B-1198740D21F8}" emma:medium="tactile" emma:mode="ink">
          <msink:context xmlns:msink="http://schemas.microsoft.com/ink/2010/main" type="inkDrawing"/>
        </emma:interpretation>
      </emma:emma>
    </inkml:annotationXML>
    <inkml:trace contextRef="#ctx0" brushRef="#br0">24721 72468</inkml:trace>
  </inkml:traceGroup>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2"/>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13332 7905</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3"/>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13438 7947</inkml:trace>
  <inkml:trace contextRef="#ctx0" brushRef="#br0" timeOffset="1">13859 7968</inkml:trace>
  <inkml:trace contextRef="#ctx0" brushRef="#br0" timeOffset="2">13859 7968</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6"/>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13862 7968</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7"/>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21461 10869</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8"/>
    </inkml:context>
    <inkml:brush xml:id="br0">
      <inkml:brushProperty name="width" value="0.0175" units="cm"/>
      <inkml:brushProperty name="height" value="0.0175" units="cm"/>
      <inkml:brushProperty name="ignorePressure" value="1"/>
    </inkml:brush>
  </inkml:definitions>
  <inkml:trace contextRef="#ctx0" brushRef="#br0">14475 7544</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9"/>
    </inkml:context>
    <inkml:brush xml:id="br0">
      <inkml:brushProperty name="width" value="0.0175" units="cm"/>
      <inkml:brushProperty name="height" value="0.0175" units="cm"/>
      <inkml:brushProperty name="ignorePressure" value="1"/>
    </inkml:brush>
  </inkml:definitions>
  <inkml:trace contextRef="#ctx0" brushRef="#br0">14433 7544</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40"/>
    </inkml:context>
    <inkml:brush xml:id="br0">
      <inkml:brushProperty name="width" value="0.0175" units="cm"/>
      <inkml:brushProperty name="height" value="0.0175" units="cm"/>
      <inkml:brushProperty name="ignorePressure" value="1"/>
    </inkml:brush>
  </inkml:definitions>
  <inkml:trace contextRef="#ctx0" brushRef="#br0">14433 7544</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41"/>
    </inkml:context>
    <inkml:brush xml:id="br0">
      <inkml:brushProperty name="width" value="0.0175" units="cm"/>
      <inkml:brushProperty name="height" value="0.0175" units="cm"/>
      <inkml:brushProperty name="ignorePressure" value="1"/>
    </inkml:brush>
  </inkml:definitions>
  <inkml:trace contextRef="#ctx0" brushRef="#br0">14433 7544</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36"/>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28C56D80-D77B-485D-B751-937B332E72F1}" emma:medium="tactile" emma:mode="ink">
          <msink:context xmlns:msink="http://schemas.microsoft.com/ink/2010/main" type="inkDrawing"/>
        </emma:interpretation>
      </emma:emma>
    </inkml:annotationXML>
    <inkml:trace contextRef="#ctx0" brushRef="#br0">27092 110156</inkml:trace>
  </inkml:traceGroup>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38"/>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B2F9A2A5-A945-4FD5-AF4E-17D43C70A97A}" emma:medium="tactile" emma:mode="ink">
          <msink:context xmlns:msink="http://schemas.microsoft.com/ink/2010/main" type="inkDrawing"/>
        </emma:interpretation>
      </emma:emma>
    </inkml:annotationXML>
    <inkml:trace contextRef="#ctx0" brushRef="#br0">27092 110156</inkml:trace>
  </inkml:traceGroup>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0T22:05:25.281"/>
    </inkml:context>
    <inkml:brush xml:id="br0">
      <inkml:brushProperty name="width" value="0.025" units="cm"/>
      <inkml:brushProperty name="height" value="0.025" units="cm"/>
      <inkml:brushProperty name="ignorePressure" value="1"/>
    </inkml:brush>
  </inkml:definitions>
  <inkml:traceGroup>
    <inkml:annotationXML>
      <emma:emma xmlns:emma="http://www.w3.org/2003/04/emma" version="1.0">
        <emma:interpretation id="{E41D3E96-BBD9-41A8-AB1C-129478643167}" emma:medium="tactile" emma:mode="ink">
          <msink:context xmlns:msink="http://schemas.microsoft.com/ink/2010/main" type="inkDrawing"/>
        </emma:interpretation>
      </emma:emma>
    </inkml:annotationXML>
    <inkml:trace contextRef="#ctx0" brushRef="#br0">30098 74984</inkml:trace>
  </inkml:traceGroup>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39"/>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E64D545C-1449-4479-BA6C-2367182BDF26}" emma:medium="tactile" emma:mode="ink">
          <msink:context xmlns:msink="http://schemas.microsoft.com/ink/2010/main" type="inkDrawing"/>
        </emma:interpretation>
      </emma:emma>
    </inkml:annotationXML>
    <inkml:trace contextRef="#ctx0" brushRef="#br0">27092 110156</inkml:trace>
  </inkml:traceGroup>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41"/>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CD3ACCE2-CE5E-4DC8-8C6B-25B25EB7DAD1}" emma:medium="tactile" emma:mode="ink">
          <msink:context xmlns:msink="http://schemas.microsoft.com/ink/2010/main" type="inkDrawing"/>
        </emma:interpretation>
      </emma:emma>
    </inkml:annotationXML>
    <inkml:trace contextRef="#ctx0" brushRef="#br0">27092 110156</inkml:trace>
  </inkml:traceGroup>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44"/>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DC3EE0C0-BF3D-436A-B96F-062F9E0FDBB5}" emma:medium="tactile" emma:mode="ink">
          <msink:context xmlns:msink="http://schemas.microsoft.com/ink/2010/main" type="inkDrawing"/>
        </emma:interpretation>
      </emma:emma>
    </inkml:annotationXML>
    <inkml:trace contextRef="#ctx0" brushRef="#br0">27092 110156</inkml:trace>
  </inkml:traceGroup>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7-03-07T01:38:35.833"/>
    </inkml:context>
    <inkml:brush xml:id="br0">
      <inkml:brushProperty name="width" value="0.025" units="cm"/>
      <inkml:brushProperty name="height" value="0.025" units="cm"/>
    </inkml:brush>
    <inkml:context xml:id="ctx1">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1" timeString="2017-03-02T02:04:54.181"/>
    </inkml:context>
    <inkml:brush xml:id="br1">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36B7E7B4-0554-426D-8CA4-CD52D6F7EC20}" emma:medium="tactile" emma:mode="ink">
          <msink:context xmlns:msink="http://schemas.microsoft.com/ink/2010/main" type="writingRegion" rotatedBoundingBox="29196,1827 29668,1827 29668,3214 29196,3214"/>
        </emma:interpretation>
      </emma:emma>
    </inkml:annotationXML>
    <inkml:traceGroup>
      <inkml:annotationXML>
        <emma:emma xmlns:emma="http://www.w3.org/2003/04/emma" version="1.0">
          <emma:interpretation id="{F0CD58C7-C9E8-45EB-B438-6DB6A45D9024}" emma:medium="tactile" emma:mode="ink">
            <msink:context xmlns:msink="http://schemas.microsoft.com/ink/2010/main" type="paragraph" rotatedBoundingBox="29196,1827 29668,1827 29668,3214 29196,3214" alignmentLevel="1"/>
          </emma:interpretation>
        </emma:emma>
      </inkml:annotationXML>
      <inkml:traceGroup>
        <inkml:annotationXML>
          <emma:emma xmlns:emma="http://www.w3.org/2003/04/emma" version="1.0">
            <emma:interpretation id="{260F6606-A835-4E26-9937-15419AC69574}" emma:medium="tactile" emma:mode="ink">
              <msink:context xmlns:msink="http://schemas.microsoft.com/ink/2010/main" type="line" rotatedBoundingBox="29196,1827 29668,1827 29668,3214 29196,3214"/>
            </emma:interpretation>
          </emma:emma>
        </inkml:annotationXML>
        <inkml:traceGroup>
          <inkml:annotationXML>
            <emma:emma xmlns:emma="http://www.w3.org/2003/04/emma" version="1.0">
              <emma:interpretation id="{E300AED3-F74C-4DB4-8861-E43EB79AAB7B}" emma:medium="tactile" emma:mode="ink">
                <msink:context xmlns:msink="http://schemas.microsoft.com/ink/2010/main" type="inkWord" rotatedBoundingBox="29196,3108 29222,3108 29222,3214 29196,3214"/>
              </emma:interpretation>
            </emma:emma>
          </inkml:annotationXML>
          <inkml:trace contextRef="#ctx0" brushRef="#br0">29223 3203 10496,'0'-65'3936,"-12"52"-2112,-1-14-3520,13 27 0,0 0-576,0 13 0,13 1-544,-1-1-224</inkml:trace>
        </inkml:traceGroup>
        <inkml:traceGroup>
          <inkml:annotationXML>
            <emma:emma xmlns:emma="http://www.w3.org/2003/04/emma" version="1.0">
              <emma:interpretation id="{CC57C83B-B8D1-4F82-B33D-2377DD855ECE}" emma:medium="tactile" emma:mode="ink">
                <msink:context xmlns:msink="http://schemas.microsoft.com/ink/2010/main" type="inkWord" rotatedBoundingBox="29653,1827 29668,1827 29668,1842 29653,1842"/>
              </emma:interpretation>
            </emma:emma>
          </inkml:annotationXML>
          <inkml:trace contextRef="#ctx1" brushRef="#br1">29641 1829</inkml:trace>
        </inkml:traceGroup>
      </inkml:traceGroup>
    </inkml:traceGroup>
  </inkml:traceGroup>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44"/>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B0A29CD2-C59C-42F7-808C-F31D6AA02B21}" emma:medium="tactile" emma:mode="ink">
          <msink:context xmlns:msink="http://schemas.microsoft.com/ink/2010/main" type="writingRegion" rotatedBoundingBox="29935,31655 29935,11029 29950,11029 29950,31655"/>
        </emma:interpretation>
      </emma:emma>
    </inkml:annotationXML>
    <inkml:traceGroup>
      <inkml:annotationXML>
        <emma:emma xmlns:emma="http://www.w3.org/2003/04/emma" version="1.0">
          <emma:interpretation id="{D71BF41F-2B7B-4D19-BEBD-5EA1BDE658BD}" emma:medium="tactile" emma:mode="ink">
            <msink:context xmlns:msink="http://schemas.microsoft.com/ink/2010/main" type="paragraph" rotatedBoundingBox="29935,31655 29935,11029 29950,11029 29950,31655" alignmentLevel="1"/>
          </emma:interpretation>
        </emma:emma>
      </inkml:annotationXML>
      <inkml:traceGroup>
        <inkml:annotationXML>
          <emma:emma xmlns:emma="http://www.w3.org/2003/04/emma" version="1.0">
            <emma:interpretation id="{A1C9260E-A2D7-45A9-9B90-17321B95F787}" emma:medium="tactile" emma:mode="ink">
              <msink:context xmlns:msink="http://schemas.microsoft.com/ink/2010/main" type="line" rotatedBoundingBox="29935,31655 29935,11029 29950,11029 29950,31655"/>
            </emma:interpretation>
          </emma:emma>
        </inkml:annotationXML>
        <inkml:traceGroup>
          <inkml:annotationXML>
            <emma:emma xmlns:emma="http://www.w3.org/2003/04/emma" version="1.0">
              <emma:interpretation id="{02E3587E-6AE6-49E9-BF27-4FEA1A1315C1}" emma:medium="tactile" emma:mode="ink">
                <msink:context xmlns:msink="http://schemas.microsoft.com/ink/2010/main" type="inkWord" rotatedBoundingBox="29935,31655 29935,31640 29950,31640 29950,31655"/>
              </emma:interpretation>
            </emma:emma>
          </inkml:annotationXML>
          <inkml:trace contextRef="#ctx0" brushRef="#br0">27092 108436</inkml:trace>
        </inkml:traceGroup>
        <inkml:traceGroup>
          <inkml:annotationXML>
            <emma:emma xmlns:emma="http://www.w3.org/2003/04/emma" version="1.0">
              <emma:interpretation id="{3570D789-D6D7-4AA3-AD03-FCEB478DB65E}" emma:medium="tactile" emma:mode="ink">
                <msink:context xmlns:msink="http://schemas.microsoft.com/ink/2010/main" type="inkWord" rotatedBoundingBox="29935,28229 29935,28214 29950,28214 29950,28229"/>
              </emma:interpretation>
            </emma:emma>
          </inkml:annotationXML>
          <inkml:trace contextRef="#ctx0" brushRef="#br0" timeOffset="-2">27092 105296</inkml:trace>
        </inkml:traceGroup>
        <inkml:traceGroup>
          <inkml:annotationXML>
            <emma:emma xmlns:emma="http://www.w3.org/2003/04/emma" version="1.0">
              <emma:interpretation id="{0BC57251-1E90-4B3E-AC5F-CECED5A756F3}" emma:medium="tactile" emma:mode="ink">
                <msink:context xmlns:msink="http://schemas.microsoft.com/ink/2010/main" type="inkWord" rotatedBoundingBox="29935,21376 29935,21361 29950,21361 29950,21376"/>
              </emma:interpretation>
            </emma:emma>
          </inkml:annotationXML>
          <inkml:trace contextRef="#ctx0" brushRef="#br0" timeOffset="-4">27092 99015</inkml:trace>
        </inkml:traceGroup>
        <inkml:traceGroup>
          <inkml:annotationXML>
            <emma:emma xmlns:emma="http://www.w3.org/2003/04/emma" version="1.0">
              <emma:interpretation id="{33149B62-6982-4D21-AB46-FC38BCBBF920}" emma:medium="tactile" emma:mode="ink">
                <msink:context xmlns:msink="http://schemas.microsoft.com/ink/2010/main" type="inkWord" rotatedBoundingBox="29935,11044 29935,11029 29950,11029 29950,11044"/>
              </emma:interpretation>
            </emma:emma>
          </inkml:annotationXML>
          <inkml:trace contextRef="#ctx0" brushRef="#br0" timeOffset="-7">27092 89545</inkml:trace>
        </inkml:traceGroup>
      </inkml:traceGroup>
    </inkml:traceGroup>
  </inkml:traceGroup>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4-06T03:30:27.604"/>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29653 1828</inkml:trace>
</inkml:ink>
</file>

<file path=xl/persons/person.xml><?xml version="1.0" encoding="utf-8"?>
<personList xmlns="http://schemas.microsoft.com/office/spreadsheetml/2018/threadedcomments" xmlns:x="http://schemas.openxmlformats.org/spreadsheetml/2006/main">
  <person displayName="Garth Ireland" id="{C155F92E-34A8-484E-8E4C-17387B27596A}" userId="04e80b2b36f6569d"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I86" dT="2020-03-02T04:21:03.19" personId="{C155F92E-34A8-484E-8E4C-17387B27596A}" id="{293E689E-060C-4633-81E9-5158135CD58D}">
    <text>P&amp;L</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31.bin"/><Relationship Id="rId4" Type="http://schemas.openxmlformats.org/officeDocument/2006/relationships/comments" Target="../comments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5.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comments" Target="../comments5.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AD75"/>
  <sheetViews>
    <sheetView tabSelected="1" zoomScaleNormal="100" workbookViewId="0">
      <selection activeCell="P27" sqref="P27"/>
    </sheetView>
  </sheetViews>
  <sheetFormatPr defaultRowHeight="12.75"/>
  <cols>
    <col min="1" max="1" width="3.28515625" style="59" customWidth="1"/>
    <col min="2" max="2" width="13" customWidth="1"/>
    <col min="3" max="3" width="34" customWidth="1"/>
    <col min="5" max="5" width="16.85546875" customWidth="1"/>
    <col min="6" max="6" width="8.5703125" customWidth="1"/>
    <col min="7" max="7" width="5.5703125" customWidth="1"/>
    <col min="8" max="8" width="20.28515625" bestFit="1" customWidth="1"/>
    <col min="11" max="11" width="10" bestFit="1" customWidth="1"/>
    <col min="13" max="13" width="20.28515625" bestFit="1" customWidth="1"/>
    <col min="14" max="14" width="0.28515625" customWidth="1"/>
  </cols>
  <sheetData>
    <row r="1" spans="1:30" s="776" customFormat="1" ht="13.5" thickBot="1">
      <c r="A1" s="10"/>
      <c r="B1" s="1212"/>
      <c r="C1" s="1212"/>
      <c r="D1" s="1212"/>
      <c r="E1" s="1212"/>
      <c r="F1" s="1212"/>
      <c r="G1" s="1212"/>
      <c r="H1" s="1212"/>
      <c r="I1" s="1212"/>
      <c r="J1" s="1212"/>
      <c r="K1" s="1212"/>
      <c r="L1" s="1212"/>
      <c r="M1" s="1212"/>
      <c r="N1" s="1212"/>
      <c r="O1" s="10"/>
      <c r="P1" s="10"/>
    </row>
    <row r="2" spans="1:30" s="776" customFormat="1" ht="26.25">
      <c r="A2" s="42"/>
      <c r="B2" s="1299"/>
      <c r="C2" s="1114" t="s">
        <v>14</v>
      </c>
      <c r="D2" s="1348"/>
      <c r="E2" s="1349"/>
      <c r="F2" s="1349"/>
      <c r="G2" s="1349"/>
      <c r="H2" s="1349"/>
      <c r="I2" s="10"/>
      <c r="J2" s="1350"/>
      <c r="K2" s="1422" t="s">
        <v>15</v>
      </c>
      <c r="L2" s="1422"/>
      <c r="M2" s="1422"/>
      <c r="N2" s="1422"/>
      <c r="O2" s="1422"/>
      <c r="P2" s="985"/>
      <c r="Q2" s="42"/>
      <c r="R2" s="1037"/>
      <c r="S2" s="183"/>
      <c r="T2" s="183"/>
      <c r="U2" s="183"/>
      <c r="V2" s="183"/>
      <c r="W2" s="183"/>
      <c r="X2" s="183"/>
      <c r="Y2" s="183"/>
      <c r="Z2" s="183"/>
      <c r="AA2" s="183"/>
      <c r="AB2" s="183"/>
      <c r="AC2" s="183"/>
      <c r="AD2" s="183"/>
    </row>
    <row r="3" spans="1:30" s="776" customFormat="1" ht="18">
      <c r="A3" s="42"/>
      <c r="C3" s="1352" t="s">
        <v>29</v>
      </c>
      <c r="D3" s="10"/>
      <c r="E3" s="1347"/>
      <c r="F3" s="1347"/>
      <c r="G3" s="23"/>
      <c r="H3" s="10"/>
      <c r="I3" s="10"/>
      <c r="J3" s="1182"/>
      <c r="K3" s="1182"/>
      <c r="L3" s="1182"/>
      <c r="M3" s="1182"/>
      <c r="N3" s="1182"/>
      <c r="O3" s="42"/>
      <c r="P3" s="42"/>
      <c r="Q3" s="42"/>
      <c r="R3" s="1182"/>
      <c r="S3" s="1370"/>
      <c r="T3" s="1370"/>
      <c r="U3" s="1346"/>
      <c r="V3" s="1346"/>
      <c r="W3" s="183"/>
      <c r="X3" s="183"/>
      <c r="Y3" s="183"/>
      <c r="Z3" s="183"/>
      <c r="AA3" s="183"/>
      <c r="AB3" s="183"/>
      <c r="AC3" s="183"/>
      <c r="AD3" s="183"/>
    </row>
    <row r="4" spans="1:30" s="776" customFormat="1" ht="18">
      <c r="A4" s="42"/>
      <c r="C4" s="1317"/>
      <c r="D4" s="42"/>
      <c r="E4" s="1413" t="s">
        <v>1407</v>
      </c>
      <c r="F4" s="1414"/>
      <c r="G4" s="1414"/>
      <c r="H4" s="1415"/>
      <c r="J4" s="1293"/>
      <c r="K4" s="10" t="s">
        <v>1440</v>
      </c>
      <c r="L4" s="1182"/>
      <c r="M4" s="23"/>
      <c r="N4" s="23"/>
      <c r="O4" s="42"/>
      <c r="P4" s="42"/>
      <c r="Q4" s="42"/>
      <c r="R4" s="1182"/>
      <c r="S4" s="1370"/>
      <c r="T4" s="1370"/>
      <c r="U4" s="1346"/>
      <c r="V4" s="1346"/>
      <c r="W4" s="183"/>
      <c r="X4" s="183"/>
      <c r="Y4" s="183"/>
      <c r="Z4" s="183"/>
      <c r="AA4" s="183"/>
      <c r="AB4" s="183"/>
      <c r="AC4" s="183"/>
      <c r="AD4" s="183"/>
    </row>
    <row r="5" spans="1:30" s="776" customFormat="1" ht="15.75">
      <c r="A5" s="42"/>
      <c r="C5" s="1410" t="s">
        <v>1468</v>
      </c>
      <c r="E5" s="1419" t="s">
        <v>1439</v>
      </c>
      <c r="F5" s="1420"/>
      <c r="G5" s="1420"/>
      <c r="H5" s="1421"/>
      <c r="J5" s="1293"/>
      <c r="K5" s="1206"/>
      <c r="L5" s="1319"/>
      <c r="M5" s="1336"/>
      <c r="N5" s="23"/>
      <c r="O5" s="42"/>
      <c r="P5" s="42"/>
      <c r="Q5" s="42"/>
      <c r="R5" s="1182"/>
      <c r="S5" s="1370"/>
      <c r="T5" s="1370"/>
      <c r="U5" s="1346"/>
      <c r="V5" s="1346"/>
      <c r="W5" s="183"/>
      <c r="X5" s="183"/>
      <c r="Y5" s="183"/>
      <c r="Z5" s="183"/>
      <c r="AA5" s="183"/>
      <c r="AB5" s="183"/>
      <c r="AC5" s="183"/>
      <c r="AD5" s="183"/>
    </row>
    <row r="6" spans="1:30" s="776" customFormat="1">
      <c r="A6" s="42"/>
      <c r="D6" s="876"/>
      <c r="E6" s="10"/>
      <c r="F6" s="10"/>
      <c r="G6" s="10"/>
      <c r="H6" s="10"/>
      <c r="I6" s="10"/>
      <c r="J6" s="10"/>
      <c r="K6" s="10"/>
      <c r="L6" s="876"/>
      <c r="M6" s="10"/>
      <c r="N6" s="10"/>
      <c r="O6" s="876"/>
      <c r="P6" s="876"/>
      <c r="Q6" s="876"/>
      <c r="R6" s="710"/>
      <c r="S6" s="1370"/>
      <c r="T6" s="1370"/>
      <c r="U6" s="1346"/>
      <c r="V6" s="1346"/>
      <c r="W6" s="183"/>
      <c r="X6" s="183"/>
      <c r="Y6" s="183"/>
      <c r="Z6" s="183"/>
      <c r="AA6" s="183"/>
      <c r="AB6" s="183"/>
      <c r="AC6" s="183"/>
      <c r="AD6" s="183"/>
    </row>
    <row r="7" spans="1:30" s="776" customFormat="1" ht="18">
      <c r="A7" s="42"/>
      <c r="B7" s="1301" t="s">
        <v>1333</v>
      </c>
      <c r="C7" s="876"/>
      <c r="D7" s="876"/>
      <c r="H7" s="183" t="s">
        <v>1449</v>
      </c>
      <c r="L7" s="876"/>
      <c r="M7" s="10"/>
      <c r="N7" s="10"/>
      <c r="O7" s="876"/>
      <c r="P7" s="876"/>
      <c r="Q7" s="876"/>
      <c r="R7" s="710"/>
      <c r="S7" s="1370"/>
      <c r="T7" s="1370"/>
      <c r="U7" s="1346"/>
      <c r="V7" s="1346"/>
      <c r="W7" s="183"/>
      <c r="X7" s="183"/>
      <c r="Y7" s="183"/>
      <c r="Z7" s="183"/>
      <c r="AA7" s="183"/>
      <c r="AB7" s="183"/>
      <c r="AC7" s="183"/>
      <c r="AD7" s="183"/>
    </row>
    <row r="8" spans="1:30" s="776" customFormat="1" ht="18">
      <c r="A8" s="42"/>
      <c r="B8" s="1302" t="s">
        <v>1406</v>
      </c>
      <c r="C8" s="4"/>
      <c r="D8" s="4"/>
      <c r="E8" s="4"/>
      <c r="H8" s="19" t="s">
        <v>1450</v>
      </c>
      <c r="L8" s="876"/>
      <c r="M8" s="10"/>
      <c r="N8" s="10"/>
      <c r="O8" s="876"/>
      <c r="P8" s="876"/>
      <c r="Q8" s="876"/>
      <c r="R8" s="710"/>
      <c r="S8" s="1370"/>
      <c r="T8" s="1370"/>
      <c r="U8" s="1346"/>
      <c r="V8" s="1346"/>
      <c r="W8" s="183"/>
      <c r="X8" s="183"/>
      <c r="Y8" s="183"/>
      <c r="Z8" s="183"/>
      <c r="AA8" s="183"/>
      <c r="AB8" s="183"/>
      <c r="AC8" s="183"/>
      <c r="AD8" s="183"/>
    </row>
    <row r="9" spans="1:30" s="776" customFormat="1">
      <c r="A9" s="42"/>
      <c r="B9" s="876"/>
      <c r="C9" s="876"/>
      <c r="D9" s="876"/>
      <c r="L9" s="876"/>
      <c r="M9" s="876"/>
      <c r="N9" s="876"/>
      <c r="O9" s="876"/>
      <c r="P9" s="876"/>
      <c r="Q9" s="876"/>
      <c r="R9" s="710"/>
      <c r="S9" s="1370"/>
      <c r="T9" s="1370"/>
      <c r="U9" s="1346"/>
      <c r="V9" s="1346"/>
      <c r="W9" s="183"/>
      <c r="X9" s="183"/>
      <c r="Y9" s="183"/>
      <c r="Z9" s="183"/>
      <c r="AA9" s="183"/>
      <c r="AB9" s="183"/>
      <c r="AC9" s="183"/>
      <c r="AD9" s="183"/>
    </row>
    <row r="10" spans="1:30" s="776" customFormat="1" ht="15">
      <c r="A10" s="42"/>
      <c r="B10" s="1303" t="s">
        <v>16</v>
      </c>
      <c r="C10" s="1303" t="s">
        <v>1404</v>
      </c>
      <c r="D10" s="14"/>
      <c r="E10" s="14"/>
      <c r="F10" s="1351"/>
      <c r="G10" s="19"/>
      <c r="H10" s="1351"/>
      <c r="I10" s="1351"/>
      <c r="J10" s="1351"/>
      <c r="K10" s="1351"/>
      <c r="L10" s="14"/>
      <c r="M10" s="14"/>
      <c r="N10" s="1304"/>
      <c r="O10" s="1382"/>
      <c r="P10" s="876"/>
      <c r="Q10" s="876"/>
      <c r="R10" s="710"/>
      <c r="S10" s="1370"/>
      <c r="T10" s="1370"/>
      <c r="U10" s="1346"/>
      <c r="V10" s="1346"/>
      <c r="W10" s="183"/>
      <c r="X10" s="183"/>
      <c r="Y10" s="183"/>
      <c r="Z10" s="183"/>
      <c r="AA10" s="183"/>
      <c r="AB10" s="183"/>
      <c r="AC10" s="183"/>
      <c r="AD10" s="183"/>
    </row>
    <row r="11" spans="1:30" s="776" customFormat="1" ht="15">
      <c r="A11" s="42"/>
      <c r="B11" s="1305"/>
      <c r="C11" s="1305"/>
      <c r="D11" s="1304"/>
      <c r="E11" s="19"/>
      <c r="F11" s="19"/>
      <c r="G11" s="19"/>
      <c r="H11" s="19"/>
      <c r="I11" s="19"/>
      <c r="J11" s="19"/>
      <c r="K11" s="19"/>
      <c r="L11" s="1304"/>
      <c r="M11" s="1304"/>
      <c r="N11" s="1304"/>
      <c r="O11" s="876"/>
      <c r="P11" s="876"/>
      <c r="Q11" s="876"/>
      <c r="R11" s="710"/>
      <c r="S11" s="1370"/>
      <c r="T11" s="1370"/>
      <c r="U11" s="1346"/>
      <c r="V11" s="1346"/>
      <c r="W11" s="183"/>
      <c r="X11" s="183"/>
      <c r="Y11" s="183"/>
      <c r="Z11" s="183"/>
      <c r="AA11" s="183"/>
      <c r="AB11" s="183"/>
      <c r="AC11" s="183"/>
      <c r="AD11" s="183"/>
    </row>
    <row r="12" spans="1:30" s="776" customFormat="1" ht="15">
      <c r="A12" s="1408">
        <v>1</v>
      </c>
      <c r="B12" s="1305" t="s">
        <v>1465</v>
      </c>
      <c r="D12" s="182"/>
      <c r="E12" s="19"/>
      <c r="F12" s="19"/>
      <c r="G12" s="19"/>
      <c r="H12" s="1402">
        <v>3.5</v>
      </c>
      <c r="I12" s="1308" t="s">
        <v>383</v>
      </c>
      <c r="J12" s="182"/>
      <c r="K12" s="19"/>
      <c r="L12" s="19"/>
      <c r="M12" s="1304"/>
      <c r="N12" s="1304"/>
      <c r="O12" s="876"/>
      <c r="P12" s="876"/>
      <c r="Q12" s="876"/>
      <c r="R12" s="710"/>
      <c r="S12" s="13"/>
      <c r="T12" s="13"/>
      <c r="U12" s="1346"/>
      <c r="V12" s="1346"/>
      <c r="W12" s="183"/>
      <c r="X12" s="183"/>
      <c r="Y12" s="183"/>
      <c r="Z12" s="183"/>
      <c r="AA12" s="183"/>
      <c r="AB12" s="183"/>
      <c r="AC12" s="183"/>
      <c r="AD12" s="183"/>
    </row>
    <row r="13" spans="1:30" s="776" customFormat="1" ht="15">
      <c r="A13" s="1408"/>
      <c r="B13" s="1305"/>
      <c r="D13" s="182"/>
      <c r="E13" s="19"/>
      <c r="F13" s="19"/>
      <c r="G13" s="19"/>
      <c r="H13" s="1402"/>
      <c r="I13" s="1308"/>
      <c r="J13" s="182"/>
      <c r="K13" s="19"/>
      <c r="L13" s="19"/>
      <c r="M13" s="1304"/>
      <c r="N13" s="1304"/>
      <c r="O13" s="876"/>
      <c r="P13" s="876"/>
      <c r="Q13" s="876"/>
      <c r="R13" s="710"/>
      <c r="S13" s="13"/>
      <c r="T13" s="13"/>
      <c r="U13" s="1346"/>
      <c r="V13" s="1346"/>
      <c r="W13" s="183"/>
      <c r="X13" s="183"/>
      <c r="Y13" s="183"/>
      <c r="Z13" s="183"/>
      <c r="AA13" s="183"/>
      <c r="AB13" s="183"/>
      <c r="AC13" s="183"/>
      <c r="AD13" s="183"/>
    </row>
    <row r="14" spans="1:30" s="776" customFormat="1" ht="15">
      <c r="A14" s="1408">
        <v>2</v>
      </c>
      <c r="B14" s="1305" t="s">
        <v>1323</v>
      </c>
      <c r="D14" s="182"/>
      <c r="E14" s="19"/>
      <c r="F14" s="19"/>
      <c r="G14" s="19"/>
      <c r="H14" s="1402">
        <v>3.6</v>
      </c>
      <c r="I14" s="1308" t="s">
        <v>12</v>
      </c>
      <c r="J14" s="182"/>
      <c r="K14" s="19"/>
      <c r="L14" s="19"/>
      <c r="M14" s="1304"/>
      <c r="N14" s="1304"/>
      <c r="O14" s="876"/>
      <c r="P14" s="876"/>
      <c r="Q14" s="876"/>
      <c r="R14" s="710"/>
      <c r="S14" s="13"/>
      <c r="T14" s="13"/>
      <c r="U14" s="1346"/>
      <c r="V14" s="1346"/>
      <c r="W14" s="183"/>
      <c r="X14" s="183"/>
      <c r="Y14" s="183"/>
      <c r="Z14" s="183"/>
      <c r="AA14" s="183"/>
      <c r="AB14" s="183"/>
      <c r="AC14" s="183"/>
      <c r="AD14" s="183"/>
    </row>
    <row r="15" spans="1:30" s="776" customFormat="1" ht="14.25">
      <c r="A15" s="1408"/>
      <c r="B15" s="1309"/>
      <c r="C15" s="19"/>
      <c r="D15" s="182"/>
      <c r="E15" s="19"/>
      <c r="F15" s="19"/>
      <c r="G15" s="19"/>
      <c r="H15" s="1402"/>
      <c r="I15" s="1308" t="s">
        <v>457</v>
      </c>
      <c r="J15" s="182"/>
      <c r="K15" s="19"/>
      <c r="L15" s="19"/>
      <c r="M15" s="1304"/>
      <c r="N15" s="1304"/>
      <c r="O15" s="876"/>
      <c r="P15" s="876"/>
      <c r="Q15" s="876"/>
      <c r="R15" s="710"/>
      <c r="S15" s="13"/>
      <c r="T15" s="13"/>
      <c r="U15" s="1346"/>
      <c r="V15" s="1346"/>
      <c r="W15" s="183"/>
      <c r="X15" s="183"/>
      <c r="Y15" s="183"/>
      <c r="Z15" s="183"/>
      <c r="AA15" s="183"/>
      <c r="AB15" s="183"/>
      <c r="AC15" s="183"/>
      <c r="AD15" s="183"/>
    </row>
    <row r="16" spans="1:30" s="776" customFormat="1" ht="14.25">
      <c r="A16" s="1408"/>
      <c r="B16" s="1401">
        <v>2.1</v>
      </c>
      <c r="C16" s="1310" t="s">
        <v>1325</v>
      </c>
      <c r="D16" s="182"/>
      <c r="E16" s="19"/>
      <c r="F16" s="19"/>
      <c r="G16" s="19"/>
      <c r="H16" s="1402"/>
      <c r="I16" s="1311" t="s">
        <v>427</v>
      </c>
      <c r="J16" s="182"/>
      <c r="K16" s="19"/>
      <c r="L16" s="19"/>
      <c r="M16" s="1304"/>
      <c r="N16" s="1304"/>
      <c r="O16" s="876"/>
      <c r="P16" s="876"/>
      <c r="Q16" s="876"/>
      <c r="R16" s="710"/>
      <c r="S16" s="13"/>
      <c r="T16" s="13"/>
      <c r="U16" s="1346"/>
      <c r="V16" s="1346"/>
      <c r="W16" s="183"/>
      <c r="X16" s="183"/>
      <c r="Y16" s="183"/>
      <c r="Z16" s="183"/>
      <c r="AA16" s="183"/>
      <c r="AB16" s="183"/>
      <c r="AC16" s="183"/>
      <c r="AD16" s="183"/>
    </row>
    <row r="17" spans="1:30" s="776" customFormat="1" ht="14.25">
      <c r="A17" s="1408"/>
      <c r="B17" s="1401"/>
      <c r="C17" s="1310"/>
      <c r="D17" s="182"/>
      <c r="E17" s="19"/>
      <c r="F17" s="19"/>
      <c r="G17" s="19"/>
      <c r="H17" s="1402"/>
      <c r="I17" s="1311" t="s">
        <v>1328</v>
      </c>
      <c r="J17" s="182"/>
      <c r="K17" s="19"/>
      <c r="L17" s="19"/>
      <c r="M17" s="1304"/>
      <c r="N17" s="1304"/>
      <c r="O17" s="876"/>
      <c r="P17" s="876"/>
      <c r="Q17" s="876"/>
      <c r="R17" s="710"/>
      <c r="S17" s="13"/>
      <c r="T17" s="13"/>
      <c r="U17" s="1346"/>
      <c r="V17" s="1346"/>
      <c r="W17" s="183"/>
      <c r="X17" s="183"/>
      <c r="Y17" s="183"/>
      <c r="Z17" s="183"/>
      <c r="AA17" s="183"/>
      <c r="AB17" s="183"/>
      <c r="AC17" s="183"/>
      <c r="AD17" s="183"/>
    </row>
    <row r="18" spans="1:30" s="776" customFormat="1" ht="14.25">
      <c r="A18" s="1408"/>
      <c r="B18" s="1401">
        <v>2.2000000000000002</v>
      </c>
      <c r="C18" s="1310" t="s">
        <v>23</v>
      </c>
      <c r="D18" s="182"/>
      <c r="E18" s="19"/>
      <c r="F18" s="19"/>
      <c r="G18" s="19"/>
      <c r="H18" s="1402"/>
      <c r="I18" s="1308" t="s">
        <v>1335</v>
      </c>
      <c r="J18" s="182"/>
      <c r="K18" s="19"/>
      <c r="L18" s="19"/>
      <c r="M18" s="1304"/>
      <c r="N18" s="1304"/>
      <c r="O18" s="876"/>
      <c r="P18" s="876"/>
      <c r="Q18" s="876"/>
      <c r="R18" s="710"/>
      <c r="S18" s="13"/>
      <c r="T18" s="13"/>
      <c r="U18" s="1346"/>
      <c r="V18" s="1346"/>
      <c r="W18" s="183"/>
      <c r="X18" s="183"/>
      <c r="Y18" s="183"/>
      <c r="Z18" s="183"/>
      <c r="AA18" s="183"/>
      <c r="AB18" s="183"/>
      <c r="AC18" s="183"/>
      <c r="AD18" s="183"/>
    </row>
    <row r="19" spans="1:30" s="776" customFormat="1" ht="15">
      <c r="A19" s="1408"/>
      <c r="B19" s="1306"/>
      <c r="C19" s="1312"/>
      <c r="D19" s="182"/>
      <c r="E19" s="19"/>
      <c r="F19" s="19"/>
      <c r="G19" s="19"/>
      <c r="H19" s="1402"/>
      <c r="I19" s="1308"/>
      <c r="J19" s="182"/>
      <c r="K19" s="19"/>
      <c r="L19" s="19"/>
      <c r="M19" s="1304"/>
      <c r="N19" s="1304"/>
      <c r="O19" s="876"/>
      <c r="P19" s="876"/>
      <c r="Q19" s="876"/>
      <c r="R19" s="710"/>
      <c r="S19" s="13"/>
      <c r="T19" s="13"/>
      <c r="U19" s="1346"/>
      <c r="V19" s="1346"/>
      <c r="W19" s="183"/>
      <c r="X19" s="183"/>
      <c r="Y19" s="183"/>
      <c r="Z19" s="183"/>
      <c r="AA19" s="183"/>
      <c r="AB19" s="183"/>
      <c r="AC19" s="183"/>
      <c r="AD19" s="183"/>
    </row>
    <row r="20" spans="1:30" s="776" customFormat="1" ht="14.25">
      <c r="A20" s="1408"/>
      <c r="B20" s="1402">
        <v>2.2999999999999998</v>
      </c>
      <c r="C20" s="1308" t="s">
        <v>1324</v>
      </c>
      <c r="D20" s="182"/>
      <c r="E20" s="19"/>
      <c r="F20" s="19"/>
      <c r="G20" s="19"/>
      <c r="H20" s="1402">
        <v>3.7</v>
      </c>
      <c r="I20" s="1308" t="s">
        <v>10</v>
      </c>
      <c r="J20" s="182"/>
      <c r="K20" s="19"/>
      <c r="L20" s="19"/>
      <c r="M20" s="1304"/>
      <c r="N20" s="1304"/>
      <c r="O20" s="876"/>
      <c r="P20" s="876"/>
      <c r="Q20" s="876"/>
      <c r="R20" s="710"/>
      <c r="S20" s="13"/>
      <c r="T20" s="13"/>
      <c r="U20" s="1346"/>
      <c r="V20" s="1346"/>
      <c r="W20" s="183"/>
      <c r="X20" s="183"/>
      <c r="Y20" s="183"/>
      <c r="Z20" s="183"/>
      <c r="AA20" s="183"/>
      <c r="AB20" s="183"/>
      <c r="AC20" s="183"/>
      <c r="AD20" s="183"/>
    </row>
    <row r="21" spans="1:30" s="776" customFormat="1" ht="14.25">
      <c r="A21" s="1408"/>
      <c r="B21" s="1402"/>
      <c r="C21" s="1308"/>
      <c r="D21" s="182"/>
      <c r="E21" s="19"/>
      <c r="F21" s="19"/>
      <c r="G21" s="19"/>
      <c r="H21" s="1402"/>
      <c r="I21" s="1406" t="s">
        <v>1329</v>
      </c>
      <c r="J21" s="1407"/>
      <c r="K21" s="19"/>
      <c r="L21" s="19"/>
      <c r="M21" s="1304"/>
      <c r="N21" s="1304"/>
      <c r="O21" s="876"/>
      <c r="P21" s="876"/>
      <c r="Q21" s="876"/>
      <c r="R21" s="710"/>
      <c r="S21" s="13"/>
      <c r="T21" s="13"/>
      <c r="U21" s="1346"/>
      <c r="V21" s="1346"/>
      <c r="W21" s="183"/>
      <c r="X21" s="183"/>
      <c r="Y21" s="183"/>
      <c r="Z21" s="183"/>
      <c r="AA21" s="183"/>
      <c r="AB21" s="183"/>
      <c r="AC21" s="183"/>
      <c r="AD21" s="183"/>
    </row>
    <row r="22" spans="1:30" s="776" customFormat="1" ht="14.25">
      <c r="A22" s="1408"/>
      <c r="B22" s="1402">
        <v>2.4</v>
      </c>
      <c r="C22" s="1308" t="s">
        <v>27</v>
      </c>
      <c r="D22" s="182"/>
      <c r="E22" s="19" t="s">
        <v>64</v>
      </c>
      <c r="F22" s="19"/>
      <c r="G22" s="19"/>
      <c r="H22" s="1402"/>
      <c r="I22" s="1406" t="s">
        <v>1330</v>
      </c>
      <c r="J22" s="1407"/>
      <c r="K22" s="19"/>
      <c r="L22" s="19"/>
      <c r="M22" s="1304"/>
      <c r="N22" s="1304"/>
      <c r="O22" s="876"/>
      <c r="P22" s="876"/>
      <c r="Q22" s="876"/>
      <c r="R22" s="876"/>
      <c r="U22" s="183"/>
      <c r="V22" s="183"/>
      <c r="W22" s="183"/>
      <c r="X22" s="183"/>
      <c r="Y22" s="183"/>
      <c r="Z22" s="183"/>
      <c r="AA22" s="183"/>
      <c r="AB22" s="183"/>
      <c r="AC22" s="183"/>
      <c r="AD22" s="183"/>
    </row>
    <row r="23" spans="1:30" s="776" customFormat="1" ht="14.25">
      <c r="A23" s="1408"/>
      <c r="B23" s="1402"/>
      <c r="C23" s="1308"/>
      <c r="D23" s="182"/>
      <c r="E23" s="19"/>
      <c r="F23" s="19"/>
      <c r="G23" s="19"/>
      <c r="H23" s="1402"/>
      <c r="I23" s="1308"/>
      <c r="J23" s="182"/>
      <c r="K23" s="19"/>
      <c r="L23" s="19"/>
      <c r="M23" s="1304"/>
      <c r="N23" s="1304"/>
      <c r="O23" s="876"/>
      <c r="P23" s="876"/>
      <c r="Q23" s="876"/>
      <c r="R23" s="876"/>
      <c r="U23" s="183"/>
      <c r="V23" s="183"/>
      <c r="W23" s="183"/>
      <c r="X23" s="183"/>
      <c r="Y23" s="183"/>
      <c r="Z23" s="183"/>
      <c r="AA23" s="183"/>
      <c r="AB23" s="183"/>
      <c r="AC23" s="183"/>
      <c r="AD23" s="183"/>
    </row>
    <row r="24" spans="1:30" s="776" customFormat="1" ht="14.25">
      <c r="A24" s="1408"/>
      <c r="B24" s="1402">
        <v>2.5</v>
      </c>
      <c r="C24" s="1403" t="s">
        <v>28</v>
      </c>
      <c r="D24" s="182"/>
      <c r="E24" s="19"/>
      <c r="F24" s="19"/>
      <c r="G24" s="19"/>
      <c r="H24" s="1402">
        <v>3.8</v>
      </c>
      <c r="I24" s="1308" t="s">
        <v>343</v>
      </c>
      <c r="J24" s="182"/>
      <c r="K24" s="19"/>
      <c r="L24" s="19"/>
      <c r="M24" s="1304"/>
      <c r="N24" s="1304"/>
      <c r="O24" s="876"/>
      <c r="P24" s="876"/>
      <c r="Q24" s="876"/>
      <c r="R24" s="876"/>
      <c r="U24" s="183"/>
      <c r="V24" s="183"/>
      <c r="W24" s="183"/>
      <c r="X24" s="183"/>
      <c r="Y24" s="183"/>
      <c r="Z24" s="183"/>
      <c r="AA24" s="183"/>
      <c r="AB24" s="183"/>
      <c r="AC24" s="183"/>
      <c r="AD24" s="183"/>
    </row>
    <row r="25" spans="1:30" s="776" customFormat="1" ht="14.25">
      <c r="A25" s="1408"/>
      <c r="B25" s="1402"/>
      <c r="C25" s="1304"/>
      <c r="D25" s="182"/>
      <c r="E25" s="19"/>
      <c r="F25" s="19"/>
      <c r="G25" s="19"/>
      <c r="H25" s="1402"/>
      <c r="I25" s="1308"/>
      <c r="J25" s="182"/>
      <c r="K25" s="19"/>
      <c r="L25" s="19"/>
      <c r="M25" s="1304"/>
      <c r="N25" s="1304"/>
      <c r="O25" s="876"/>
      <c r="P25" s="876"/>
      <c r="Q25" s="876"/>
      <c r="R25" s="876"/>
      <c r="U25" s="183"/>
      <c r="V25" s="183"/>
      <c r="W25" s="183"/>
      <c r="X25" s="183"/>
      <c r="Y25" s="183"/>
      <c r="Z25" s="183"/>
      <c r="AA25" s="183"/>
      <c r="AB25" s="183"/>
      <c r="AC25" s="183"/>
      <c r="AD25" s="183"/>
    </row>
    <row r="26" spans="1:30" s="776" customFormat="1" ht="15">
      <c r="A26" s="1408">
        <v>3</v>
      </c>
      <c r="B26" s="1305" t="s">
        <v>1334</v>
      </c>
      <c r="D26" s="182"/>
      <c r="E26" s="19"/>
      <c r="F26" s="19"/>
      <c r="G26" s="19"/>
      <c r="H26" s="1402">
        <v>3.9</v>
      </c>
      <c r="I26" s="1308" t="s">
        <v>243</v>
      </c>
      <c r="J26" s="182"/>
      <c r="K26" s="19"/>
      <c r="L26" s="19"/>
      <c r="M26" s="1304"/>
      <c r="N26" s="1304"/>
      <c r="O26" s="876"/>
      <c r="P26" s="876"/>
      <c r="Q26" s="876"/>
      <c r="R26" s="876"/>
      <c r="U26" s="183"/>
      <c r="V26" s="183"/>
      <c r="W26" s="183"/>
      <c r="X26" s="183"/>
      <c r="Y26" s="183"/>
      <c r="Z26" s="183"/>
      <c r="AA26" s="183"/>
      <c r="AB26" s="183"/>
      <c r="AC26" s="183"/>
      <c r="AD26" s="183"/>
    </row>
    <row r="27" spans="1:30" s="776" customFormat="1" ht="14.25">
      <c r="A27" s="1408"/>
      <c r="B27" s="1307"/>
      <c r="C27" s="1304"/>
      <c r="D27" s="182"/>
      <c r="E27" s="19"/>
      <c r="F27" s="19"/>
      <c r="G27" s="19"/>
      <c r="H27" s="1402"/>
      <c r="I27" s="1308"/>
      <c r="J27" s="182"/>
      <c r="K27" s="19"/>
      <c r="L27" s="19"/>
      <c r="M27" s="19"/>
      <c r="N27" s="1304"/>
      <c r="O27" s="876"/>
      <c r="P27" s="876"/>
      <c r="Q27" s="876"/>
      <c r="R27" s="876"/>
      <c r="U27" s="183"/>
      <c r="V27" s="183"/>
      <c r="W27" s="183"/>
      <c r="X27" s="183"/>
      <c r="Y27" s="183"/>
      <c r="Z27" s="183"/>
      <c r="AA27" s="183"/>
      <c r="AB27" s="183"/>
      <c r="AC27" s="183"/>
      <c r="AD27" s="183"/>
    </row>
    <row r="28" spans="1:30" s="776" customFormat="1" ht="14.25">
      <c r="A28" s="1408"/>
      <c r="B28" s="1402">
        <v>3.1</v>
      </c>
      <c r="C28" s="1308" t="s">
        <v>142</v>
      </c>
      <c r="D28" s="182"/>
      <c r="E28" s="182"/>
      <c r="F28" s="182"/>
      <c r="G28" s="1304"/>
      <c r="H28" s="1404">
        <v>3.1</v>
      </c>
      <c r="I28" s="1308" t="s">
        <v>259</v>
      </c>
      <c r="J28" s="182"/>
      <c r="K28" s="19"/>
      <c r="L28" s="19"/>
      <c r="M28" s="19"/>
      <c r="N28" s="182"/>
      <c r="O28" s="10"/>
      <c r="P28" s="876"/>
      <c r="Q28" s="876"/>
      <c r="R28" s="876"/>
      <c r="U28" s="183"/>
      <c r="V28" s="183"/>
      <c r="W28" s="183"/>
      <c r="X28" s="183"/>
      <c r="Y28" s="183"/>
      <c r="Z28" s="183"/>
      <c r="AA28" s="183"/>
      <c r="AB28" s="183"/>
      <c r="AC28" s="183"/>
      <c r="AD28" s="183"/>
    </row>
    <row r="29" spans="1:30" s="776" customFormat="1" ht="14.25">
      <c r="A29" s="1408"/>
      <c r="B29" s="1402"/>
      <c r="C29" s="1308"/>
      <c r="D29" s="182"/>
      <c r="E29" s="182"/>
      <c r="F29" s="182"/>
      <c r="G29" s="1304"/>
      <c r="H29" s="1404"/>
      <c r="I29" s="1308"/>
      <c r="J29" s="182"/>
      <c r="K29" s="19"/>
      <c r="L29" s="19"/>
      <c r="M29" s="19"/>
      <c r="N29" s="182"/>
      <c r="O29" s="10"/>
      <c r="P29" s="876"/>
      <c r="Q29" s="876"/>
      <c r="R29" s="876"/>
      <c r="U29" s="183"/>
      <c r="V29" s="183"/>
      <c r="W29" s="183"/>
      <c r="X29" s="183"/>
      <c r="Y29" s="183"/>
      <c r="Z29" s="183"/>
      <c r="AA29" s="183"/>
      <c r="AB29" s="183"/>
      <c r="AC29" s="183"/>
      <c r="AD29" s="183"/>
    </row>
    <row r="30" spans="1:30" s="776" customFormat="1" ht="14.25">
      <c r="A30" s="1408"/>
      <c r="B30" s="1402">
        <v>3.2</v>
      </c>
      <c r="C30" s="1308" t="s">
        <v>325</v>
      </c>
      <c r="D30" s="182"/>
      <c r="E30" s="182"/>
      <c r="F30" s="182"/>
      <c r="G30" s="1304"/>
      <c r="H30" s="1404">
        <v>7</v>
      </c>
      <c r="I30" s="1308" t="s">
        <v>1466</v>
      </c>
      <c r="M30" s="19"/>
      <c r="N30" s="182"/>
      <c r="O30" s="10"/>
      <c r="P30" s="876"/>
      <c r="Q30" s="876"/>
      <c r="R30" s="876"/>
      <c r="U30" s="183"/>
      <c r="V30" s="183"/>
      <c r="W30" s="183"/>
      <c r="X30" s="183"/>
      <c r="Y30" s="183"/>
      <c r="Z30" s="183"/>
      <c r="AA30" s="183"/>
      <c r="AB30" s="183"/>
      <c r="AC30" s="183"/>
      <c r="AD30" s="183"/>
    </row>
    <row r="31" spans="1:30" s="776" customFormat="1" ht="14.25">
      <c r="A31" s="1408"/>
      <c r="B31" s="1402"/>
      <c r="C31" s="1308"/>
      <c r="D31" s="182"/>
      <c r="E31" s="182"/>
      <c r="F31" s="182"/>
      <c r="G31" s="1304"/>
      <c r="H31" s="1404"/>
      <c r="I31" s="1308"/>
      <c r="M31" s="19"/>
      <c r="N31" s="182"/>
      <c r="O31" s="10"/>
      <c r="P31" s="876"/>
      <c r="Q31" s="876"/>
      <c r="R31" s="876"/>
      <c r="U31" s="183"/>
      <c r="V31" s="183"/>
      <c r="W31" s="183"/>
      <c r="X31" s="183"/>
      <c r="Y31" s="183"/>
      <c r="Z31" s="183"/>
      <c r="AA31" s="183"/>
      <c r="AB31" s="183"/>
      <c r="AC31" s="183"/>
      <c r="AD31" s="183"/>
    </row>
    <row r="32" spans="1:30" s="776" customFormat="1" ht="14.25">
      <c r="A32" s="1408"/>
      <c r="B32" s="1402">
        <v>3.3</v>
      </c>
      <c r="C32" s="1403" t="s">
        <v>1326</v>
      </c>
      <c r="D32" s="182"/>
      <c r="E32" s="182"/>
      <c r="F32" s="182"/>
      <c r="G32" s="1304"/>
      <c r="H32" s="1404">
        <v>9</v>
      </c>
      <c r="I32" s="1308" t="s">
        <v>1331</v>
      </c>
      <c r="J32" s="182"/>
      <c r="K32" s="19"/>
      <c r="L32" s="19"/>
      <c r="M32" s="19"/>
      <c r="N32" s="182"/>
      <c r="O32" s="10"/>
      <c r="P32" s="876"/>
      <c r="Q32" s="876"/>
      <c r="R32" s="876"/>
      <c r="U32" s="183"/>
      <c r="V32" s="183"/>
      <c r="W32" s="183"/>
      <c r="X32" s="183"/>
      <c r="Y32" s="183"/>
      <c r="Z32" s="183"/>
      <c r="AA32" s="183"/>
      <c r="AB32" s="183"/>
      <c r="AC32" s="183"/>
      <c r="AD32" s="183"/>
    </row>
    <row r="33" spans="1:30" s="776" customFormat="1" ht="14.25">
      <c r="A33" s="1408"/>
      <c r="B33" s="1402"/>
      <c r="C33" s="1308"/>
      <c r="D33" s="182"/>
      <c r="E33" s="182"/>
      <c r="F33" s="182"/>
      <c r="G33" s="1304"/>
      <c r="H33" s="1404"/>
      <c r="I33" s="1308"/>
      <c r="N33" s="182"/>
      <c r="O33" s="10"/>
      <c r="P33" s="876"/>
      <c r="Q33" s="876"/>
      <c r="R33" s="876"/>
      <c r="U33" s="183"/>
      <c r="V33" s="183"/>
      <c r="W33" s="183"/>
      <c r="X33" s="183"/>
      <c r="Y33" s="183"/>
      <c r="Z33" s="183"/>
      <c r="AA33" s="183"/>
      <c r="AB33" s="183"/>
      <c r="AC33" s="183"/>
      <c r="AD33" s="183"/>
    </row>
    <row r="34" spans="1:30" s="776" customFormat="1" ht="14.25">
      <c r="A34" s="1408"/>
      <c r="B34" s="1402">
        <v>3.4</v>
      </c>
      <c r="C34" s="1308" t="s">
        <v>354</v>
      </c>
      <c r="D34" s="182"/>
      <c r="E34" s="182"/>
      <c r="F34" s="182"/>
      <c r="G34" s="1304"/>
      <c r="H34" s="1404">
        <v>14</v>
      </c>
      <c r="I34" s="1308" t="s">
        <v>1332</v>
      </c>
      <c r="J34" s="182"/>
      <c r="K34" s="19"/>
      <c r="L34" s="19"/>
      <c r="M34" s="19"/>
      <c r="N34" s="182"/>
      <c r="O34" s="10"/>
      <c r="P34" s="876"/>
      <c r="Q34" s="876"/>
      <c r="R34" s="876"/>
      <c r="U34" s="183"/>
      <c r="V34" s="183"/>
      <c r="W34" s="183"/>
      <c r="X34" s="183"/>
      <c r="Y34" s="183"/>
      <c r="Z34" s="183"/>
      <c r="AA34" s="183"/>
      <c r="AB34" s="183"/>
      <c r="AC34" s="183"/>
      <c r="AD34" s="183"/>
    </row>
    <row r="35" spans="1:30" s="776" customFormat="1" ht="14.25">
      <c r="A35" s="1408"/>
      <c r="B35" s="1402"/>
      <c r="C35" s="1311" t="s">
        <v>377</v>
      </c>
      <c r="D35" s="182"/>
      <c r="E35" s="182"/>
      <c r="F35" s="182"/>
      <c r="G35" s="1304"/>
      <c r="H35" s="1404"/>
      <c r="M35" s="19"/>
      <c r="N35" s="182"/>
      <c r="O35" s="10"/>
      <c r="P35" s="876"/>
      <c r="Q35" s="876"/>
      <c r="R35" s="876"/>
      <c r="U35" s="183"/>
      <c r="V35" s="183"/>
      <c r="W35" s="183"/>
      <c r="X35" s="183"/>
      <c r="Y35" s="183"/>
      <c r="Z35" s="183"/>
      <c r="AA35" s="183"/>
      <c r="AB35" s="183"/>
      <c r="AC35" s="183"/>
      <c r="AD35" s="183"/>
    </row>
    <row r="36" spans="1:30" s="776" customFormat="1" ht="14.25">
      <c r="A36" s="1408"/>
      <c r="B36" s="1402"/>
      <c r="C36" s="1311" t="s">
        <v>504</v>
      </c>
      <c r="D36" s="182"/>
      <c r="E36" s="182"/>
      <c r="F36" s="182"/>
      <c r="G36" s="1304"/>
      <c r="H36" s="1404"/>
      <c r="M36" s="19"/>
      <c r="N36" s="182"/>
      <c r="O36" s="10"/>
      <c r="P36" s="876"/>
      <c r="Q36" s="876"/>
      <c r="R36" s="876"/>
      <c r="U36" s="183"/>
      <c r="V36" s="183"/>
      <c r="W36" s="183"/>
      <c r="X36" s="183"/>
      <c r="Y36" s="183"/>
      <c r="Z36" s="183"/>
      <c r="AA36" s="183"/>
      <c r="AB36" s="183"/>
      <c r="AC36" s="183"/>
      <c r="AD36" s="183"/>
    </row>
    <row r="37" spans="1:30" s="776" customFormat="1" ht="14.25">
      <c r="A37" s="1408"/>
      <c r="B37" s="1402"/>
      <c r="C37" s="1311" t="s">
        <v>117</v>
      </c>
      <c r="D37" s="182"/>
      <c r="E37" s="182"/>
      <c r="F37" s="182"/>
      <c r="G37" s="1304"/>
      <c r="H37" s="1404"/>
      <c r="I37" s="1308"/>
      <c r="J37" s="19"/>
      <c r="K37" s="19"/>
      <c r="L37" s="19"/>
      <c r="M37" s="19"/>
      <c r="N37" s="182"/>
      <c r="O37" s="10"/>
      <c r="P37" s="876"/>
      <c r="Q37" s="876"/>
      <c r="R37" s="876"/>
      <c r="U37" s="183"/>
      <c r="V37" s="183"/>
      <c r="W37" s="183"/>
      <c r="X37" s="183"/>
      <c r="Y37" s="183"/>
      <c r="Z37" s="183"/>
      <c r="AA37" s="183"/>
      <c r="AB37" s="183"/>
      <c r="AC37" s="183"/>
      <c r="AD37" s="183"/>
    </row>
    <row r="38" spans="1:30" s="776" customFormat="1" ht="14.25">
      <c r="A38" s="1408"/>
      <c r="B38" s="1402"/>
      <c r="C38" s="1311" t="s">
        <v>1327</v>
      </c>
      <c r="D38" s="182"/>
      <c r="E38" s="182"/>
      <c r="F38" s="182"/>
      <c r="G38" s="1304"/>
      <c r="H38" s="1404"/>
      <c r="I38" s="19"/>
      <c r="J38" s="19"/>
      <c r="K38" s="19"/>
      <c r="L38" s="19"/>
      <c r="M38" s="19"/>
      <c r="N38" s="182"/>
      <c r="O38" s="10"/>
      <c r="P38" s="876"/>
      <c r="Q38" s="876"/>
      <c r="R38" s="876"/>
      <c r="U38" s="183"/>
      <c r="V38" s="183"/>
      <c r="W38" s="183"/>
      <c r="X38" s="183"/>
      <c r="Y38" s="183"/>
      <c r="Z38" s="183"/>
      <c r="AA38" s="183"/>
      <c r="AB38" s="183"/>
      <c r="AC38" s="183"/>
      <c r="AD38" s="183"/>
    </row>
    <row r="39" spans="1:30" s="776" customFormat="1" ht="14.25">
      <c r="A39" s="1408"/>
      <c r="B39" s="1402"/>
      <c r="C39" s="1308" t="s">
        <v>382</v>
      </c>
      <c r="D39" s="182"/>
      <c r="E39" s="182"/>
      <c r="F39" s="182"/>
      <c r="G39" s="1304"/>
      <c r="H39" s="1379"/>
      <c r="I39" s="19"/>
      <c r="J39" s="19"/>
      <c r="K39" s="19"/>
      <c r="L39" s="19"/>
      <c r="M39" s="19"/>
      <c r="N39" s="182"/>
      <c r="O39" s="10"/>
      <c r="P39" s="876"/>
      <c r="Q39" s="876"/>
      <c r="R39" s="876"/>
      <c r="U39" s="183"/>
      <c r="V39" s="183"/>
      <c r="W39" s="183"/>
      <c r="X39" s="183"/>
      <c r="Y39" s="183"/>
      <c r="Z39" s="183"/>
      <c r="AA39" s="183"/>
      <c r="AB39" s="183"/>
      <c r="AC39" s="183"/>
      <c r="AD39" s="183"/>
    </row>
    <row r="40" spans="1:30" s="776" customFormat="1" ht="15" thickBot="1">
      <c r="A40" s="42"/>
      <c r="B40" s="1313"/>
      <c r="C40" s="1314"/>
      <c r="D40" s="1315"/>
      <c r="E40" s="1315"/>
      <c r="F40" s="1315"/>
      <c r="G40" s="1316"/>
      <c r="H40" s="1315"/>
      <c r="I40" s="1315"/>
      <c r="J40" s="1315"/>
      <c r="K40" s="1315"/>
      <c r="L40" s="1315"/>
      <c r="M40" s="1315"/>
      <c r="N40" s="1315"/>
      <c r="O40" s="1315"/>
      <c r="P40" s="876"/>
      <c r="Q40" s="876"/>
      <c r="R40" s="876"/>
      <c r="U40" s="183"/>
      <c r="V40" s="183"/>
      <c r="W40" s="183"/>
      <c r="X40" s="183"/>
      <c r="Y40" s="183"/>
      <c r="Z40" s="183"/>
      <c r="AA40" s="183"/>
      <c r="AB40" s="183"/>
      <c r="AC40" s="183"/>
      <c r="AD40" s="183"/>
    </row>
    <row r="41" spans="1:30" s="776" customFormat="1">
      <c r="A41" s="10"/>
      <c r="E41" s="10"/>
      <c r="F41" s="10"/>
      <c r="G41" s="42"/>
      <c r="O41" s="10"/>
      <c r="P41" s="876"/>
      <c r="Q41" s="876"/>
      <c r="R41" s="876"/>
      <c r="U41" s="183"/>
      <c r="V41" s="183"/>
      <c r="W41" s="183"/>
      <c r="X41" s="183"/>
      <c r="Y41" s="183"/>
      <c r="Z41" s="183"/>
      <c r="AA41" s="183"/>
      <c r="AB41" s="183"/>
      <c r="AC41" s="183"/>
      <c r="AD41" s="183"/>
    </row>
    <row r="42" spans="1:30" s="776" customFormat="1" ht="15.75" thickBot="1">
      <c r="B42" s="1364"/>
      <c r="C42" s="1364"/>
      <c r="D42" s="1364"/>
      <c r="E42" s="1364"/>
      <c r="F42" s="1364"/>
      <c r="G42" s="1364"/>
      <c r="H42" s="1364"/>
      <c r="I42" s="1364"/>
      <c r="J42" s="1364"/>
      <c r="K42" s="1364"/>
      <c r="L42" s="1364"/>
      <c r="M42" s="1364"/>
      <c r="N42" s="1364"/>
      <c r="O42" s="1364"/>
      <c r="P42" s="1368"/>
      <c r="Q42" s="967"/>
      <c r="R42" s="967"/>
      <c r="U42" s="183"/>
      <c r="V42" s="183"/>
      <c r="W42" s="183"/>
      <c r="X42" s="183"/>
      <c r="Y42" s="183"/>
      <c r="Z42" s="183"/>
      <c r="AA42" s="183"/>
      <c r="AB42" s="183"/>
      <c r="AC42" s="183"/>
      <c r="AD42" s="183"/>
    </row>
    <row r="43" spans="1:30" s="776" customFormat="1" ht="26.25">
      <c r="B43" s="1416" t="s">
        <v>14</v>
      </c>
      <c r="C43" s="1416"/>
      <c r="D43" s="1416"/>
      <c r="E43" s="1365"/>
      <c r="F43" s="1365"/>
      <c r="G43" s="1365"/>
      <c r="H43" s="1365"/>
      <c r="I43" s="1365"/>
      <c r="K43" s="1366"/>
      <c r="L43" s="1417" t="s">
        <v>1421</v>
      </c>
      <c r="M43" s="1417"/>
      <c r="N43" s="1417"/>
      <c r="O43" s="1418"/>
      <c r="Q43" s="967"/>
      <c r="R43" s="967"/>
      <c r="U43" s="183"/>
      <c r="V43" s="183"/>
      <c r="W43" s="183"/>
      <c r="X43" s="183"/>
      <c r="Y43" s="183"/>
      <c r="Z43" s="183"/>
      <c r="AA43" s="183"/>
      <c r="AB43" s="183"/>
      <c r="AC43" s="183"/>
      <c r="AD43" s="183"/>
    </row>
    <row r="44" spans="1:30" s="776" customFormat="1" ht="15.75">
      <c r="B44" s="967"/>
      <c r="C44" s="967"/>
      <c r="D44" s="967"/>
      <c r="E44" s="967"/>
      <c r="F44" s="967"/>
      <c r="G44" s="967"/>
      <c r="H44" s="967"/>
      <c r="I44" s="967"/>
      <c r="J44" s="967"/>
      <c r="K44" s="967"/>
      <c r="L44" s="967"/>
      <c r="M44" s="1371" t="str">
        <f>E5</f>
        <v xml:space="preserve"> 15 Sept 2021</v>
      </c>
      <c r="N44" s="967"/>
      <c r="O44" s="967"/>
      <c r="P44" s="967"/>
      <c r="Q44" s="967"/>
      <c r="R44" s="967"/>
      <c r="U44" s="183"/>
      <c r="V44" s="183"/>
      <c r="W44" s="183"/>
      <c r="X44" s="183"/>
      <c r="Y44" s="183"/>
      <c r="Z44" s="183"/>
      <c r="AA44" s="183"/>
      <c r="AB44" s="183"/>
      <c r="AC44" s="183"/>
      <c r="AD44" s="183"/>
    </row>
    <row r="45" spans="1:30" s="776" customFormat="1" ht="15.75">
      <c r="B45" s="967"/>
      <c r="C45" s="1341" t="s">
        <v>1422</v>
      </c>
      <c r="D45" s="967"/>
      <c r="E45" s="967"/>
      <c r="F45" s="967"/>
      <c r="G45" s="967"/>
      <c r="H45" s="967"/>
      <c r="I45" s="967"/>
      <c r="J45" s="967"/>
      <c r="K45" s="967"/>
      <c r="L45" s="1367"/>
      <c r="M45" s="967"/>
      <c r="N45" s="967"/>
      <c r="O45" s="967"/>
      <c r="P45" s="967"/>
      <c r="Q45" s="967"/>
      <c r="R45" s="967"/>
      <c r="U45" s="183"/>
      <c r="V45" s="183"/>
      <c r="W45" s="183"/>
      <c r="X45" s="183"/>
      <c r="Y45" s="183"/>
      <c r="Z45" s="183"/>
      <c r="AA45" s="183"/>
      <c r="AB45" s="183"/>
      <c r="AC45" s="183"/>
      <c r="AD45" s="183"/>
    </row>
    <row r="46" spans="1:30" s="776" customFormat="1" ht="15.75">
      <c r="B46" s="967"/>
      <c r="C46" s="1235" t="s">
        <v>1423</v>
      </c>
      <c r="D46" s="967"/>
      <c r="E46" s="967"/>
      <c r="F46" s="967"/>
      <c r="G46" s="967"/>
      <c r="H46" s="967"/>
      <c r="I46" s="967"/>
      <c r="J46" s="967"/>
      <c r="K46" s="967"/>
      <c r="L46" s="967"/>
      <c r="M46" s="967"/>
      <c r="N46" s="967"/>
      <c r="O46" s="967"/>
      <c r="P46" s="967"/>
      <c r="Q46" s="967"/>
      <c r="R46" s="967"/>
      <c r="U46" s="183"/>
      <c r="V46" s="183"/>
      <c r="W46" s="183"/>
      <c r="X46" s="183"/>
      <c r="Y46" s="183"/>
      <c r="Z46" s="183"/>
      <c r="AA46" s="183"/>
      <c r="AB46" s="183"/>
      <c r="AC46" s="183"/>
      <c r="AD46" s="183"/>
    </row>
    <row r="47" spans="1:30" s="776" customFormat="1" ht="15">
      <c r="B47" s="967"/>
      <c r="D47" s="967"/>
      <c r="E47" s="967"/>
      <c r="F47" s="967"/>
      <c r="G47" s="967"/>
      <c r="H47" s="967"/>
      <c r="I47" s="967"/>
      <c r="J47" s="967"/>
      <c r="K47" s="967"/>
      <c r="L47" s="967"/>
      <c r="M47" s="967"/>
      <c r="N47" s="967"/>
      <c r="O47" s="967"/>
      <c r="P47" s="967"/>
      <c r="Q47" s="967"/>
      <c r="R47" s="967"/>
      <c r="U47" s="183"/>
      <c r="V47" s="183"/>
      <c r="W47" s="183"/>
      <c r="X47" s="183"/>
      <c r="Y47" s="183"/>
      <c r="Z47" s="183"/>
      <c r="AA47" s="183"/>
      <c r="AB47" s="183"/>
      <c r="AC47" s="183"/>
      <c r="AD47" s="183"/>
    </row>
    <row r="48" spans="1:30" s="776" customFormat="1" ht="15">
      <c r="B48" s="967"/>
      <c r="C48" s="1340" t="s">
        <v>1424</v>
      </c>
      <c r="D48" s="967"/>
      <c r="E48" s="967"/>
      <c r="F48" s="967"/>
      <c r="G48" s="967"/>
      <c r="H48" s="967"/>
      <c r="I48" s="967"/>
      <c r="J48" s="967"/>
      <c r="K48" s="967"/>
      <c r="L48" s="967"/>
      <c r="M48" s="967"/>
      <c r="N48" s="967"/>
      <c r="O48" s="967"/>
      <c r="P48" s="967"/>
      <c r="Q48" s="967"/>
      <c r="R48" s="967"/>
      <c r="U48" s="183"/>
      <c r="V48" s="183"/>
      <c r="W48" s="183"/>
      <c r="X48" s="183"/>
      <c r="Y48" s="183"/>
      <c r="Z48" s="183"/>
      <c r="AA48" s="183"/>
      <c r="AB48" s="183"/>
      <c r="AC48" s="183"/>
      <c r="AD48" s="183"/>
    </row>
    <row r="49" spans="1:30" s="776" customFormat="1" ht="15">
      <c r="B49" s="967"/>
      <c r="C49" s="1340" t="s">
        <v>1425</v>
      </c>
      <c r="D49" s="967"/>
      <c r="E49" s="967"/>
      <c r="F49" s="967"/>
      <c r="G49" s="967"/>
      <c r="H49" s="967"/>
      <c r="I49" s="967"/>
      <c r="J49" s="967"/>
      <c r="K49" s="967"/>
      <c r="L49" s="967"/>
      <c r="M49" s="967"/>
      <c r="N49" s="967"/>
      <c r="O49" s="967"/>
      <c r="P49" s="967"/>
      <c r="Q49" s="967"/>
      <c r="R49" s="967"/>
      <c r="U49" s="183"/>
      <c r="V49" s="183"/>
      <c r="W49" s="183"/>
      <c r="X49" s="183"/>
      <c r="Y49" s="183"/>
      <c r="Z49" s="183"/>
      <c r="AA49" s="183"/>
      <c r="AB49" s="183"/>
      <c r="AC49" s="183"/>
      <c r="AD49" s="183"/>
    </row>
    <row r="50" spans="1:30" s="776" customFormat="1" ht="15">
      <c r="B50" s="967"/>
      <c r="C50" s="1340"/>
      <c r="D50" s="967"/>
      <c r="E50" s="967"/>
      <c r="F50" s="967"/>
      <c r="G50" s="967"/>
      <c r="H50" s="967"/>
      <c r="I50" s="967"/>
      <c r="J50" s="967"/>
      <c r="K50" s="967"/>
      <c r="L50" s="967"/>
      <c r="M50" s="967"/>
      <c r="N50" s="967"/>
      <c r="O50" s="967"/>
      <c r="P50" s="967"/>
      <c r="Q50" s="967"/>
      <c r="R50" s="967"/>
      <c r="U50" s="183"/>
      <c r="V50" s="183"/>
      <c r="W50" s="183"/>
      <c r="X50" s="183"/>
      <c r="Y50" s="183"/>
      <c r="Z50" s="183"/>
      <c r="AA50" s="183"/>
      <c r="AB50" s="183"/>
      <c r="AC50" s="183"/>
      <c r="AD50" s="183"/>
    </row>
    <row r="51" spans="1:30" s="776" customFormat="1" ht="15">
      <c r="B51" s="967"/>
      <c r="C51" s="1340" t="s">
        <v>1426</v>
      </c>
      <c r="D51" s="967"/>
      <c r="E51" s="967"/>
      <c r="F51" s="967"/>
      <c r="G51" s="967"/>
      <c r="H51" s="967"/>
      <c r="I51" s="967"/>
      <c r="J51" s="967"/>
      <c r="K51" s="967"/>
      <c r="L51" s="967"/>
      <c r="M51" s="967"/>
      <c r="N51" s="967"/>
      <c r="O51" s="967"/>
      <c r="P51" s="967"/>
      <c r="Q51" s="967"/>
      <c r="R51" s="967"/>
      <c r="U51" s="183"/>
      <c r="V51" s="183"/>
      <c r="W51" s="183"/>
      <c r="X51" s="183"/>
      <c r="Y51" s="183"/>
      <c r="Z51" s="183"/>
      <c r="AA51" s="183"/>
      <c r="AB51" s="183"/>
      <c r="AC51" s="183"/>
      <c r="AD51" s="183"/>
    </row>
    <row r="52" spans="1:30" s="776" customFormat="1" ht="15">
      <c r="B52" s="967"/>
      <c r="C52" s="1340" t="s">
        <v>1427</v>
      </c>
      <c r="D52" s="967"/>
      <c r="E52" s="967"/>
      <c r="F52" s="967"/>
      <c r="G52" s="967"/>
      <c r="H52" s="967"/>
      <c r="I52" s="967"/>
      <c r="J52" s="967"/>
      <c r="K52" s="967"/>
      <c r="L52" s="967"/>
      <c r="M52" s="967"/>
      <c r="N52" s="967"/>
      <c r="O52" s="967"/>
      <c r="P52" s="967"/>
      <c r="Q52" s="967"/>
      <c r="R52" s="967"/>
      <c r="U52" s="183"/>
      <c r="V52" s="183"/>
      <c r="W52" s="183"/>
      <c r="X52" s="183"/>
      <c r="Y52" s="183"/>
      <c r="Z52" s="183"/>
      <c r="AA52" s="183"/>
      <c r="AB52" s="183"/>
      <c r="AC52" s="183"/>
      <c r="AD52" s="183"/>
    </row>
    <row r="53" spans="1:30" s="776" customFormat="1" ht="15">
      <c r="B53" s="967"/>
      <c r="C53" s="1340"/>
      <c r="D53" s="967"/>
      <c r="E53" s="967"/>
      <c r="F53" s="967"/>
      <c r="G53" s="967"/>
      <c r="H53" s="967"/>
      <c r="I53" s="967"/>
      <c r="J53" s="967"/>
      <c r="K53" s="967"/>
      <c r="L53" s="967"/>
      <c r="M53" s="967"/>
      <c r="N53" s="967"/>
      <c r="O53" s="967"/>
      <c r="P53" s="967"/>
      <c r="Q53" s="967"/>
      <c r="R53" s="967"/>
      <c r="U53" s="183"/>
      <c r="V53" s="183"/>
      <c r="W53" s="183"/>
      <c r="X53" s="183"/>
      <c r="Y53" s="183"/>
      <c r="Z53" s="183"/>
      <c r="AA53" s="183"/>
      <c r="AB53" s="183"/>
      <c r="AC53" s="183"/>
      <c r="AD53" s="183"/>
    </row>
    <row r="54" spans="1:30" s="776" customFormat="1" ht="15">
      <c r="B54" s="967"/>
      <c r="C54" s="1340" t="s">
        <v>1428</v>
      </c>
      <c r="D54" s="967"/>
      <c r="E54" s="967"/>
      <c r="F54" s="967"/>
      <c r="G54" s="967"/>
      <c r="H54" s="967"/>
      <c r="I54" s="967"/>
      <c r="J54" s="967"/>
      <c r="K54" s="967"/>
      <c r="L54" s="967"/>
      <c r="M54" s="967"/>
      <c r="N54" s="967"/>
      <c r="O54" s="967"/>
      <c r="P54" s="967"/>
      <c r="Q54" s="967"/>
      <c r="R54" s="967"/>
      <c r="U54" s="183"/>
      <c r="V54" s="183"/>
      <c r="W54" s="183"/>
      <c r="X54" s="183"/>
      <c r="Y54" s="183"/>
      <c r="Z54" s="183"/>
      <c r="AA54" s="183"/>
      <c r="AB54" s="183"/>
      <c r="AC54" s="183"/>
      <c r="AD54" s="183"/>
    </row>
    <row r="55" spans="1:30" s="776" customFormat="1" ht="15">
      <c r="B55" s="967"/>
      <c r="C55" s="1340" t="s">
        <v>1429</v>
      </c>
      <c r="D55" s="967"/>
      <c r="E55" s="967"/>
      <c r="F55" s="967"/>
      <c r="G55" s="967"/>
      <c r="H55" s="967"/>
      <c r="I55" s="967"/>
      <c r="J55" s="967"/>
      <c r="K55" s="967"/>
      <c r="L55" s="967"/>
      <c r="M55" s="967"/>
      <c r="N55" s="967"/>
      <c r="O55" s="967"/>
      <c r="P55" s="967"/>
      <c r="Q55" s="967"/>
      <c r="R55" s="967"/>
      <c r="U55" s="183"/>
      <c r="V55" s="183"/>
      <c r="W55" s="183"/>
      <c r="X55" s="183"/>
      <c r="Y55" s="183"/>
      <c r="Z55" s="183"/>
      <c r="AA55" s="183"/>
      <c r="AB55" s="183"/>
      <c r="AC55" s="183"/>
      <c r="AD55" s="183"/>
    </row>
    <row r="56" spans="1:30" s="776" customFormat="1" ht="15">
      <c r="B56" s="967"/>
      <c r="C56" s="1340" t="s">
        <v>1430</v>
      </c>
      <c r="D56" s="967"/>
      <c r="E56" s="967"/>
      <c r="F56" s="967"/>
      <c r="G56" s="967"/>
      <c r="H56" s="967"/>
      <c r="I56" s="967"/>
      <c r="J56" s="967"/>
      <c r="K56" s="967"/>
      <c r="L56" s="967"/>
      <c r="M56" s="967"/>
      <c r="N56" s="967"/>
      <c r="O56" s="967"/>
      <c r="P56" s="967"/>
      <c r="Q56" s="967"/>
      <c r="R56" s="967"/>
      <c r="U56" s="183"/>
      <c r="V56" s="183"/>
      <c r="W56" s="183"/>
      <c r="X56" s="183"/>
      <c r="Y56" s="183"/>
      <c r="Z56" s="183"/>
      <c r="AA56" s="183"/>
      <c r="AB56" s="183"/>
      <c r="AC56" s="183"/>
      <c r="AD56" s="183"/>
    </row>
    <row r="57" spans="1:30" s="776" customFormat="1" ht="15.75">
      <c r="B57" s="967"/>
      <c r="C57" s="1341"/>
      <c r="D57" s="967"/>
      <c r="E57" s="967"/>
      <c r="F57" s="967"/>
      <c r="G57" s="967"/>
      <c r="H57" s="967"/>
      <c r="I57" s="967"/>
      <c r="J57" s="967"/>
      <c r="K57" s="967"/>
      <c r="L57" s="967"/>
      <c r="M57" s="967"/>
      <c r="N57" s="967"/>
      <c r="O57" s="967"/>
      <c r="P57" s="967"/>
      <c r="Q57" s="967"/>
      <c r="R57" s="967"/>
      <c r="U57" s="183"/>
      <c r="V57" s="183"/>
      <c r="W57" s="183"/>
      <c r="X57" s="183"/>
      <c r="Y57" s="183"/>
      <c r="Z57" s="183"/>
      <c r="AA57" s="183"/>
      <c r="AB57" s="183"/>
      <c r="AC57" s="183"/>
      <c r="AD57" s="183"/>
    </row>
    <row r="58" spans="1:30" s="776" customFormat="1" ht="15">
      <c r="B58" s="967"/>
      <c r="C58" s="1340" t="s">
        <v>1431</v>
      </c>
      <c r="D58" s="967"/>
      <c r="E58" s="967"/>
      <c r="F58" s="967"/>
      <c r="G58" s="967"/>
      <c r="H58" s="967"/>
      <c r="I58" s="967"/>
      <c r="J58" s="967"/>
      <c r="K58" s="967"/>
      <c r="L58" s="967"/>
      <c r="M58" s="967"/>
      <c r="N58" s="967"/>
      <c r="O58" s="967"/>
      <c r="P58" s="967"/>
      <c r="Q58" s="967"/>
      <c r="R58" s="967"/>
      <c r="U58" s="183"/>
      <c r="V58" s="183"/>
      <c r="W58" s="183"/>
      <c r="X58" s="183"/>
      <c r="Y58" s="183"/>
      <c r="Z58" s="183"/>
      <c r="AA58" s="183"/>
      <c r="AB58" s="183"/>
      <c r="AC58" s="183"/>
      <c r="AD58" s="183"/>
    </row>
    <row r="59" spans="1:30" s="776" customFormat="1" ht="15">
      <c r="B59" s="967"/>
      <c r="C59" s="1340" t="s">
        <v>1432</v>
      </c>
      <c r="D59" s="967"/>
      <c r="E59" s="967"/>
      <c r="F59" s="967"/>
      <c r="G59" s="967"/>
      <c r="H59" s="967"/>
      <c r="I59" s="967"/>
      <c r="J59" s="967"/>
      <c r="K59" s="967"/>
      <c r="L59" s="967"/>
      <c r="M59" s="967"/>
      <c r="N59" s="967"/>
      <c r="O59" s="967"/>
      <c r="P59" s="967"/>
      <c r="Q59" s="967"/>
      <c r="R59" s="967"/>
      <c r="U59" s="183"/>
      <c r="V59" s="183"/>
      <c r="W59" s="183"/>
      <c r="X59" s="183"/>
      <c r="Y59" s="183"/>
      <c r="Z59" s="183"/>
      <c r="AA59" s="183"/>
      <c r="AB59" s="183"/>
      <c r="AC59" s="183"/>
      <c r="AD59" s="183"/>
    </row>
    <row r="60" spans="1:30" s="776" customFormat="1" ht="15">
      <c r="B60" s="967"/>
      <c r="C60" s="1340" t="s">
        <v>1433</v>
      </c>
      <c r="D60" s="967"/>
      <c r="E60" s="967"/>
      <c r="F60" s="967"/>
      <c r="G60" s="967"/>
      <c r="H60" s="967"/>
      <c r="I60" s="967"/>
      <c r="J60" s="967"/>
      <c r="K60" s="967"/>
      <c r="L60" s="967"/>
      <c r="M60" s="967"/>
      <c r="N60" s="967"/>
      <c r="O60" s="967"/>
      <c r="P60" s="967"/>
      <c r="Q60" s="967"/>
      <c r="R60" s="967"/>
      <c r="U60" s="183"/>
      <c r="V60" s="183"/>
      <c r="W60" s="183"/>
      <c r="X60" s="183"/>
      <c r="Y60" s="183"/>
      <c r="Z60" s="183"/>
      <c r="AA60" s="183"/>
      <c r="AB60" s="183"/>
      <c r="AC60" s="183"/>
      <c r="AD60" s="183"/>
    </row>
    <row r="61" spans="1:30" s="776" customFormat="1" ht="15">
      <c r="A61" s="10"/>
      <c r="B61" s="1368"/>
      <c r="C61" s="1340"/>
      <c r="D61" s="967"/>
      <c r="E61" s="967"/>
      <c r="F61" s="967"/>
      <c r="G61" s="967"/>
      <c r="H61" s="967"/>
      <c r="I61" s="967"/>
      <c r="J61" s="967"/>
      <c r="K61" s="967"/>
      <c r="L61" s="967"/>
      <c r="M61" s="967"/>
      <c r="N61" s="967"/>
      <c r="O61" s="967"/>
      <c r="P61" s="967"/>
      <c r="Q61" s="967"/>
      <c r="R61" s="967"/>
      <c r="U61" s="183"/>
      <c r="V61" s="183"/>
      <c r="W61" s="183"/>
      <c r="X61" s="183"/>
      <c r="Y61" s="183"/>
      <c r="Z61" s="183"/>
      <c r="AA61" s="183"/>
      <c r="AB61" s="183"/>
      <c r="AC61" s="183"/>
      <c r="AD61" s="183"/>
    </row>
    <row r="62" spans="1:30" s="776" customFormat="1" ht="15">
      <c r="A62" s="10"/>
      <c r="B62" s="1368"/>
      <c r="C62" s="967" t="s">
        <v>1434</v>
      </c>
      <c r="D62" s="967"/>
      <c r="E62" s="967"/>
      <c r="F62" s="967"/>
      <c r="G62" s="967"/>
      <c r="H62" s="967"/>
      <c r="I62" s="967"/>
      <c r="J62" s="967"/>
      <c r="K62" s="967"/>
      <c r="L62" s="967"/>
      <c r="M62" s="967"/>
      <c r="N62" s="967"/>
      <c r="O62" s="967"/>
      <c r="P62" s="967"/>
      <c r="Q62" s="967"/>
      <c r="R62" s="967"/>
      <c r="U62" s="183"/>
      <c r="V62" s="183"/>
      <c r="W62" s="183"/>
      <c r="X62" s="183"/>
      <c r="Y62" s="183"/>
      <c r="Z62" s="183"/>
      <c r="AA62" s="183"/>
      <c r="AB62" s="183"/>
      <c r="AC62" s="183"/>
      <c r="AD62" s="183"/>
    </row>
    <row r="63" spans="1:30" s="776" customFormat="1" ht="15">
      <c r="A63" s="10"/>
      <c r="B63" s="1368"/>
      <c r="C63" s="967" t="s">
        <v>1435</v>
      </c>
      <c r="D63" s="967"/>
      <c r="E63" s="967"/>
      <c r="F63" s="967"/>
      <c r="G63" s="967"/>
      <c r="H63" s="967"/>
      <c r="I63" s="967"/>
      <c r="J63" s="967"/>
      <c r="K63" s="967"/>
      <c r="L63" s="967"/>
      <c r="M63" s="967"/>
      <c r="N63" s="967"/>
      <c r="O63" s="967"/>
      <c r="P63" s="967"/>
      <c r="Q63" s="967"/>
      <c r="R63" s="967"/>
      <c r="U63" s="183"/>
      <c r="V63" s="183"/>
      <c r="W63" s="183"/>
      <c r="X63" s="183"/>
      <c r="Y63" s="183"/>
      <c r="Z63" s="183"/>
      <c r="AA63" s="183"/>
      <c r="AB63" s="183"/>
      <c r="AC63" s="183"/>
      <c r="AD63" s="183"/>
    </row>
    <row r="64" spans="1:30" s="776" customFormat="1" ht="15">
      <c r="A64" s="42"/>
      <c r="B64" s="1368"/>
      <c r="C64" s="967"/>
      <c r="D64" s="967"/>
      <c r="E64" s="967"/>
      <c r="F64" s="967"/>
      <c r="G64" s="967"/>
      <c r="H64" s="967"/>
      <c r="I64" s="967"/>
      <c r="J64" s="967"/>
      <c r="K64" s="967"/>
      <c r="L64" s="967"/>
      <c r="M64" s="967"/>
      <c r="N64" s="967"/>
      <c r="O64" s="967"/>
      <c r="P64" s="967"/>
      <c r="Q64" s="967"/>
      <c r="R64" s="967"/>
      <c r="U64" s="183"/>
      <c r="V64" s="183"/>
      <c r="W64" s="183"/>
      <c r="X64" s="183"/>
      <c r="Y64" s="183"/>
      <c r="Z64" s="183"/>
      <c r="AA64" s="183"/>
      <c r="AB64" s="183"/>
      <c r="AC64" s="183"/>
      <c r="AD64" s="183"/>
    </row>
    <row r="65" spans="1:30" s="776" customFormat="1" ht="15">
      <c r="A65" s="42"/>
      <c r="B65" s="1368"/>
      <c r="C65" s="967" t="s">
        <v>1447</v>
      </c>
      <c r="D65" s="967"/>
      <c r="E65" s="967"/>
      <c r="F65" s="967"/>
      <c r="G65" s="967"/>
      <c r="H65" s="967"/>
      <c r="I65" s="967"/>
      <c r="J65" s="967"/>
      <c r="K65" s="967"/>
      <c r="L65" s="967"/>
      <c r="M65" s="967"/>
      <c r="N65" s="967"/>
      <c r="O65" s="967"/>
      <c r="P65" s="967"/>
      <c r="Q65" s="967"/>
      <c r="R65" s="967"/>
      <c r="U65" s="183"/>
      <c r="V65" s="183"/>
      <c r="W65" s="183"/>
      <c r="X65" s="183"/>
      <c r="Y65" s="183"/>
      <c r="Z65" s="183"/>
      <c r="AA65" s="183"/>
      <c r="AB65" s="183"/>
      <c r="AC65" s="183"/>
      <c r="AD65" s="183"/>
    </row>
    <row r="66" spans="1:30" s="776" customFormat="1" ht="15">
      <c r="A66" s="42"/>
      <c r="B66" s="1368"/>
      <c r="C66" s="967" t="s">
        <v>1436</v>
      </c>
      <c r="D66" s="967"/>
      <c r="E66" s="967"/>
      <c r="F66" s="967"/>
      <c r="G66" s="967"/>
      <c r="H66" s="967"/>
      <c r="I66" s="967"/>
      <c r="J66" s="967"/>
      <c r="K66" s="967"/>
      <c r="L66" s="967"/>
      <c r="M66" s="967"/>
      <c r="N66" s="967"/>
      <c r="O66" s="967"/>
      <c r="P66" s="967"/>
      <c r="Q66" s="967"/>
      <c r="R66" s="967"/>
      <c r="U66" s="183"/>
      <c r="V66" s="183"/>
      <c r="W66" s="183"/>
      <c r="X66" s="183"/>
      <c r="Y66" s="183"/>
      <c r="Z66" s="183"/>
      <c r="AA66" s="183"/>
      <c r="AB66" s="183"/>
      <c r="AC66" s="183"/>
      <c r="AD66" s="183"/>
    </row>
    <row r="67" spans="1:30" s="776" customFormat="1" ht="15">
      <c r="A67" s="42"/>
      <c r="B67" s="1368"/>
      <c r="C67" s="967"/>
      <c r="D67" s="967"/>
      <c r="E67" s="967"/>
      <c r="F67" s="967"/>
      <c r="G67" s="967"/>
      <c r="H67" s="967"/>
      <c r="I67" s="967"/>
      <c r="J67" s="967"/>
      <c r="K67" s="967"/>
      <c r="L67" s="967"/>
      <c r="M67" s="967"/>
      <c r="N67" s="967"/>
      <c r="O67" s="967"/>
      <c r="P67" s="967"/>
      <c r="Q67" s="967"/>
      <c r="R67" s="967"/>
      <c r="U67" s="183"/>
      <c r="V67" s="183"/>
      <c r="W67" s="183"/>
      <c r="X67" s="183"/>
      <c r="Y67" s="183"/>
      <c r="Z67" s="183"/>
      <c r="AA67" s="183"/>
      <c r="AB67" s="183"/>
      <c r="AC67" s="183"/>
      <c r="AD67" s="183"/>
    </row>
    <row r="68" spans="1:30" s="776" customFormat="1" ht="15">
      <c r="A68" s="42"/>
      <c r="B68" s="1368"/>
      <c r="C68" s="967" t="s">
        <v>1437</v>
      </c>
      <c r="D68" s="967"/>
      <c r="E68" s="967"/>
      <c r="F68" s="967"/>
      <c r="G68" s="967"/>
      <c r="H68" s="967"/>
      <c r="I68" s="967"/>
      <c r="J68" s="967"/>
      <c r="K68" s="967"/>
      <c r="L68" s="967"/>
      <c r="M68" s="967"/>
      <c r="N68" s="967"/>
      <c r="O68" s="967"/>
      <c r="P68" s="967"/>
      <c r="Q68" s="967"/>
      <c r="R68" s="967"/>
      <c r="U68" s="183"/>
      <c r="V68" s="183"/>
      <c r="W68" s="183"/>
      <c r="X68" s="183"/>
      <c r="Y68" s="183"/>
      <c r="Z68" s="183"/>
      <c r="AA68" s="183"/>
      <c r="AB68" s="183"/>
      <c r="AC68" s="183"/>
      <c r="AD68" s="183"/>
    </row>
    <row r="69" spans="1:30" s="776" customFormat="1" ht="15">
      <c r="A69" s="42"/>
      <c r="B69" s="1368"/>
      <c r="C69" s="967"/>
      <c r="D69" s="967"/>
      <c r="E69" s="967"/>
      <c r="F69" s="967"/>
      <c r="G69" s="967"/>
      <c r="H69" s="967"/>
      <c r="I69" s="967"/>
      <c r="J69" s="967"/>
      <c r="K69" s="967"/>
      <c r="L69" s="967"/>
      <c r="M69" s="967"/>
      <c r="N69" s="967"/>
      <c r="O69" s="967"/>
      <c r="P69" s="967"/>
      <c r="Q69" s="967"/>
      <c r="R69" s="967"/>
      <c r="U69" s="183"/>
      <c r="V69" s="183"/>
      <c r="W69" s="183"/>
      <c r="X69" s="183"/>
      <c r="Y69" s="183"/>
      <c r="Z69" s="183"/>
      <c r="AA69" s="183"/>
      <c r="AB69" s="183"/>
      <c r="AC69" s="183"/>
      <c r="AD69" s="183"/>
    </row>
    <row r="70" spans="1:30" s="776" customFormat="1" ht="15.75" thickBot="1">
      <c r="A70" s="42"/>
      <c r="B70" s="1364"/>
      <c r="C70" s="1364"/>
      <c r="D70" s="1364"/>
      <c r="E70" s="1364"/>
      <c r="F70" s="1364"/>
      <c r="G70" s="1364"/>
      <c r="H70" s="1364"/>
      <c r="I70" s="1364"/>
      <c r="J70" s="1364"/>
      <c r="K70" s="1364"/>
      <c r="L70" s="1364"/>
      <c r="M70" s="1364"/>
      <c r="N70" s="1364"/>
      <c r="O70" s="1364"/>
      <c r="P70" s="1369"/>
      <c r="Q70" s="967"/>
      <c r="R70" s="967"/>
      <c r="U70" s="183"/>
      <c r="V70" s="183"/>
      <c r="W70" s="183"/>
      <c r="X70" s="183"/>
      <c r="Y70" s="183"/>
      <c r="Z70" s="183"/>
      <c r="AA70" s="183"/>
      <c r="AB70" s="183"/>
      <c r="AC70" s="183"/>
      <c r="AD70" s="183"/>
    </row>
    <row r="71" spans="1:30" s="776" customFormat="1">
      <c r="A71" s="42"/>
      <c r="B71" s="1300"/>
      <c r="C71" s="876"/>
      <c r="D71" s="41"/>
      <c r="E71" s="80"/>
      <c r="L71" s="876"/>
      <c r="M71" s="876"/>
      <c r="N71" s="876"/>
      <c r="O71" s="876"/>
      <c r="P71" s="876"/>
      <c r="Q71" s="876"/>
      <c r="R71" s="876"/>
      <c r="U71" s="183"/>
      <c r="V71" s="183"/>
      <c r="W71" s="183"/>
      <c r="X71" s="183"/>
      <c r="Y71" s="183"/>
      <c r="Z71" s="183"/>
      <c r="AA71" s="183"/>
      <c r="AB71" s="183"/>
      <c r="AC71" s="183"/>
      <c r="AD71" s="183"/>
    </row>
    <row r="72" spans="1:30" s="776" customFormat="1">
      <c r="A72" s="42"/>
      <c r="B72" s="1300"/>
      <c r="C72" s="876"/>
      <c r="D72" s="41"/>
      <c r="E72" s="80"/>
      <c r="L72" s="876"/>
      <c r="M72" s="876"/>
      <c r="N72" s="876"/>
      <c r="O72" s="876"/>
      <c r="P72" s="876"/>
      <c r="Q72" s="876"/>
      <c r="R72" s="876"/>
      <c r="U72" s="183"/>
      <c r="V72" s="183"/>
      <c r="W72" s="183"/>
      <c r="X72" s="183"/>
      <c r="Y72" s="183"/>
      <c r="Z72" s="183"/>
      <c r="AA72" s="183"/>
      <c r="AB72" s="183"/>
      <c r="AC72" s="183"/>
      <c r="AD72" s="183"/>
    </row>
    <row r="73" spans="1:30" s="776" customFormat="1">
      <c r="A73" s="42"/>
      <c r="B73" s="1300"/>
      <c r="C73" s="876"/>
      <c r="D73" s="41"/>
      <c r="E73" s="80"/>
      <c r="L73" s="876"/>
      <c r="M73" s="876"/>
      <c r="N73" s="876"/>
      <c r="O73" s="876"/>
      <c r="P73" s="876"/>
      <c r="Q73" s="876"/>
      <c r="R73" s="876"/>
      <c r="U73" s="183"/>
      <c r="V73" s="183"/>
      <c r="W73" s="183"/>
      <c r="X73" s="183"/>
      <c r="Y73" s="183"/>
      <c r="Z73" s="183"/>
      <c r="AA73" s="183"/>
      <c r="AB73" s="183"/>
      <c r="AC73" s="183"/>
      <c r="AD73" s="183"/>
    </row>
    <row r="74" spans="1:30">
      <c r="A74" s="10"/>
    </row>
    <row r="75" spans="1:30">
      <c r="A75" s="10"/>
    </row>
  </sheetData>
  <customSheetViews>
    <customSheetView guid="{5826E3E6-173D-429F-ABE1-D868EE9E034B}" scale="103" showPageBreaks="1" fitToPage="1">
      <selection activeCell="D7" sqref="D7"/>
      <pageMargins left="0" right="0" top="0" bottom="0" header="0" footer="0"/>
      <pageSetup paperSize="9" scale="96" orientation="landscape" horizontalDpi="1200" verticalDpi="1200" r:id="rId1"/>
      <headerFooter>
        <oddHeader>&amp;C&amp;F</oddHeader>
      </headerFooter>
    </customSheetView>
  </customSheetViews>
  <mergeCells count="5">
    <mergeCell ref="E4:H4"/>
    <mergeCell ref="B43:D43"/>
    <mergeCell ref="L43:O43"/>
    <mergeCell ref="E5:H5"/>
    <mergeCell ref="K2:O2"/>
  </mergeCells>
  <phoneticPr fontId="2" type="noConversion"/>
  <printOptions horizontalCentered="1"/>
  <pageMargins left="0.7" right="0.7" top="0.75" bottom="0.75" header="0.3" footer="0.3"/>
  <pageSetup paperSize="9" scale="74" fitToHeight="0" orientation="landscape" cellComments="atEnd" horizontalDpi="1200" verticalDpi="1200" r:id="rId2"/>
  <headerFooter>
    <oddHeader>&amp;C&amp;"Arial MT,Bold"&amp;14Public Version</oddHeader>
    <oddFooter>&amp;L&amp;P&amp;RIreland, Wallace &amp; Associates Limited</oddFooter>
  </headerFooter>
  <rowBreaks count="1" manualBreakCount="1">
    <brk id="40" max="14"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pageSetUpPr fitToPage="1"/>
  </sheetPr>
  <dimension ref="A1:AB91"/>
  <sheetViews>
    <sheetView workbookViewId="0">
      <selection sqref="A1:D1"/>
    </sheetView>
  </sheetViews>
  <sheetFormatPr defaultRowHeight="12.75"/>
  <cols>
    <col min="1" max="1" width="2.85546875" style="238" customWidth="1"/>
    <col min="2" max="2" width="23.28515625" customWidth="1"/>
    <col min="3" max="3" width="3.28515625" customWidth="1"/>
    <col min="4" max="4" width="3.28515625" style="776" customWidth="1"/>
    <col min="5" max="5" width="6.28515625" customWidth="1"/>
    <col min="6" max="14" width="8.85546875" customWidth="1"/>
    <col min="15" max="16" width="8.85546875" style="592" customWidth="1"/>
    <col min="17" max="28" width="8.85546875" customWidth="1"/>
  </cols>
  <sheetData>
    <row r="1" spans="1:28" s="776" customFormat="1" ht="22.5" customHeight="1">
      <c r="A1" s="1484" t="s">
        <v>0</v>
      </c>
      <c r="B1" s="1484"/>
      <c r="C1" s="1484"/>
      <c r="D1" s="1484"/>
      <c r="E1" s="1169" t="e">
        <f>'1_Contents'!#REF!</f>
        <v>#REF!</v>
      </c>
      <c r="F1" s="1476" t="e">
        <f>'1_Contents'!#REF!</f>
        <v>#REF!</v>
      </c>
      <c r="G1" s="1476"/>
      <c r="I1" s="1485" t="s">
        <v>663</v>
      </c>
      <c r="J1" s="1485"/>
      <c r="K1" s="1485"/>
      <c r="L1" s="1477">
        <f ca="1">NOW()</f>
        <v>44487.543585879626</v>
      </c>
      <c r="M1" s="1477"/>
      <c r="N1" s="1477"/>
      <c r="O1" s="986"/>
      <c r="P1" s="967"/>
      <c r="Q1" s="967"/>
      <c r="R1" s="967"/>
      <c r="S1" s="967"/>
      <c r="T1" s="967"/>
      <c r="U1" s="967"/>
      <c r="V1" s="967"/>
      <c r="W1" s="967"/>
      <c r="X1" s="967"/>
      <c r="Y1" s="986"/>
      <c r="Z1" s="986"/>
      <c r="AA1" s="986" t="e">
        <f>'1_Contents'!#REF!</f>
        <v>#REF!</v>
      </c>
      <c r="AB1" s="1042"/>
    </row>
    <row r="2" spans="1:28" s="776" customFormat="1">
      <c r="A2" s="1040" t="s">
        <v>664</v>
      </c>
      <c r="B2" s="321"/>
      <c r="C2" s="636"/>
      <c r="D2" s="636"/>
      <c r="E2" s="801"/>
      <c r="F2" s="69">
        <v>0</v>
      </c>
      <c r="G2" s="69">
        <f>F2+1</f>
        <v>1</v>
      </c>
      <c r="H2" s="69">
        <f t="shared" ref="H2:W3" si="0">G2+1</f>
        <v>2</v>
      </c>
      <c r="I2" s="69">
        <f t="shared" si="0"/>
        <v>3</v>
      </c>
      <c r="J2" s="69">
        <f t="shared" si="0"/>
        <v>4</v>
      </c>
      <c r="K2" s="69">
        <f t="shared" si="0"/>
        <v>5</v>
      </c>
      <c r="L2" s="69">
        <f t="shared" si="0"/>
        <v>6</v>
      </c>
      <c r="M2" s="69">
        <f t="shared" si="0"/>
        <v>7</v>
      </c>
      <c r="N2" s="69">
        <f t="shared" si="0"/>
        <v>8</v>
      </c>
      <c r="O2" s="69">
        <f t="shared" si="0"/>
        <v>9</v>
      </c>
      <c r="P2" s="69">
        <f t="shared" si="0"/>
        <v>10</v>
      </c>
      <c r="Q2" s="69">
        <f t="shared" si="0"/>
        <v>11</v>
      </c>
      <c r="R2" s="69">
        <f t="shared" si="0"/>
        <v>12</v>
      </c>
      <c r="S2" s="69">
        <f t="shared" si="0"/>
        <v>13</v>
      </c>
      <c r="T2" s="69">
        <f t="shared" si="0"/>
        <v>14</v>
      </c>
      <c r="U2" s="69">
        <f t="shared" si="0"/>
        <v>15</v>
      </c>
      <c r="V2" s="69">
        <f t="shared" si="0"/>
        <v>16</v>
      </c>
      <c r="W2" s="69">
        <f t="shared" si="0"/>
        <v>17</v>
      </c>
      <c r="X2" s="69">
        <f t="shared" ref="X2:AA3" si="1">W2+1</f>
        <v>18</v>
      </c>
      <c r="Y2" s="69">
        <f t="shared" si="1"/>
        <v>19</v>
      </c>
      <c r="Z2" s="69">
        <f t="shared" si="1"/>
        <v>20</v>
      </c>
      <c r="AA2" s="69">
        <f t="shared" si="1"/>
        <v>21</v>
      </c>
      <c r="AB2" s="710"/>
    </row>
    <row r="3" spans="1:28" s="776" customFormat="1">
      <c r="A3" s="52"/>
      <c r="B3" s="52"/>
      <c r="C3" s="52"/>
      <c r="D3" s="52"/>
      <c r="E3" s="1266" t="s">
        <v>3</v>
      </c>
      <c r="F3" s="953">
        <v>1999</v>
      </c>
      <c r="G3" s="953">
        <f t="shared" ref="G3:M3" si="2">F3+1</f>
        <v>2000</v>
      </c>
      <c r="H3" s="953">
        <f t="shared" si="2"/>
        <v>2001</v>
      </c>
      <c r="I3" s="953">
        <f t="shared" si="2"/>
        <v>2002</v>
      </c>
      <c r="J3" s="953">
        <f t="shared" si="2"/>
        <v>2003</v>
      </c>
      <c r="K3" s="953">
        <f t="shared" si="2"/>
        <v>2004</v>
      </c>
      <c r="L3" s="953">
        <f t="shared" si="2"/>
        <v>2005</v>
      </c>
      <c r="M3" s="953">
        <f t="shared" si="2"/>
        <v>2006</v>
      </c>
      <c r="N3" s="953">
        <v>2007</v>
      </c>
      <c r="O3" s="953">
        <f>N3+1</f>
        <v>2008</v>
      </c>
      <c r="P3" s="953">
        <f t="shared" si="0"/>
        <v>2009</v>
      </c>
      <c r="Q3" s="953">
        <f t="shared" si="0"/>
        <v>2010</v>
      </c>
      <c r="R3" s="953">
        <f t="shared" si="0"/>
        <v>2011</v>
      </c>
      <c r="S3" s="953">
        <f t="shared" si="0"/>
        <v>2012</v>
      </c>
      <c r="T3" s="953">
        <f t="shared" si="0"/>
        <v>2013</v>
      </c>
      <c r="U3" s="953">
        <f t="shared" si="0"/>
        <v>2014</v>
      </c>
      <c r="V3" s="953">
        <f t="shared" si="0"/>
        <v>2015</v>
      </c>
      <c r="W3" s="953">
        <f t="shared" si="0"/>
        <v>2016</v>
      </c>
      <c r="X3" s="953">
        <f t="shared" si="1"/>
        <v>2017</v>
      </c>
      <c r="Y3" s="953">
        <f t="shared" si="1"/>
        <v>2018</v>
      </c>
      <c r="Z3" s="953">
        <f t="shared" si="1"/>
        <v>2019</v>
      </c>
      <c r="AA3" s="953">
        <f t="shared" si="1"/>
        <v>2020</v>
      </c>
      <c r="AB3" s="910"/>
    </row>
    <row r="4" spans="1:28" s="233" customFormat="1">
      <c r="A4" s="52">
        <v>1</v>
      </c>
      <c r="B4" s="791" t="s">
        <v>665</v>
      </c>
      <c r="C4" s="52"/>
      <c r="D4" s="52"/>
      <c r="E4" s="52"/>
      <c r="F4" s="52"/>
      <c r="G4" s="52"/>
      <c r="H4" s="52"/>
      <c r="I4" s="52"/>
      <c r="J4" s="52"/>
      <c r="K4" s="52"/>
      <c r="L4" s="52"/>
      <c r="M4" s="52"/>
      <c r="N4" s="52"/>
      <c r="O4" s="52"/>
      <c r="P4" s="52"/>
      <c r="Q4" s="52"/>
      <c r="R4" s="52"/>
      <c r="S4" s="52"/>
      <c r="T4" s="52"/>
      <c r="U4" s="52"/>
      <c r="V4" s="52"/>
      <c r="W4" s="52"/>
      <c r="X4" s="52"/>
      <c r="Y4" s="52"/>
      <c r="Z4" s="52"/>
      <c r="AA4" s="52"/>
      <c r="AB4" s="52"/>
    </row>
    <row r="5" spans="1:28" s="233" customFormat="1">
      <c r="A5" s="52"/>
      <c r="B5" s="242"/>
      <c r="C5" s="52"/>
      <c r="D5" s="52"/>
      <c r="E5" s="52"/>
      <c r="F5" s="52"/>
      <c r="G5" s="52"/>
      <c r="H5" s="52"/>
      <c r="I5" s="52"/>
      <c r="J5" s="52"/>
      <c r="K5" s="52"/>
      <c r="L5" s="52"/>
      <c r="M5" s="52"/>
      <c r="N5" s="52"/>
      <c r="O5" s="52"/>
      <c r="P5" s="52"/>
      <c r="Q5" s="52"/>
      <c r="R5" s="52"/>
      <c r="S5" s="52"/>
      <c r="T5" s="52"/>
      <c r="U5" s="52"/>
      <c r="V5" s="52"/>
      <c r="W5" s="52"/>
      <c r="X5" s="52"/>
      <c r="Y5" s="52"/>
      <c r="Z5" s="52"/>
      <c r="AA5" s="52"/>
      <c r="AB5" s="52"/>
    </row>
    <row r="6" spans="1:28">
      <c r="A6" s="52">
        <v>2</v>
      </c>
      <c r="B6" s="1049" t="s">
        <v>666</v>
      </c>
      <c r="C6" s="52"/>
      <c r="D6" s="52"/>
      <c r="E6" s="72" t="s">
        <v>667</v>
      </c>
      <c r="F6" s="72"/>
      <c r="G6" s="72"/>
      <c r="H6" s="69"/>
      <c r="I6" s="52"/>
      <c r="J6" s="52"/>
      <c r="K6" s="52"/>
      <c r="L6" s="52"/>
      <c r="M6" s="173"/>
      <c r="N6" s="173"/>
      <c r="O6" s="173" t="e">
        <f>' 11-BU Perf'!#REF!</f>
        <v>#REF!</v>
      </c>
      <c r="P6" s="173" t="e">
        <f>' 11-BU Perf'!#REF!</f>
        <v>#REF!</v>
      </c>
      <c r="Q6" s="173" t="e">
        <f>' 11-BU Perf'!#REF!</f>
        <v>#REF!</v>
      </c>
      <c r="R6" s="173" t="e">
        <f>' 11-BU Perf'!#REF!</f>
        <v>#REF!</v>
      </c>
      <c r="S6" s="173" t="e">
        <f>' 11-BU Perf'!#REF!</f>
        <v>#REF!</v>
      </c>
      <c r="T6" s="173" t="e">
        <f>' 11-BU Perf'!#REF!</f>
        <v>#REF!</v>
      </c>
      <c r="U6" s="52"/>
      <c r="V6" s="52"/>
      <c r="W6" s="52"/>
      <c r="X6" s="52"/>
      <c r="Y6" s="52"/>
      <c r="Z6" s="52"/>
      <c r="AA6" s="52"/>
      <c r="AB6" s="52"/>
    </row>
    <row r="7" spans="1:28">
      <c r="A7" s="52"/>
      <c r="B7" s="922"/>
      <c r="C7" s="52"/>
      <c r="D7" s="52"/>
      <c r="E7" s="920"/>
      <c r="F7" s="920"/>
      <c r="G7" s="920"/>
      <c r="H7" s="52"/>
      <c r="I7" s="52"/>
      <c r="J7" s="52"/>
      <c r="K7" s="52"/>
      <c r="L7" s="52"/>
      <c r="M7" s="52"/>
      <c r="N7" s="52"/>
      <c r="O7" s="52"/>
      <c r="P7" s="52"/>
      <c r="Q7" s="52"/>
      <c r="R7" s="52"/>
      <c r="S7" s="52"/>
      <c r="T7" s="52"/>
      <c r="U7" s="52"/>
      <c r="V7" s="52"/>
      <c r="W7" s="52"/>
      <c r="X7" s="52"/>
      <c r="Y7" s="52"/>
      <c r="Z7" s="52"/>
      <c r="AA7" s="52"/>
      <c r="AB7" s="52"/>
    </row>
    <row r="8" spans="1:28">
      <c r="A8" s="52">
        <v>3</v>
      </c>
      <c r="B8" s="791" t="s">
        <v>668</v>
      </c>
      <c r="C8" s="52"/>
      <c r="D8" s="52"/>
      <c r="E8" s="593" t="s">
        <v>554</v>
      </c>
      <c r="F8" s="1266"/>
      <c r="G8" s="1266"/>
      <c r="H8" s="1050">
        <f>'2_Inc-Stat'!H4</f>
        <v>0</v>
      </c>
      <c r="I8" s="52"/>
      <c r="J8" s="52"/>
      <c r="K8" s="52"/>
      <c r="L8" s="52"/>
      <c r="M8" s="1050"/>
      <c r="N8" s="1050"/>
      <c r="O8" s="1050">
        <f>'2_Inc-Stat'!O7</f>
        <v>5511</v>
      </c>
      <c r="P8" s="1050">
        <f>'2_Inc-Stat'!P7</f>
        <v>6595</v>
      </c>
      <c r="Q8" s="1050">
        <f>'2_Inc-Stat'!Q7</f>
        <v>16463</v>
      </c>
      <c r="R8" s="1050">
        <f>'2_Inc-Stat'!R7</f>
        <v>22284</v>
      </c>
      <c r="S8" s="1050">
        <f>'2_Inc-Stat'!S7</f>
        <v>11100</v>
      </c>
      <c r="T8" s="1050">
        <f>'2_Inc-Stat'!T7</f>
        <v>13300</v>
      </c>
      <c r="U8" s="52"/>
      <c r="V8" s="52"/>
      <c r="W8" s="52"/>
      <c r="X8" s="52"/>
      <c r="Y8" s="52"/>
      <c r="Z8" s="52"/>
      <c r="AA8" s="52"/>
      <c r="AB8" s="52"/>
    </row>
    <row r="9" spans="1:28">
      <c r="A9" s="52"/>
      <c r="B9" s="1024" t="s">
        <v>669</v>
      </c>
      <c r="C9" s="52"/>
      <c r="D9" s="52"/>
      <c r="E9" s="593" t="s">
        <v>32</v>
      </c>
      <c r="F9" s="52"/>
      <c r="G9" s="52"/>
      <c r="H9" s="242"/>
      <c r="I9" s="52"/>
      <c r="J9" s="52"/>
      <c r="K9" s="52"/>
      <c r="L9" s="52"/>
      <c r="M9" s="1050"/>
      <c r="N9" s="1050"/>
      <c r="O9" s="1050"/>
      <c r="P9" s="1050">
        <f t="shared" ref="P9" si="3">P8-O8</f>
        <v>1084</v>
      </c>
      <c r="Q9" s="1050">
        <f t="shared" ref="Q9" si="4">Q8-P8</f>
        <v>9868</v>
      </c>
      <c r="R9" s="1050">
        <f t="shared" ref="R9" si="5">R8-Q8</f>
        <v>5821</v>
      </c>
      <c r="S9" s="1050">
        <f t="shared" ref="S9" si="6">S8-R8</f>
        <v>-11184</v>
      </c>
      <c r="T9" s="1050">
        <f t="shared" ref="T9" si="7">T8-S8</f>
        <v>2200</v>
      </c>
      <c r="U9" s="52"/>
      <c r="V9" s="52"/>
      <c r="W9" s="52"/>
      <c r="X9" s="52"/>
      <c r="Y9" s="52"/>
      <c r="Z9" s="52"/>
      <c r="AA9" s="52"/>
      <c r="AB9" s="52"/>
    </row>
    <row r="10" spans="1:28">
      <c r="A10" s="52"/>
      <c r="B10" s="1025" t="s">
        <v>670</v>
      </c>
      <c r="C10" s="52"/>
      <c r="D10" s="52"/>
      <c r="E10" s="242"/>
      <c r="F10" s="52"/>
      <c r="G10" s="52"/>
      <c r="H10" s="242"/>
      <c r="I10" s="52"/>
      <c r="J10" s="52"/>
      <c r="K10" s="52"/>
      <c r="L10" s="52"/>
      <c r="M10" s="682"/>
      <c r="N10" s="682"/>
      <c r="O10" s="682"/>
      <c r="P10" s="682">
        <f t="shared" ref="P10" si="8">P9/O8</f>
        <v>0.19669751406278352</v>
      </c>
      <c r="Q10" s="682">
        <f t="shared" ref="Q10" si="9">Q9/P8</f>
        <v>1.4962850644427597</v>
      </c>
      <c r="R10" s="682">
        <f t="shared" ref="R10" si="10">R9/Q8</f>
        <v>0.353580756848691</v>
      </c>
      <c r="S10" s="682">
        <f t="shared" ref="S10" si="11">S9/R8</f>
        <v>-0.50188476036618201</v>
      </c>
      <c r="T10" s="682">
        <f t="shared" ref="T10" si="12">T9/S8</f>
        <v>0.1981981981981982</v>
      </c>
      <c r="U10" s="52"/>
      <c r="V10" s="52"/>
      <c r="W10" s="52"/>
      <c r="X10" s="52"/>
      <c r="Y10" s="52"/>
      <c r="Z10" s="52"/>
      <c r="AA10" s="52"/>
      <c r="AB10" s="52"/>
    </row>
    <row r="11" spans="1:28">
      <c r="A11" s="52"/>
      <c r="B11" s="1186"/>
      <c r="C11" s="52"/>
      <c r="D11" s="52"/>
      <c r="E11" s="242"/>
      <c r="F11" s="52"/>
      <c r="G11" s="52"/>
      <c r="H11" s="70"/>
      <c r="I11" s="52"/>
      <c r="J11" s="52"/>
      <c r="K11" s="52"/>
      <c r="L11" s="52"/>
      <c r="M11" s="682"/>
      <c r="N11" s="682"/>
      <c r="O11" s="682"/>
      <c r="P11" s="682"/>
      <c r="Q11" s="682"/>
      <c r="R11" s="682"/>
      <c r="S11" s="682"/>
      <c r="T11" s="682"/>
      <c r="U11" s="52"/>
      <c r="V11" s="52"/>
      <c r="W11" s="52"/>
      <c r="X11" s="52"/>
      <c r="Y11" s="52"/>
      <c r="Z11" s="52"/>
      <c r="AA11" s="52"/>
      <c r="AB11" s="52"/>
    </row>
    <row r="12" spans="1:28">
      <c r="A12" s="52">
        <v>4</v>
      </c>
      <c r="B12" s="993" t="s">
        <v>671</v>
      </c>
      <c r="C12" s="52"/>
      <c r="D12" s="52"/>
      <c r="E12" s="593" t="s">
        <v>554</v>
      </c>
      <c r="F12" s="1266"/>
      <c r="G12" s="1266"/>
      <c r="H12" s="70"/>
      <c r="I12" s="52"/>
      <c r="J12" s="52"/>
      <c r="K12" s="52"/>
      <c r="L12" s="52"/>
      <c r="M12" s="1050"/>
      <c r="N12" s="1050"/>
      <c r="O12" s="1050"/>
      <c r="P12" s="1050"/>
      <c r="Q12" s="1050"/>
      <c r="R12" s="1050"/>
      <c r="S12" s="1051" t="e">
        <f>S8/S6</f>
        <v>#REF!</v>
      </c>
      <c r="T12" s="1051" t="e">
        <f>T8/T6</f>
        <v>#REF!</v>
      </c>
      <c r="U12" s="52"/>
      <c r="V12" s="52"/>
      <c r="W12" s="52"/>
      <c r="X12" s="52"/>
      <c r="Y12" s="52"/>
      <c r="Z12" s="52"/>
      <c r="AA12" s="52"/>
      <c r="AB12" s="52"/>
    </row>
    <row r="13" spans="1:28">
      <c r="A13" s="52"/>
      <c r="B13" s="993"/>
      <c r="C13" s="52"/>
      <c r="D13" s="52"/>
      <c r="E13" s="593"/>
      <c r="F13" s="1266"/>
      <c r="G13" s="1266"/>
      <c r="H13" s="70"/>
      <c r="I13" s="52"/>
      <c r="J13" s="52"/>
      <c r="K13" s="52"/>
      <c r="L13" s="52"/>
      <c r="M13" s="1050"/>
      <c r="N13" s="1050"/>
      <c r="O13" s="1050"/>
      <c r="P13" s="1050"/>
      <c r="Q13" s="1050"/>
      <c r="R13" s="1050"/>
      <c r="S13" s="1050"/>
      <c r="T13" s="1050"/>
      <c r="U13" s="52"/>
      <c r="V13" s="52"/>
      <c r="W13" s="52"/>
      <c r="X13" s="52"/>
      <c r="Y13" s="52"/>
      <c r="Z13" s="52"/>
      <c r="AA13" s="52"/>
      <c r="AB13" s="52"/>
    </row>
    <row r="14" spans="1:28">
      <c r="A14" s="52">
        <v>5</v>
      </c>
      <c r="B14" s="993" t="s">
        <v>672</v>
      </c>
      <c r="C14" s="52"/>
      <c r="D14" s="52"/>
      <c r="E14" s="593" t="s">
        <v>631</v>
      </c>
      <c r="F14" s="1266"/>
      <c r="G14" s="1266"/>
      <c r="H14" s="70"/>
      <c r="I14" s="52"/>
      <c r="J14" s="52"/>
      <c r="K14" s="52"/>
      <c r="L14" s="52"/>
      <c r="M14" s="1050"/>
      <c r="N14" s="1050"/>
      <c r="O14" s="1050"/>
      <c r="P14" s="1050"/>
      <c r="Q14" s="1050"/>
      <c r="R14" s="1050"/>
      <c r="S14" s="1050"/>
      <c r="T14" s="1050"/>
      <c r="U14" s="52"/>
      <c r="V14" s="52"/>
      <c r="W14" s="52"/>
      <c r="X14" s="52"/>
      <c r="Y14" s="52"/>
      <c r="Z14" s="52"/>
      <c r="AA14" s="52"/>
      <c r="AB14" s="52"/>
    </row>
    <row r="15" spans="1:28">
      <c r="A15" s="52"/>
      <c r="B15" s="242"/>
      <c r="C15" s="52"/>
      <c r="D15" s="52"/>
      <c r="E15" s="242"/>
      <c r="F15" s="52"/>
      <c r="G15" s="52"/>
      <c r="H15" s="70"/>
      <c r="I15" s="52"/>
      <c r="J15" s="52"/>
      <c r="K15" s="52"/>
      <c r="L15" s="52"/>
      <c r="M15" s="1050"/>
      <c r="N15" s="1050"/>
      <c r="O15" s="1050"/>
      <c r="P15" s="1050"/>
      <c r="Q15" s="1050"/>
      <c r="R15" s="1050"/>
      <c r="S15" s="1050"/>
      <c r="T15" s="1050"/>
      <c r="U15" s="52"/>
      <c r="V15" s="52"/>
      <c r="W15" s="52"/>
      <c r="X15" s="52"/>
      <c r="Y15" s="52"/>
      <c r="Z15" s="52"/>
      <c r="AA15" s="52"/>
      <c r="AB15" s="52"/>
    </row>
    <row r="16" spans="1:28">
      <c r="A16" s="52">
        <v>6</v>
      </c>
      <c r="B16" s="791" t="s">
        <v>673</v>
      </c>
      <c r="C16" s="52"/>
      <c r="D16" s="52"/>
      <c r="E16" s="593" t="s">
        <v>554</v>
      </c>
      <c r="F16" s="52"/>
      <c r="G16" s="52"/>
      <c r="H16" s="52"/>
      <c r="I16" s="52"/>
      <c r="J16" s="52"/>
      <c r="K16" s="52"/>
      <c r="L16" s="52"/>
      <c r="M16" s="1050"/>
      <c r="N16" s="1050"/>
      <c r="O16" s="1050" t="e">
        <f>#REF!</f>
        <v>#REF!</v>
      </c>
      <c r="P16" s="1050" t="e">
        <f>#REF!</f>
        <v>#REF!</v>
      </c>
      <c r="Q16" s="1050" t="e">
        <f>#REF!</f>
        <v>#REF!</v>
      </c>
      <c r="R16" s="1050" t="e">
        <f>#REF!</f>
        <v>#REF!</v>
      </c>
      <c r="S16" s="1050" t="e">
        <f>#REF!</f>
        <v>#REF!</v>
      </c>
      <c r="T16" s="1050" t="e">
        <f>#REF!</f>
        <v>#REF!</v>
      </c>
      <c r="U16" s="52"/>
      <c r="V16" s="52"/>
      <c r="W16" s="52"/>
      <c r="X16" s="52"/>
      <c r="Y16" s="52"/>
      <c r="Z16" s="52"/>
      <c r="AA16" s="52"/>
      <c r="AB16" s="52"/>
    </row>
    <row r="17" spans="1:28">
      <c r="A17" s="52"/>
      <c r="B17" s="791"/>
      <c r="C17" s="52"/>
      <c r="D17" s="52"/>
      <c r="E17" s="242"/>
      <c r="F17" s="52"/>
      <c r="G17" s="52"/>
      <c r="H17" s="52"/>
      <c r="I17" s="52"/>
      <c r="J17" s="52"/>
      <c r="K17" s="52"/>
      <c r="L17" s="52"/>
      <c r="M17" s="1050"/>
      <c r="N17" s="1050"/>
      <c r="O17" s="1050"/>
      <c r="P17" s="1050"/>
      <c r="Q17" s="1050"/>
      <c r="R17" s="1050"/>
      <c r="S17" s="1050"/>
      <c r="T17" s="1050"/>
      <c r="U17" s="52"/>
      <c r="V17" s="52"/>
      <c r="W17" s="52"/>
      <c r="X17" s="52"/>
      <c r="Y17" s="52"/>
      <c r="Z17" s="52"/>
      <c r="AA17" s="52"/>
      <c r="AB17" s="52"/>
    </row>
    <row r="18" spans="1:28">
      <c r="A18" s="52">
        <v>7</v>
      </c>
      <c r="B18" s="791" t="s">
        <v>674</v>
      </c>
      <c r="C18" s="52"/>
      <c r="D18" s="52"/>
      <c r="E18" s="52" t="s">
        <v>675</v>
      </c>
      <c r="F18" s="52"/>
      <c r="G18" s="52"/>
      <c r="H18" s="52"/>
      <c r="I18" s="52"/>
      <c r="J18" s="52"/>
      <c r="K18" s="52"/>
      <c r="L18" s="52"/>
      <c r="M18" s="682"/>
      <c r="N18" s="682"/>
      <c r="O18" s="682" t="e">
        <f>O16/O8</f>
        <v>#REF!</v>
      </c>
      <c r="P18" s="682" t="e">
        <f t="shared" ref="P18:T18" si="13">P16/P8</f>
        <v>#REF!</v>
      </c>
      <c r="Q18" s="682" t="e">
        <f t="shared" si="13"/>
        <v>#REF!</v>
      </c>
      <c r="R18" s="682" t="e">
        <f t="shared" si="13"/>
        <v>#REF!</v>
      </c>
      <c r="S18" s="682" t="e">
        <f t="shared" si="13"/>
        <v>#REF!</v>
      </c>
      <c r="T18" s="682" t="e">
        <f t="shared" si="13"/>
        <v>#REF!</v>
      </c>
      <c r="U18" s="52"/>
      <c r="V18" s="52"/>
      <c r="W18" s="52"/>
      <c r="X18" s="52"/>
      <c r="Y18" s="52"/>
      <c r="Z18" s="52"/>
      <c r="AA18" s="52"/>
      <c r="AB18" s="52"/>
    </row>
    <row r="19" spans="1:28">
      <c r="A19" s="52"/>
      <c r="B19" s="1024" t="s">
        <v>676</v>
      </c>
      <c r="C19" s="52"/>
      <c r="D19" s="52"/>
      <c r="E19" s="52"/>
      <c r="F19" s="52"/>
      <c r="G19" s="52"/>
      <c r="H19" s="52"/>
      <c r="I19" s="52"/>
      <c r="J19" s="52"/>
      <c r="K19" s="52"/>
      <c r="L19" s="52"/>
      <c r="M19" s="682"/>
      <c r="N19" s="682"/>
      <c r="O19" s="682"/>
      <c r="P19" s="682" t="e">
        <f t="shared" ref="P19" si="14">P18-O18</f>
        <v>#REF!</v>
      </c>
      <c r="Q19" s="682" t="e">
        <f t="shared" ref="Q19" si="15">Q18-P18</f>
        <v>#REF!</v>
      </c>
      <c r="R19" s="682" t="e">
        <f t="shared" ref="R19" si="16">R18-Q18</f>
        <v>#REF!</v>
      </c>
      <c r="S19" s="682" t="e">
        <f t="shared" ref="S19" si="17">S18-R18</f>
        <v>#REF!</v>
      </c>
      <c r="T19" s="682" t="e">
        <f t="shared" ref="T19" si="18">T18-S18</f>
        <v>#REF!</v>
      </c>
      <c r="U19" s="52"/>
      <c r="V19" s="52"/>
      <c r="W19" s="52"/>
      <c r="X19" s="52"/>
      <c r="Y19" s="52"/>
      <c r="Z19" s="52"/>
      <c r="AA19" s="52"/>
      <c r="AB19" s="52"/>
    </row>
    <row r="20" spans="1:28">
      <c r="A20" s="52"/>
      <c r="B20" s="242"/>
      <c r="C20" s="52"/>
      <c r="D20" s="52"/>
      <c r="E20" s="52"/>
      <c r="F20" s="52"/>
      <c r="G20" s="52"/>
      <c r="H20" s="52"/>
      <c r="I20" s="52"/>
      <c r="J20" s="52"/>
      <c r="K20" s="52"/>
      <c r="L20" s="52"/>
      <c r="M20" s="682"/>
      <c r="N20" s="682"/>
      <c r="O20" s="682" t="s">
        <v>677</v>
      </c>
      <c r="P20" s="682"/>
      <c r="Q20" s="682"/>
      <c r="R20" s="682"/>
      <c r="S20" s="682"/>
      <c r="T20" s="682"/>
      <c r="U20" s="52"/>
      <c r="V20" s="52"/>
      <c r="W20" s="52"/>
      <c r="X20" s="52"/>
      <c r="Y20" s="52"/>
      <c r="Z20" s="52"/>
      <c r="AA20" s="52"/>
      <c r="AB20" s="52"/>
    </row>
    <row r="21" spans="1:28">
      <c r="A21" s="52">
        <v>8</v>
      </c>
      <c r="B21" s="791" t="s">
        <v>678</v>
      </c>
      <c r="C21" s="52"/>
      <c r="D21" s="52"/>
      <c r="E21" s="52" t="s">
        <v>679</v>
      </c>
      <c r="F21" s="52"/>
      <c r="G21" s="52"/>
      <c r="H21" s="52"/>
      <c r="I21" s="52"/>
      <c r="J21" s="52"/>
      <c r="K21" s="52"/>
      <c r="L21" s="52"/>
      <c r="M21" s="1028"/>
      <c r="N21" s="1028"/>
      <c r="O21" s="1029" t="e">
        <f>O16/O22</f>
        <v>#REF!</v>
      </c>
      <c r="P21" s="1029" t="e">
        <f t="shared" ref="P21:T21" si="19">P16/P22</f>
        <v>#REF!</v>
      </c>
      <c r="Q21" s="1029" t="e">
        <f t="shared" si="19"/>
        <v>#REF!</v>
      </c>
      <c r="R21" s="1029" t="e">
        <f t="shared" si="19"/>
        <v>#REF!</v>
      </c>
      <c r="S21" s="1029" t="e">
        <f t="shared" si="19"/>
        <v>#REF!</v>
      </c>
      <c r="T21" s="1029" t="e">
        <f t="shared" si="19"/>
        <v>#REF!</v>
      </c>
      <c r="U21" s="52"/>
      <c r="V21" s="52"/>
      <c r="W21" s="52"/>
      <c r="X21" s="52"/>
      <c r="Y21" s="52"/>
      <c r="Z21" s="52"/>
      <c r="AA21" s="52"/>
      <c r="AB21" s="52"/>
    </row>
    <row r="22" spans="1:28">
      <c r="A22" s="52"/>
      <c r="B22" s="1024" t="s">
        <v>680</v>
      </c>
      <c r="C22" s="52"/>
      <c r="D22" s="52"/>
      <c r="E22" s="593" t="s">
        <v>554</v>
      </c>
      <c r="F22" s="1266"/>
      <c r="G22" s="1266"/>
      <c r="H22" s="52"/>
      <c r="I22" s="52"/>
      <c r="J22" s="52"/>
      <c r="K22" s="52"/>
      <c r="L22" s="52"/>
      <c r="M22" s="1050"/>
      <c r="N22" s="1050"/>
      <c r="O22" s="1050" t="e">
        <f>#REF!</f>
        <v>#REF!</v>
      </c>
      <c r="P22" s="1050" t="e">
        <f>#REF!</f>
        <v>#REF!</v>
      </c>
      <c r="Q22" s="1050" t="e">
        <f>#REF!</f>
        <v>#REF!</v>
      </c>
      <c r="R22" s="1050" t="e">
        <f>#REF!</f>
        <v>#REF!</v>
      </c>
      <c r="S22" s="1050" t="e">
        <f>#REF!</f>
        <v>#REF!</v>
      </c>
      <c r="T22" s="1050" t="e">
        <f>#REF!</f>
        <v>#REF!</v>
      </c>
      <c r="U22" s="52"/>
      <c r="V22" s="52"/>
      <c r="W22" s="52"/>
      <c r="X22" s="52"/>
      <c r="Y22" s="52"/>
      <c r="Z22" s="52"/>
      <c r="AA22" s="52"/>
      <c r="AB22" s="52"/>
    </row>
    <row r="23" spans="1:28">
      <c r="A23" s="52"/>
      <c r="B23" s="1024" t="s">
        <v>676</v>
      </c>
      <c r="C23" s="52"/>
      <c r="D23" s="52"/>
      <c r="E23" s="52"/>
      <c r="F23" s="52"/>
      <c r="G23" s="52"/>
      <c r="H23" s="52"/>
      <c r="I23" s="52"/>
      <c r="J23" s="52"/>
      <c r="K23" s="52"/>
      <c r="L23" s="52"/>
      <c r="M23" s="682"/>
      <c r="N23" s="682"/>
      <c r="O23" s="682"/>
      <c r="P23" s="682" t="e">
        <f t="shared" ref="P23" si="20">P21-O21</f>
        <v>#REF!</v>
      </c>
      <c r="Q23" s="682" t="e">
        <f t="shared" ref="Q23" si="21">Q21-P21</f>
        <v>#REF!</v>
      </c>
      <c r="R23" s="682" t="e">
        <f t="shared" ref="R23" si="22">R21-Q21</f>
        <v>#REF!</v>
      </c>
      <c r="S23" s="682" t="e">
        <f t="shared" ref="S23" si="23">S21-R21</f>
        <v>#REF!</v>
      </c>
      <c r="T23" s="682" t="e">
        <f t="shared" ref="T23" si="24">T21-S21</f>
        <v>#REF!</v>
      </c>
      <c r="U23" s="52"/>
      <c r="V23" s="52"/>
      <c r="W23" s="52"/>
      <c r="X23" s="52"/>
      <c r="Y23" s="52"/>
      <c r="Z23" s="52"/>
      <c r="AA23" s="52"/>
      <c r="AB23" s="52"/>
    </row>
    <row r="24" spans="1:28">
      <c r="A24" s="52"/>
      <c r="B24" s="1024"/>
      <c r="C24" s="52"/>
      <c r="D24" s="52"/>
      <c r="E24" s="52"/>
      <c r="F24" s="52"/>
      <c r="G24" s="52"/>
      <c r="H24" s="52"/>
      <c r="I24" s="52"/>
      <c r="J24" s="52"/>
      <c r="K24" s="52"/>
      <c r="L24" s="52"/>
      <c r="M24" s="242"/>
      <c r="N24" s="242"/>
      <c r="O24" s="242"/>
      <c r="P24" s="242"/>
      <c r="Q24" s="242"/>
      <c r="R24" s="242"/>
      <c r="S24" s="242"/>
      <c r="T24" s="242"/>
      <c r="U24" s="52"/>
      <c r="V24" s="52"/>
      <c r="W24" s="52"/>
      <c r="X24" s="52"/>
      <c r="Y24" s="52"/>
      <c r="Z24" s="52"/>
      <c r="AA24" s="52"/>
      <c r="AB24" s="52"/>
    </row>
    <row r="25" spans="1:28">
      <c r="A25" s="52">
        <v>9</v>
      </c>
      <c r="B25" s="791" t="s">
        <v>681</v>
      </c>
      <c r="C25" s="52"/>
      <c r="D25" s="52"/>
      <c r="E25" s="52" t="s">
        <v>682</v>
      </c>
      <c r="F25" s="52"/>
      <c r="G25" s="52"/>
      <c r="H25" s="52"/>
      <c r="I25" s="52"/>
      <c r="J25" s="52"/>
      <c r="K25" s="52"/>
      <c r="L25" s="52"/>
      <c r="M25" s="682"/>
      <c r="N25" s="682"/>
      <c r="O25" s="682"/>
      <c r="P25" s="682" t="e">
        <f t="shared" ref="P25" si="25">(P16-O16)/O8</f>
        <v>#REF!</v>
      </c>
      <c r="Q25" s="682" t="e">
        <f t="shared" ref="Q25" si="26">(Q16-P16)/P8</f>
        <v>#REF!</v>
      </c>
      <c r="R25" s="682" t="e">
        <f t="shared" ref="R25" si="27">(R16-Q16)/Q8</f>
        <v>#REF!</v>
      </c>
      <c r="S25" s="682" t="e">
        <f t="shared" ref="S25" si="28">(S16-R16)/R8</f>
        <v>#REF!</v>
      </c>
      <c r="T25" s="682" t="e">
        <f t="shared" ref="T25" si="29">(T16-S16)/S8</f>
        <v>#REF!</v>
      </c>
      <c r="U25" s="52"/>
      <c r="V25" s="52"/>
      <c r="W25" s="52"/>
      <c r="X25" s="52"/>
      <c r="Y25" s="52"/>
      <c r="Z25" s="52"/>
      <c r="AA25" s="52"/>
      <c r="AB25" s="52"/>
    </row>
    <row r="26" spans="1:28">
      <c r="A26" s="52"/>
      <c r="B26" s="242"/>
      <c r="C26" s="52"/>
      <c r="D26" s="52"/>
      <c r="E26" s="52" t="s">
        <v>683</v>
      </c>
      <c r="F26" s="52"/>
      <c r="G26" s="52"/>
      <c r="H26" s="52"/>
      <c r="I26" s="52"/>
      <c r="J26" s="52"/>
      <c r="K26" s="52"/>
      <c r="L26" s="52"/>
      <c r="M26" s="242"/>
      <c r="N26" s="242"/>
      <c r="O26" s="242"/>
      <c r="P26" s="242"/>
      <c r="Q26" s="242"/>
      <c r="R26" s="242"/>
      <c r="S26" s="242"/>
      <c r="T26" s="242"/>
      <c r="U26" s="52"/>
      <c r="V26" s="52"/>
      <c r="W26" s="52"/>
      <c r="X26" s="52"/>
      <c r="Y26" s="52"/>
      <c r="Z26" s="52"/>
      <c r="AA26" s="52"/>
      <c r="AB26" s="52"/>
    </row>
    <row r="27" spans="1:28">
      <c r="A27" s="52">
        <v>10</v>
      </c>
      <c r="B27" s="791" t="s">
        <v>684</v>
      </c>
      <c r="C27" s="52"/>
      <c r="D27" s="52"/>
      <c r="E27" s="593" t="s">
        <v>554</v>
      </c>
      <c r="F27" s="1266"/>
      <c r="G27" s="1266"/>
      <c r="H27" s="52"/>
      <c r="I27" s="52"/>
      <c r="J27" s="52"/>
      <c r="K27" s="52"/>
      <c r="L27" s="52"/>
      <c r="M27" s="1052"/>
      <c r="N27" s="1052"/>
      <c r="O27" s="1052"/>
      <c r="P27" s="1052"/>
      <c r="Q27" s="1052"/>
      <c r="R27" s="1052"/>
      <c r="S27" s="1052"/>
      <c r="T27" s="1052"/>
      <c r="U27" s="52"/>
      <c r="V27" s="52"/>
      <c r="W27" s="52"/>
      <c r="X27" s="52"/>
      <c r="Y27" s="52"/>
      <c r="Z27" s="52"/>
      <c r="AA27" s="52"/>
      <c r="AB27" s="52"/>
    </row>
    <row r="28" spans="1:28">
      <c r="A28" s="52"/>
      <c r="B28" s="242"/>
      <c r="C28" s="52"/>
      <c r="D28" s="52"/>
      <c r="E28" s="52"/>
      <c r="F28" s="52"/>
      <c r="G28" s="52"/>
      <c r="H28" s="52"/>
      <c r="I28" s="52"/>
      <c r="J28" s="52"/>
      <c r="K28" s="52"/>
      <c r="L28" s="52"/>
      <c r="M28" s="73"/>
      <c r="N28" s="73"/>
      <c r="O28" s="73"/>
      <c r="P28" s="73"/>
      <c r="Q28" s="73"/>
      <c r="R28" s="73"/>
      <c r="S28" s="73"/>
      <c r="T28" s="73"/>
      <c r="U28" s="52"/>
      <c r="V28" s="52"/>
      <c r="W28" s="52"/>
      <c r="X28" s="52"/>
      <c r="Y28" s="52"/>
      <c r="Z28" s="52"/>
      <c r="AA28" s="52"/>
      <c r="AB28" s="52"/>
    </row>
    <row r="29" spans="1:28">
      <c r="A29" s="52">
        <v>11</v>
      </c>
      <c r="B29" s="791" t="s">
        <v>685</v>
      </c>
      <c r="C29" s="52"/>
      <c r="D29" s="52"/>
      <c r="E29" s="1266" t="s">
        <v>631</v>
      </c>
      <c r="F29" s="1266"/>
      <c r="G29" s="1266"/>
      <c r="H29" s="52"/>
      <c r="I29" s="52"/>
      <c r="J29" s="52"/>
      <c r="K29" s="52"/>
      <c r="L29" s="52"/>
      <c r="M29" s="1052"/>
      <c r="N29" s="1052"/>
      <c r="O29" s="1052"/>
      <c r="P29" s="1052"/>
      <c r="Q29" s="1052"/>
      <c r="R29" s="1052"/>
      <c r="S29" s="1052"/>
      <c r="T29" s="1052"/>
      <c r="U29" s="52"/>
      <c r="V29" s="52"/>
      <c r="W29" s="52"/>
      <c r="X29" s="52"/>
      <c r="Y29" s="52"/>
      <c r="Z29" s="52"/>
      <c r="AA29" s="52"/>
      <c r="AB29" s="52"/>
    </row>
    <row r="30" spans="1:28">
      <c r="A30" s="52"/>
      <c r="B30" s="242"/>
      <c r="C30" s="52"/>
      <c r="D30" s="52"/>
      <c r="E30" s="52"/>
      <c r="F30" s="52"/>
      <c r="G30" s="52"/>
      <c r="H30" s="52"/>
      <c r="I30" s="52"/>
      <c r="J30" s="52"/>
      <c r="K30" s="52"/>
      <c r="L30" s="52"/>
      <c r="M30" s="73"/>
      <c r="N30" s="73"/>
      <c r="O30" s="73"/>
      <c r="P30" s="73"/>
      <c r="Q30" s="73"/>
      <c r="R30" s="73"/>
      <c r="S30" s="73"/>
      <c r="T30" s="73"/>
      <c r="U30" s="52"/>
      <c r="V30" s="52"/>
      <c r="W30" s="52"/>
      <c r="X30" s="52"/>
      <c r="Y30" s="52"/>
      <c r="Z30" s="52"/>
      <c r="AA30" s="52"/>
      <c r="AB30" s="52"/>
    </row>
    <row r="31" spans="1:28">
      <c r="A31" s="52">
        <v>12</v>
      </c>
      <c r="B31" s="791" t="s">
        <v>686</v>
      </c>
      <c r="C31" s="52"/>
      <c r="D31" s="52"/>
      <c r="E31" s="593" t="s">
        <v>554</v>
      </c>
      <c r="F31" s="1266"/>
      <c r="G31" s="1266"/>
      <c r="H31" s="52"/>
      <c r="I31" s="52"/>
      <c r="J31" s="52"/>
      <c r="K31" s="52"/>
      <c r="L31" s="52"/>
      <c r="M31" s="1050"/>
      <c r="N31" s="1050"/>
      <c r="O31" s="1050"/>
      <c r="P31" s="1050"/>
      <c r="Q31" s="1050"/>
      <c r="R31" s="1050"/>
      <c r="S31" s="1051" t="e">
        <f t="shared" ref="S31:T31" si="30">S32/S6</f>
        <v>#REF!</v>
      </c>
      <c r="T31" s="1051" t="e">
        <f t="shared" si="30"/>
        <v>#REF!</v>
      </c>
      <c r="U31" s="52"/>
      <c r="V31" s="52"/>
      <c r="W31" s="52"/>
      <c r="X31" s="52"/>
      <c r="Y31" s="52"/>
      <c r="Z31" s="52"/>
      <c r="AA31" s="52"/>
      <c r="AB31" s="52"/>
    </row>
    <row r="32" spans="1:28">
      <c r="A32" s="52"/>
      <c r="B32" s="1024" t="s">
        <v>687</v>
      </c>
      <c r="C32" s="52"/>
      <c r="D32" s="52"/>
      <c r="E32" s="593" t="s">
        <v>554</v>
      </c>
      <c r="F32" s="1266"/>
      <c r="G32" s="1266"/>
      <c r="H32" s="52"/>
      <c r="I32" s="52"/>
      <c r="J32" s="52"/>
      <c r="K32" s="52"/>
      <c r="L32" s="52"/>
      <c r="M32" s="241"/>
      <c r="N32" s="241"/>
      <c r="O32" s="241" t="e">
        <f>#REF!</f>
        <v>#REF!</v>
      </c>
      <c r="P32" s="241" t="e">
        <f>#REF!</f>
        <v>#REF!</v>
      </c>
      <c r="Q32" s="241" t="e">
        <f>#REF!</f>
        <v>#REF!</v>
      </c>
      <c r="R32" s="241" t="e">
        <f>#REF!</f>
        <v>#REF!</v>
      </c>
      <c r="S32" s="241" t="e">
        <f>#REF!</f>
        <v>#REF!</v>
      </c>
      <c r="T32" s="241" t="e">
        <f>#REF!</f>
        <v>#REF!</v>
      </c>
      <c r="U32" s="52"/>
      <c r="V32" s="52"/>
      <c r="W32" s="52"/>
      <c r="X32" s="52"/>
      <c r="Y32" s="52"/>
      <c r="Z32" s="52"/>
      <c r="AA32" s="52"/>
      <c r="AB32" s="52"/>
    </row>
    <row r="33" spans="1:28" s="268" customFormat="1">
      <c r="A33" s="52"/>
      <c r="B33" s="1024"/>
      <c r="C33" s="52"/>
      <c r="D33" s="52"/>
      <c r="E33" s="1266"/>
      <c r="F33" s="1266"/>
      <c r="G33" s="1266"/>
      <c r="H33" s="52"/>
      <c r="I33" s="52"/>
      <c r="J33" s="52"/>
      <c r="K33" s="52"/>
      <c r="L33" s="52"/>
      <c r="M33" s="241"/>
      <c r="N33" s="241"/>
      <c r="O33" s="241"/>
      <c r="P33" s="241"/>
      <c r="Q33" s="241"/>
      <c r="R33" s="241"/>
      <c r="S33" s="241"/>
      <c r="T33" s="241"/>
      <c r="U33" s="52"/>
      <c r="V33" s="52"/>
      <c r="W33" s="52"/>
      <c r="X33" s="52"/>
      <c r="Y33" s="52"/>
      <c r="Z33" s="52"/>
      <c r="AA33" s="52"/>
      <c r="AB33" s="52"/>
    </row>
    <row r="34" spans="1:28" s="268" customFormat="1">
      <c r="A34" s="52">
        <v>13</v>
      </c>
      <c r="B34" s="1053" t="s">
        <v>557</v>
      </c>
      <c r="C34" s="52"/>
      <c r="D34" s="52"/>
      <c r="E34" s="593" t="s">
        <v>554</v>
      </c>
      <c r="F34" s="1266"/>
      <c r="G34" s="1266"/>
      <c r="H34" s="52"/>
      <c r="I34" s="52"/>
      <c r="J34" s="52"/>
      <c r="K34" s="52"/>
      <c r="L34" s="52"/>
      <c r="M34" s="241"/>
      <c r="N34" s="241"/>
      <c r="O34" s="241" t="e">
        <f>#REF!</f>
        <v>#REF!</v>
      </c>
      <c r="P34" s="241" t="e">
        <f>#REF!</f>
        <v>#REF!</v>
      </c>
      <c r="Q34" s="241" t="e">
        <f>#REF!</f>
        <v>#REF!</v>
      </c>
      <c r="R34" s="241" t="e">
        <f>#REF!</f>
        <v>#REF!</v>
      </c>
      <c r="S34" s="241" t="e">
        <f>#REF!</f>
        <v>#REF!</v>
      </c>
      <c r="T34" s="241" t="e">
        <f>#REF!</f>
        <v>#REF!</v>
      </c>
      <c r="U34" s="52"/>
      <c r="V34" s="52"/>
      <c r="W34" s="52"/>
      <c r="X34" s="52"/>
      <c r="Y34" s="52"/>
      <c r="Z34" s="52"/>
      <c r="AA34" s="52"/>
      <c r="AB34" s="52"/>
    </row>
    <row r="35" spans="1:28" s="268" customFormat="1">
      <c r="A35" s="52"/>
      <c r="B35" s="1024" t="s">
        <v>688</v>
      </c>
      <c r="C35" s="52"/>
      <c r="D35" s="52"/>
      <c r="E35" s="593" t="s">
        <v>554</v>
      </c>
      <c r="F35" s="1266"/>
      <c r="G35" s="1266"/>
      <c r="H35" s="52"/>
      <c r="I35" s="52"/>
      <c r="J35" s="52"/>
      <c r="K35" s="52"/>
      <c r="L35" s="52"/>
      <c r="M35" s="241"/>
      <c r="N35" s="241"/>
      <c r="O35" s="241"/>
      <c r="P35" s="241"/>
      <c r="Q35" s="241"/>
      <c r="R35" s="241"/>
      <c r="S35" s="1054" t="e">
        <f t="shared" ref="S35:T35" si="31">S34/S6</f>
        <v>#REF!</v>
      </c>
      <c r="T35" s="1054" t="e">
        <f t="shared" si="31"/>
        <v>#REF!</v>
      </c>
      <c r="U35" s="52"/>
      <c r="V35" s="52"/>
      <c r="W35" s="52"/>
      <c r="X35" s="52"/>
      <c r="Y35" s="52"/>
      <c r="Z35" s="52"/>
      <c r="AA35" s="52"/>
      <c r="AB35" s="52"/>
    </row>
    <row r="36" spans="1:28" s="268" customFormat="1">
      <c r="A36" s="52"/>
      <c r="B36" s="1024" t="s">
        <v>689</v>
      </c>
      <c r="C36" s="52"/>
      <c r="D36" s="52"/>
      <c r="E36" s="1266" t="s">
        <v>631</v>
      </c>
      <c r="F36" s="1266"/>
      <c r="G36" s="1266"/>
      <c r="H36" s="52"/>
      <c r="I36" s="52"/>
      <c r="J36" s="52"/>
      <c r="K36" s="52"/>
      <c r="L36" s="52"/>
      <c r="M36" s="1055"/>
      <c r="N36" s="1055"/>
      <c r="O36" s="1055"/>
      <c r="P36" s="1055"/>
      <c r="Q36" s="1055"/>
      <c r="R36" s="1055"/>
      <c r="S36" s="1055"/>
      <c r="T36" s="1055"/>
      <c r="U36" s="52"/>
      <c r="V36" s="52"/>
      <c r="W36" s="52"/>
      <c r="X36" s="52"/>
      <c r="Y36" s="52"/>
      <c r="Z36" s="52"/>
      <c r="AA36" s="52"/>
      <c r="AB36" s="52"/>
    </row>
    <row r="37" spans="1:28" s="268" customFormat="1">
      <c r="A37" s="52"/>
      <c r="B37" s="1024"/>
      <c r="C37" s="52"/>
      <c r="D37" s="52"/>
      <c r="E37" s="1266"/>
      <c r="F37" s="1266"/>
      <c r="G37" s="1266"/>
      <c r="H37" s="52"/>
      <c r="I37" s="52"/>
      <c r="J37" s="52"/>
      <c r="K37" s="52"/>
      <c r="L37" s="52"/>
      <c r="M37" s="241"/>
      <c r="N37" s="241"/>
      <c r="O37" s="241"/>
      <c r="P37" s="241"/>
      <c r="Q37" s="241"/>
      <c r="R37" s="241"/>
      <c r="S37" s="241"/>
      <c r="T37" s="241"/>
      <c r="U37" s="52"/>
      <c r="V37" s="52"/>
      <c r="W37" s="52"/>
      <c r="X37" s="52"/>
      <c r="Y37" s="52"/>
      <c r="Z37" s="52"/>
      <c r="AA37" s="52"/>
      <c r="AB37" s="52"/>
    </row>
    <row r="38" spans="1:28">
      <c r="A38" s="52">
        <v>15</v>
      </c>
      <c r="B38" s="791" t="s">
        <v>690</v>
      </c>
      <c r="C38" s="52"/>
      <c r="D38" s="52"/>
      <c r="E38" s="52"/>
      <c r="F38" s="52"/>
      <c r="G38" s="52"/>
      <c r="H38" s="1036"/>
      <c r="I38" s="52"/>
      <c r="J38" s="52"/>
      <c r="K38" s="52"/>
      <c r="L38" s="52"/>
      <c r="M38" s="1056"/>
      <c r="N38" s="1056"/>
      <c r="O38" s="1056"/>
      <c r="P38" s="1056"/>
      <c r="Q38" s="1056"/>
      <c r="R38" s="1056"/>
      <c r="S38" s="1056"/>
      <c r="T38" s="1056"/>
      <c r="U38" s="52"/>
      <c r="V38" s="52"/>
      <c r="W38" s="52"/>
      <c r="X38" s="52"/>
      <c r="Y38" s="52"/>
      <c r="Z38" s="52"/>
      <c r="AA38" s="52"/>
      <c r="AB38" s="52"/>
    </row>
    <row r="39" spans="1:28">
      <c r="A39" s="52"/>
      <c r="B39" s="1024" t="s">
        <v>691</v>
      </c>
      <c r="C39" s="52"/>
      <c r="D39" s="52"/>
      <c r="E39" s="1266" t="s">
        <v>692</v>
      </c>
      <c r="F39" s="52"/>
      <c r="G39" s="52"/>
      <c r="H39" s="52"/>
      <c r="I39" s="52"/>
      <c r="J39" s="52"/>
      <c r="K39" s="52"/>
      <c r="L39" s="52"/>
      <c r="M39" s="1057"/>
      <c r="N39" s="1057"/>
      <c r="O39" s="1057" t="e">
        <f>#REF!</f>
        <v>#REF!</v>
      </c>
      <c r="P39" s="1057" t="e">
        <f>#REF!</f>
        <v>#REF!</v>
      </c>
      <c r="Q39" s="1057" t="e">
        <f>#REF!</f>
        <v>#REF!</v>
      </c>
      <c r="R39" s="1057" t="e">
        <f>#REF!</f>
        <v>#REF!</v>
      </c>
      <c r="S39" s="1057" t="e">
        <f>#REF!</f>
        <v>#REF!</v>
      </c>
      <c r="T39" s="1057" t="e">
        <f>#REF!</f>
        <v>#REF!</v>
      </c>
      <c r="U39" s="52"/>
      <c r="V39" s="52"/>
      <c r="W39" s="52"/>
      <c r="X39" s="52"/>
      <c r="Y39" s="52"/>
      <c r="Z39" s="52"/>
      <c r="AA39" s="52"/>
      <c r="AB39" s="52"/>
    </row>
    <row r="40" spans="1:28">
      <c r="A40" s="52"/>
      <c r="B40" s="1024" t="s">
        <v>693</v>
      </c>
      <c r="C40" s="52"/>
      <c r="D40" s="52"/>
      <c r="E40" s="1266" t="s">
        <v>692</v>
      </c>
      <c r="F40" s="52"/>
      <c r="G40" s="52"/>
      <c r="H40" s="1036"/>
      <c r="I40" s="52"/>
      <c r="J40" s="52"/>
      <c r="K40" s="52"/>
      <c r="L40" s="52"/>
      <c r="M40" s="1057"/>
      <c r="N40" s="1057"/>
      <c r="O40" s="1057" t="e">
        <f>#REF!</f>
        <v>#REF!</v>
      </c>
      <c r="P40" s="1057" t="e">
        <f>#REF!</f>
        <v>#REF!</v>
      </c>
      <c r="Q40" s="1057" t="e">
        <f>#REF!</f>
        <v>#REF!</v>
      </c>
      <c r="R40" s="1057" t="e">
        <f>#REF!</f>
        <v>#REF!</v>
      </c>
      <c r="S40" s="1057" t="e">
        <f>#REF!</f>
        <v>#REF!</v>
      </c>
      <c r="T40" s="1057" t="e">
        <f>#REF!</f>
        <v>#REF!</v>
      </c>
      <c r="U40" s="52"/>
      <c r="V40" s="52"/>
      <c r="W40" s="52"/>
      <c r="X40" s="52"/>
      <c r="Y40" s="52"/>
      <c r="Z40" s="52"/>
      <c r="AA40" s="52"/>
      <c r="AB40" s="52"/>
    </row>
    <row r="41" spans="1:28">
      <c r="A41" s="52"/>
      <c r="B41" s="1058"/>
      <c r="C41" s="52"/>
      <c r="D41" s="52"/>
      <c r="E41" s="67"/>
      <c r="F41" s="67"/>
      <c r="G41" s="67"/>
      <c r="H41" s="1041"/>
      <c r="I41" s="52"/>
      <c r="J41" s="52"/>
      <c r="K41" s="52"/>
      <c r="L41" s="52"/>
      <c r="M41" s="1059"/>
      <c r="N41" s="1059"/>
      <c r="O41" s="1059"/>
      <c r="P41" s="1059"/>
      <c r="Q41" s="1059"/>
      <c r="R41" s="1059"/>
      <c r="S41" s="1059"/>
      <c r="T41" s="1059"/>
      <c r="U41" s="52"/>
      <c r="V41" s="52"/>
      <c r="W41" s="52"/>
      <c r="X41" s="52"/>
      <c r="Y41" s="52"/>
      <c r="Z41" s="52"/>
      <c r="AA41" s="52"/>
      <c r="AB41" s="52"/>
    </row>
    <row r="42" spans="1:28">
      <c r="A42" s="52"/>
      <c r="B42" s="242"/>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row>
    <row r="43" spans="1:28" s="339" customFormat="1">
      <c r="A43" s="52"/>
      <c r="B43" s="242" t="str">
        <f>B18</f>
        <v>EVA margin %</v>
      </c>
      <c r="C43" s="52"/>
      <c r="D43" s="52"/>
      <c r="E43" s="242" t="str">
        <f>E18</f>
        <v>[EVA/Sales]</v>
      </c>
      <c r="F43" s="242">
        <f t="shared" ref="F43:H43" si="32">F18</f>
        <v>0</v>
      </c>
      <c r="G43" s="242">
        <f t="shared" si="32"/>
        <v>0</v>
      </c>
      <c r="H43" s="242">
        <f t="shared" si="32"/>
        <v>0</v>
      </c>
      <c r="I43" s="52"/>
      <c r="J43" s="52"/>
      <c r="K43" s="52"/>
      <c r="L43" s="52"/>
      <c r="M43" s="256"/>
      <c r="N43" s="256"/>
      <c r="O43" s="256" t="e">
        <f t="shared" ref="O43:T43" si="33">O18</f>
        <v>#REF!</v>
      </c>
      <c r="P43" s="256" t="e">
        <f t="shared" si="33"/>
        <v>#REF!</v>
      </c>
      <c r="Q43" s="256" t="e">
        <f t="shared" si="33"/>
        <v>#REF!</v>
      </c>
      <c r="R43" s="256" t="e">
        <f t="shared" si="33"/>
        <v>#REF!</v>
      </c>
      <c r="S43" s="256" t="e">
        <f t="shared" si="33"/>
        <v>#REF!</v>
      </c>
      <c r="T43" s="256" t="e">
        <f t="shared" si="33"/>
        <v>#REF!</v>
      </c>
      <c r="U43" s="52"/>
      <c r="V43" s="52"/>
      <c r="W43" s="52"/>
      <c r="X43" s="52"/>
      <c r="Y43" s="52"/>
      <c r="Z43" s="52"/>
      <c r="AA43" s="52"/>
      <c r="AB43" s="52"/>
    </row>
    <row r="44" spans="1:28" s="339" customFormat="1">
      <c r="A44" s="52"/>
      <c r="B44" s="242"/>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row>
    <row r="45" spans="1:28">
      <c r="A45" s="52"/>
      <c r="B45" s="1060" t="s">
        <v>694</v>
      </c>
      <c r="C45" s="52"/>
      <c r="D45" s="52"/>
      <c r="E45" s="52"/>
      <c r="F45" s="52"/>
      <c r="G45" s="52"/>
      <c r="H45" s="52"/>
      <c r="I45" s="52"/>
      <c r="J45" s="52"/>
      <c r="K45" s="52"/>
      <c r="L45" s="52"/>
      <c r="M45" s="1061"/>
      <c r="N45" s="1062"/>
      <c r="O45" s="1062"/>
      <c r="P45" s="1061" t="e">
        <f t="shared" ref="P45" si="34">P43-O43</f>
        <v>#REF!</v>
      </c>
      <c r="Q45" s="1061" t="e">
        <f t="shared" ref="Q45" si="35">Q43-P43</f>
        <v>#REF!</v>
      </c>
      <c r="R45" s="1061" t="e">
        <f t="shared" ref="R45" si="36">R43-Q43</f>
        <v>#REF!</v>
      </c>
      <c r="S45" s="1061" t="e">
        <f t="shared" ref="S45" si="37">S43-R43</f>
        <v>#REF!</v>
      </c>
      <c r="T45" s="1061" t="e">
        <f t="shared" ref="T45" si="38">T43-S43</f>
        <v>#REF!</v>
      </c>
      <c r="U45" s="52"/>
      <c r="V45" s="52"/>
      <c r="W45" s="52"/>
      <c r="X45" s="52"/>
      <c r="Y45" s="52"/>
      <c r="Z45" s="52"/>
      <c r="AA45" s="52"/>
      <c r="AB45" s="52"/>
    </row>
    <row r="46" spans="1:28">
      <c r="A46" s="52"/>
      <c r="B46" s="52"/>
      <c r="C46" s="52"/>
      <c r="D46" s="52"/>
      <c r="E46" s="52"/>
      <c r="F46" s="52"/>
      <c r="G46" s="52"/>
      <c r="H46" s="52"/>
      <c r="I46" s="52"/>
      <c r="J46" s="52"/>
      <c r="K46" s="52"/>
      <c r="L46" s="52"/>
      <c r="M46" s="52"/>
      <c r="N46" s="73"/>
      <c r="O46" s="73"/>
      <c r="P46" s="52"/>
      <c r="Q46" s="52"/>
      <c r="R46" s="52"/>
      <c r="S46" s="52"/>
      <c r="T46" s="52"/>
      <c r="U46" s="52"/>
      <c r="V46" s="52"/>
      <c r="W46" s="52"/>
      <c r="X46" s="52"/>
      <c r="Y46" s="52"/>
      <c r="Z46" s="52"/>
      <c r="AA46" s="52"/>
      <c r="AB46" s="52"/>
    </row>
    <row r="47" spans="1:28">
      <c r="A47" s="52"/>
      <c r="B47" s="52" t="s">
        <v>695</v>
      </c>
      <c r="C47" s="52"/>
      <c r="D47" s="52"/>
      <c r="E47" s="52"/>
      <c r="F47" s="52"/>
      <c r="G47" s="52"/>
      <c r="H47" s="52"/>
      <c r="I47" s="52"/>
      <c r="J47" s="52"/>
      <c r="K47" s="52"/>
      <c r="L47" s="52"/>
      <c r="M47" s="1043"/>
      <c r="N47" s="1062"/>
      <c r="O47" s="1062"/>
      <c r="P47" s="1043">
        <f t="shared" ref="P47:T47" si="39">P10</f>
        <v>0.19669751406278352</v>
      </c>
      <c r="Q47" s="1043">
        <f t="shared" si="39"/>
        <v>1.4962850644427597</v>
      </c>
      <c r="R47" s="1043">
        <f t="shared" si="39"/>
        <v>0.353580756848691</v>
      </c>
      <c r="S47" s="1043">
        <f t="shared" si="39"/>
        <v>-0.50188476036618201</v>
      </c>
      <c r="T47" s="1043">
        <f t="shared" si="39"/>
        <v>0.1981981981981982</v>
      </c>
      <c r="U47" s="52"/>
      <c r="V47" s="52"/>
      <c r="W47" s="52"/>
      <c r="X47" s="52"/>
      <c r="Y47" s="52"/>
      <c r="Z47" s="52"/>
      <c r="AA47" s="52"/>
      <c r="AB47" s="52"/>
    </row>
    <row r="48" spans="1:28">
      <c r="A48" s="52"/>
      <c r="B48" s="52"/>
      <c r="C48" s="52"/>
      <c r="D48" s="52"/>
      <c r="E48" s="52"/>
      <c r="F48" s="52"/>
      <c r="G48" s="52"/>
      <c r="H48" s="52"/>
      <c r="I48" s="52"/>
      <c r="J48" s="52"/>
      <c r="K48" s="52"/>
      <c r="L48" s="52"/>
      <c r="M48" s="52"/>
      <c r="N48" s="73"/>
      <c r="O48" s="73"/>
      <c r="P48" s="52"/>
      <c r="Q48" s="52"/>
      <c r="R48" s="52"/>
      <c r="S48" s="52"/>
      <c r="T48" s="52"/>
      <c r="U48" s="52"/>
      <c r="V48" s="52"/>
      <c r="W48" s="52"/>
      <c r="X48" s="52"/>
      <c r="Y48" s="52"/>
      <c r="Z48" s="52"/>
      <c r="AA48" s="52"/>
      <c r="AB48" s="52"/>
    </row>
    <row r="49" spans="1:28">
      <c r="A49" s="52"/>
      <c r="B49" s="52" t="s">
        <v>696</v>
      </c>
      <c r="C49" s="52"/>
      <c r="D49" s="52"/>
      <c r="E49" s="52"/>
      <c r="F49" s="52"/>
      <c r="G49" s="52"/>
      <c r="H49" s="52"/>
      <c r="I49" s="52"/>
      <c r="J49" s="52"/>
      <c r="K49" s="52"/>
      <c r="L49" s="52"/>
      <c r="M49" s="1063"/>
      <c r="N49" s="1064"/>
      <c r="O49" s="1064"/>
      <c r="P49" s="1063" t="e">
        <f t="shared" ref="P49:T49" si="40">P47*P43</f>
        <v>#REF!</v>
      </c>
      <c r="Q49" s="1063" t="e">
        <f t="shared" si="40"/>
        <v>#REF!</v>
      </c>
      <c r="R49" s="1063" t="e">
        <f t="shared" si="40"/>
        <v>#REF!</v>
      </c>
      <c r="S49" s="1063" t="e">
        <f t="shared" si="40"/>
        <v>#REF!</v>
      </c>
      <c r="T49" s="1063" t="e">
        <f t="shared" si="40"/>
        <v>#REF!</v>
      </c>
      <c r="U49" s="52"/>
      <c r="V49" s="52"/>
      <c r="W49" s="52"/>
      <c r="X49" s="52"/>
      <c r="Y49" s="52"/>
      <c r="Z49" s="52"/>
      <c r="AA49" s="52"/>
      <c r="AB49" s="52"/>
    </row>
    <row r="50" spans="1:28">
      <c r="A50" s="52"/>
      <c r="B50" s="52"/>
      <c r="C50" s="52"/>
      <c r="D50" s="52"/>
      <c r="E50" s="52"/>
      <c r="F50" s="52"/>
      <c r="G50" s="52"/>
      <c r="H50" s="52"/>
      <c r="I50" s="52"/>
      <c r="J50" s="52"/>
      <c r="K50" s="52"/>
      <c r="L50" s="52"/>
      <c r="M50" s="52"/>
      <c r="N50" s="73"/>
      <c r="O50" s="73"/>
      <c r="P50" s="52"/>
      <c r="Q50" s="52"/>
      <c r="R50" s="52"/>
      <c r="S50" s="52"/>
      <c r="T50" s="52"/>
      <c r="U50" s="52"/>
      <c r="V50" s="52"/>
      <c r="W50" s="52"/>
      <c r="X50" s="52"/>
      <c r="Y50" s="52"/>
      <c r="Z50" s="52"/>
      <c r="AA50" s="52"/>
      <c r="AB50" s="52"/>
    </row>
    <row r="51" spans="1:28">
      <c r="A51" s="52"/>
      <c r="B51" s="78" t="str">
        <f>B25</f>
        <v>EVA Momentum</v>
      </c>
      <c r="C51" s="78"/>
      <c r="D51" s="78"/>
      <c r="E51" s="78"/>
      <c r="F51" s="78"/>
      <c r="G51" s="78"/>
      <c r="H51" s="78"/>
      <c r="I51" s="52"/>
      <c r="J51" s="52"/>
      <c r="K51" s="52"/>
      <c r="L51" s="52"/>
      <c r="M51" s="1061"/>
      <c r="N51" s="1062"/>
      <c r="O51" s="1062"/>
      <c r="P51" s="1061" t="e">
        <f t="shared" ref="P51:T51" si="41">P49+P45</f>
        <v>#REF!</v>
      </c>
      <c r="Q51" s="1061" t="e">
        <f t="shared" si="41"/>
        <v>#REF!</v>
      </c>
      <c r="R51" s="1061" t="e">
        <f t="shared" si="41"/>
        <v>#REF!</v>
      </c>
      <c r="S51" s="1061" t="e">
        <f t="shared" si="41"/>
        <v>#REF!</v>
      </c>
      <c r="T51" s="1061" t="e">
        <f t="shared" si="41"/>
        <v>#REF!</v>
      </c>
      <c r="U51" s="52"/>
      <c r="V51" s="52"/>
      <c r="W51" s="52"/>
      <c r="X51" s="52"/>
      <c r="Y51" s="52"/>
      <c r="Z51" s="52"/>
      <c r="AA51" s="52"/>
      <c r="AB51" s="52"/>
    </row>
    <row r="52" spans="1:28">
      <c r="A52" s="52"/>
      <c r="B52" s="69"/>
      <c r="C52" s="69"/>
      <c r="D52" s="69"/>
      <c r="E52" s="69"/>
      <c r="F52" s="69"/>
      <c r="G52" s="69"/>
      <c r="H52" s="69"/>
      <c r="I52" s="52"/>
      <c r="J52" s="52"/>
      <c r="K52" s="52"/>
      <c r="L52" s="52"/>
      <c r="M52" s="69"/>
      <c r="N52" s="69"/>
      <c r="O52" s="69"/>
      <c r="P52" s="69"/>
      <c r="Q52" s="69"/>
      <c r="R52" s="69"/>
      <c r="S52" s="69"/>
      <c r="T52" s="69"/>
      <c r="U52" s="52"/>
      <c r="V52" s="52"/>
      <c r="W52" s="52"/>
      <c r="X52" s="52"/>
      <c r="Y52" s="52"/>
      <c r="Z52" s="52"/>
      <c r="AA52" s="52"/>
      <c r="AB52" s="52"/>
    </row>
    <row r="53" spans="1:28">
      <c r="A53" s="52"/>
      <c r="B53" s="69" t="s">
        <v>697</v>
      </c>
      <c r="C53" s="69"/>
      <c r="D53" s="69"/>
      <c r="E53" s="69"/>
      <c r="F53" s="69"/>
      <c r="G53" s="69"/>
      <c r="H53" s="69"/>
      <c r="I53" s="52"/>
      <c r="J53" s="52"/>
      <c r="K53" s="52"/>
      <c r="L53" s="52"/>
      <c r="M53" s="1065"/>
      <c r="N53" s="1065"/>
      <c r="O53" s="1065" t="e">
        <f t="shared" ref="O53:T53" si="42">O34/O8</f>
        <v>#REF!</v>
      </c>
      <c r="P53" s="1065" t="e">
        <f t="shared" si="42"/>
        <v>#REF!</v>
      </c>
      <c r="Q53" s="1065" t="e">
        <f t="shared" si="42"/>
        <v>#REF!</v>
      </c>
      <c r="R53" s="1065" t="e">
        <f t="shared" si="42"/>
        <v>#REF!</v>
      </c>
      <c r="S53" s="1065" t="e">
        <f t="shared" si="42"/>
        <v>#REF!</v>
      </c>
      <c r="T53" s="1065" t="e">
        <f t="shared" si="42"/>
        <v>#REF!</v>
      </c>
      <c r="U53" s="52"/>
      <c r="V53" s="52"/>
      <c r="W53" s="52"/>
      <c r="X53" s="52"/>
      <c r="Y53" s="52"/>
      <c r="Z53" s="52"/>
      <c r="AA53" s="52"/>
      <c r="AB53" s="52"/>
    </row>
    <row r="54" spans="1:28">
      <c r="A54" s="52"/>
      <c r="B54" s="69"/>
      <c r="C54" s="69"/>
      <c r="D54" s="69"/>
      <c r="E54" s="69"/>
      <c r="F54" s="69"/>
      <c r="G54" s="69"/>
      <c r="H54" s="69"/>
      <c r="I54" s="52"/>
      <c r="J54" s="52"/>
      <c r="K54" s="52"/>
      <c r="L54" s="52"/>
      <c r="M54" s="69"/>
      <c r="N54" s="69"/>
      <c r="O54" s="69"/>
      <c r="P54" s="69"/>
      <c r="Q54" s="69"/>
      <c r="R54" s="69"/>
      <c r="S54" s="69"/>
      <c r="T54" s="69"/>
      <c r="U54" s="52"/>
      <c r="V54" s="52"/>
      <c r="W54" s="52"/>
      <c r="X54" s="52"/>
      <c r="Y54" s="52"/>
      <c r="Z54" s="52"/>
      <c r="AA54" s="52"/>
      <c r="AB54" s="52"/>
    </row>
    <row r="55" spans="1:28">
      <c r="A55" s="52"/>
      <c r="B55" s="69" t="s">
        <v>698</v>
      </c>
      <c r="C55" s="69"/>
      <c r="D55" s="69"/>
      <c r="E55" s="69"/>
      <c r="F55" s="69"/>
      <c r="G55" s="69"/>
      <c r="H55" s="69"/>
      <c r="I55" s="52"/>
      <c r="J55" s="52"/>
      <c r="K55" s="52"/>
      <c r="L55" s="52"/>
      <c r="M55" s="1065"/>
      <c r="N55" s="1065"/>
      <c r="O55" s="1065" t="e">
        <f t="shared" ref="O55:T55" si="43">O34/O32</f>
        <v>#REF!</v>
      </c>
      <c r="P55" s="1065" t="e">
        <f t="shared" si="43"/>
        <v>#REF!</v>
      </c>
      <c r="Q55" s="1065" t="e">
        <f t="shared" si="43"/>
        <v>#REF!</v>
      </c>
      <c r="R55" s="1065" t="e">
        <f t="shared" si="43"/>
        <v>#REF!</v>
      </c>
      <c r="S55" s="1065" t="e">
        <f t="shared" si="43"/>
        <v>#REF!</v>
      </c>
      <c r="T55" s="1065" t="e">
        <f t="shared" si="43"/>
        <v>#REF!</v>
      </c>
      <c r="U55" s="52"/>
      <c r="V55" s="52"/>
      <c r="W55" s="52"/>
      <c r="X55" s="52"/>
      <c r="Y55" s="52"/>
      <c r="Z55" s="52"/>
      <c r="AA55" s="52"/>
      <c r="AB55" s="52"/>
    </row>
    <row r="56" spans="1:28">
      <c r="A56" s="67"/>
      <c r="B56" s="67"/>
      <c r="C56" s="67"/>
      <c r="D56" s="67"/>
      <c r="E56" s="67"/>
      <c r="F56" s="67"/>
      <c r="G56" s="67"/>
      <c r="H56" s="67"/>
      <c r="I56" s="52"/>
      <c r="J56" s="52"/>
      <c r="K56" s="52"/>
      <c r="L56" s="52"/>
      <c r="M56" s="67"/>
      <c r="N56" s="67"/>
      <c r="O56" s="67"/>
      <c r="P56" s="67"/>
      <c r="Q56" s="67"/>
      <c r="R56" s="67"/>
      <c r="S56" s="67"/>
      <c r="T56" s="67"/>
      <c r="U56" s="52"/>
      <c r="V56" s="52"/>
      <c r="W56" s="52"/>
      <c r="X56" s="52"/>
      <c r="Y56" s="52"/>
      <c r="Z56" s="52"/>
      <c r="AA56" s="52"/>
      <c r="AB56" s="52"/>
    </row>
    <row r="57" spans="1:28">
      <c r="A57" s="52"/>
      <c r="B57" s="69"/>
      <c r="C57" s="69"/>
      <c r="D57" s="69"/>
      <c r="E57" s="69"/>
      <c r="F57" s="69"/>
      <c r="G57" s="69"/>
      <c r="H57" s="69"/>
      <c r="I57" s="52"/>
      <c r="J57" s="52"/>
      <c r="K57" s="52"/>
      <c r="L57" s="52"/>
      <c r="M57" s="69"/>
      <c r="N57" s="69"/>
      <c r="O57" s="69"/>
      <c r="P57" s="69"/>
      <c r="Q57" s="69"/>
      <c r="R57" s="69"/>
      <c r="S57" s="69"/>
      <c r="T57" s="69"/>
      <c r="U57" s="52"/>
      <c r="V57" s="52"/>
      <c r="W57" s="52"/>
      <c r="X57" s="52"/>
      <c r="Y57" s="52"/>
      <c r="Z57" s="52"/>
      <c r="AA57" s="52"/>
      <c r="AB57" s="52"/>
    </row>
    <row r="58" spans="1:28">
      <c r="A58" s="52"/>
      <c r="B58" s="69"/>
      <c r="C58" s="69"/>
      <c r="D58" s="69"/>
      <c r="E58" s="69"/>
      <c r="F58" s="69"/>
      <c r="G58" s="69"/>
      <c r="H58" s="69"/>
      <c r="I58" s="52"/>
      <c r="J58" s="52"/>
      <c r="K58" s="52"/>
      <c r="L58" s="52"/>
      <c r="M58" s="69"/>
      <c r="N58" s="69"/>
      <c r="O58" s="69"/>
      <c r="P58" s="69"/>
      <c r="Q58" s="69"/>
      <c r="R58" s="69"/>
      <c r="S58" s="69"/>
      <c r="T58" s="69"/>
      <c r="U58" s="52"/>
      <c r="V58" s="52"/>
      <c r="W58" s="52"/>
      <c r="X58" s="52"/>
      <c r="Y58" s="52"/>
      <c r="Z58" s="52"/>
      <c r="AA58" s="52"/>
      <c r="AB58" s="52"/>
    </row>
    <row r="59" spans="1:28">
      <c r="A59" s="52"/>
      <c r="B59" s="69"/>
      <c r="C59" s="69"/>
      <c r="D59" s="69"/>
      <c r="E59" s="69"/>
      <c r="F59" s="69"/>
      <c r="G59" s="69"/>
      <c r="H59" s="69"/>
      <c r="I59" s="52"/>
      <c r="J59" s="52"/>
      <c r="K59" s="52"/>
      <c r="L59" s="52"/>
      <c r="M59" s="69"/>
      <c r="N59" s="69"/>
      <c r="O59" s="69"/>
      <c r="P59" s="69"/>
      <c r="Q59" s="69"/>
      <c r="R59" s="69"/>
      <c r="S59" s="69"/>
      <c r="T59" s="69"/>
      <c r="U59" s="52"/>
      <c r="V59" s="52"/>
      <c r="W59" s="52"/>
      <c r="X59" s="52"/>
      <c r="Y59" s="52"/>
      <c r="Z59" s="52"/>
      <c r="AA59" s="52"/>
      <c r="AB59" s="52"/>
    </row>
    <row r="60" spans="1:28">
      <c r="A60" s="52"/>
      <c r="B60" s="69"/>
      <c r="C60" s="69"/>
      <c r="D60" s="69"/>
      <c r="E60" s="69"/>
      <c r="F60" s="69"/>
      <c r="G60" s="69"/>
      <c r="H60" s="69"/>
      <c r="I60" s="52"/>
      <c r="J60" s="52"/>
      <c r="K60" s="52"/>
      <c r="L60" s="52"/>
      <c r="M60" s="69"/>
      <c r="N60" s="69"/>
      <c r="O60" s="69"/>
      <c r="P60" s="69"/>
      <c r="Q60" s="69"/>
      <c r="R60" s="69"/>
      <c r="S60" s="69"/>
      <c r="T60" s="69"/>
      <c r="U60" s="52"/>
      <c r="V60" s="52"/>
      <c r="W60" s="52"/>
      <c r="X60" s="52"/>
      <c r="Y60" s="52"/>
      <c r="Z60" s="52"/>
      <c r="AA60" s="52"/>
      <c r="AB60" s="52"/>
    </row>
    <row r="61" spans="1:28">
      <c r="A61" s="52"/>
      <c r="B61" s="69"/>
      <c r="C61" s="69"/>
      <c r="D61" s="69"/>
      <c r="E61" s="69"/>
      <c r="F61" s="69"/>
      <c r="G61" s="69"/>
      <c r="H61" s="69"/>
      <c r="I61" s="52"/>
      <c r="J61" s="52"/>
      <c r="K61" s="52"/>
      <c r="L61" s="52"/>
      <c r="M61" s="69"/>
      <c r="N61" s="69"/>
      <c r="O61" s="69"/>
      <c r="P61" s="69"/>
      <c r="Q61" s="69"/>
      <c r="R61" s="69"/>
      <c r="S61" s="69"/>
      <c r="T61" s="69"/>
      <c r="U61" s="52"/>
      <c r="V61" s="52"/>
      <c r="W61" s="52"/>
      <c r="X61" s="52"/>
      <c r="Y61" s="52"/>
      <c r="Z61" s="52"/>
      <c r="AA61" s="52"/>
      <c r="AB61" s="52"/>
    </row>
    <row r="62" spans="1:28">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row>
    <row r="63" spans="1:28">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row>
    <row r="64" spans="1:28">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row>
    <row r="65" spans="1:28">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row>
    <row r="66" spans="1:28">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row>
    <row r="67" spans="1:28">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row>
    <row r="68" spans="1:28">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row>
    <row r="69" spans="1:28">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row>
    <row r="70" spans="1:28">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row>
    <row r="71" spans="1:28">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row>
    <row r="72" spans="1:28">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row>
    <row r="73" spans="1:28">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row>
    <row r="74" spans="1:28">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row>
    <row r="75" spans="1:28">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row>
    <row r="76" spans="1:28">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row>
    <row r="77" spans="1:28">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row>
    <row r="78" spans="1:28">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row>
    <row r="79" spans="1:28">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row>
    <row r="80" spans="1:28">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row>
    <row r="81" spans="1:28">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row>
    <row r="82" spans="1:28">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row>
    <row r="83" spans="1:28">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row>
    <row r="84" spans="1:28">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row>
    <row r="85" spans="1:28">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row>
    <row r="86" spans="1:28">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row>
    <row r="87" spans="1:28">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row>
    <row r="88" spans="1:28">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row>
    <row r="89" spans="1:28">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row>
    <row r="90" spans="1:28">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row>
    <row r="91" spans="1:28">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row>
  </sheetData>
  <customSheetViews>
    <customSheetView guid="{5826E3E6-173D-429F-ABE1-D868EE9E034B}" fitToPage="1" hiddenColumns="1" topLeftCell="A19">
      <selection activeCell="A18" sqref="A18"/>
      <pageMargins left="0" right="0" top="0" bottom="0" header="0" footer="0"/>
      <pageSetup paperSize="9" scale="87" orientation="landscape" horizontalDpi="0" verticalDpi="0" r:id="rId1"/>
    </customSheetView>
  </customSheetViews>
  <mergeCells count="4">
    <mergeCell ref="L1:N1"/>
    <mergeCell ref="F1:G1"/>
    <mergeCell ref="A1:D1"/>
    <mergeCell ref="I1:K1"/>
  </mergeCells>
  <printOptions headings="1" gridLines="1"/>
  <pageMargins left="0.70866141732283472" right="0.70866141732283472" top="0.74803149606299213" bottom="0.74803149606299213" header="0.31496062992125984" footer="0.31496062992125984"/>
  <pageSetup paperSize="9" scale="56" orientation="landscape" horizontalDpi="0" verticalDpi="0" r:id="rId2"/>
  <headerFooter>
    <oddHeader>&amp;L&amp;8&amp;D&amp;C&amp;8DRAFT&amp;R&amp;8&amp;A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B125"/>
  <sheetViews>
    <sheetView workbookViewId="0">
      <selection sqref="A1:D1"/>
    </sheetView>
  </sheetViews>
  <sheetFormatPr defaultRowHeight="12.75"/>
  <cols>
    <col min="1" max="1" width="2.85546875" style="77" bestFit="1" customWidth="1"/>
    <col min="2" max="2" width="17.28515625" customWidth="1"/>
    <col min="3" max="3" width="7.5703125" customWidth="1"/>
    <col min="4" max="4" width="9.28515625" style="776" customWidth="1"/>
    <col min="5" max="5" width="5.85546875" bestFit="1" customWidth="1"/>
    <col min="6" max="6" width="9.5703125" customWidth="1"/>
    <col min="7" max="7" width="9.5703125" style="174" customWidth="1"/>
    <col min="8" max="16" width="9.5703125" customWidth="1"/>
    <col min="17" max="17" width="9.5703125" style="160" customWidth="1"/>
    <col min="18" max="25" width="9.5703125" customWidth="1"/>
  </cols>
  <sheetData>
    <row r="1" spans="1:28" s="776" customFormat="1" ht="18" customHeight="1">
      <c r="A1" s="1484" t="s">
        <v>0</v>
      </c>
      <c r="B1" s="1484"/>
      <c r="C1" s="1484"/>
      <c r="D1" s="1484"/>
      <c r="E1" s="1169" t="e">
        <f>'1_Contents'!#REF!</f>
        <v>#REF!</v>
      </c>
      <c r="F1" s="1476" t="e">
        <f>'1_Contents'!#REF!</f>
        <v>#REF!</v>
      </c>
      <c r="G1" s="1476"/>
      <c r="I1" s="1485" t="s">
        <v>699</v>
      </c>
      <c r="J1" s="1485"/>
      <c r="K1" s="1485"/>
      <c r="L1" s="1477">
        <f ca="1">NOW()</f>
        <v>44487.543585879626</v>
      </c>
      <c r="M1" s="1477"/>
      <c r="N1" s="1477"/>
      <c r="O1" s="986"/>
      <c r="P1" s="967"/>
      <c r="Q1" s="967"/>
      <c r="R1" s="967"/>
      <c r="S1" s="967"/>
      <c r="T1" s="967"/>
      <c r="U1" s="967"/>
      <c r="V1" s="967"/>
      <c r="W1" s="967"/>
      <c r="X1" s="967"/>
      <c r="Y1" s="986"/>
      <c r="Z1" s="986"/>
      <c r="AA1" s="986" t="e">
        <f>'1_Contents'!#REF!</f>
        <v>#REF!</v>
      </c>
      <c r="AB1" s="710"/>
    </row>
    <row r="2" spans="1:28" s="776" customFormat="1">
      <c r="A2" s="1040" t="s">
        <v>664</v>
      </c>
      <c r="B2" s="321"/>
      <c r="C2" s="636"/>
      <c r="D2" s="636"/>
      <c r="E2" s="333"/>
      <c r="F2" s="69">
        <v>0</v>
      </c>
      <c r="G2" s="69">
        <f>F2+1</f>
        <v>1</v>
      </c>
      <c r="H2" s="69">
        <f t="shared" ref="H2:W3" si="0">G2+1</f>
        <v>2</v>
      </c>
      <c r="I2" s="69">
        <f t="shared" si="0"/>
        <v>3</v>
      </c>
      <c r="J2" s="69">
        <f t="shared" si="0"/>
        <v>4</v>
      </c>
      <c r="K2" s="69">
        <f t="shared" si="0"/>
        <v>5</v>
      </c>
      <c r="L2" s="69">
        <f t="shared" si="0"/>
        <v>6</v>
      </c>
      <c r="M2" s="69">
        <f t="shared" si="0"/>
        <v>7</v>
      </c>
      <c r="N2" s="69">
        <f t="shared" si="0"/>
        <v>8</v>
      </c>
      <c r="O2" s="69">
        <f t="shared" si="0"/>
        <v>9</v>
      </c>
      <c r="P2" s="69">
        <f t="shared" si="0"/>
        <v>10</v>
      </c>
      <c r="Q2" s="69">
        <f t="shared" si="0"/>
        <v>11</v>
      </c>
      <c r="R2" s="69">
        <f t="shared" si="0"/>
        <v>12</v>
      </c>
      <c r="S2" s="69">
        <f t="shared" si="0"/>
        <v>13</v>
      </c>
      <c r="T2" s="69">
        <f t="shared" si="0"/>
        <v>14</v>
      </c>
      <c r="U2" s="69">
        <f t="shared" si="0"/>
        <v>15</v>
      </c>
      <c r="V2" s="69">
        <f t="shared" si="0"/>
        <v>16</v>
      </c>
      <c r="W2" s="69">
        <f t="shared" si="0"/>
        <v>17</v>
      </c>
      <c r="X2" s="69">
        <f t="shared" ref="X2:AA3" si="1">W2+1</f>
        <v>18</v>
      </c>
      <c r="Y2" s="69">
        <f t="shared" si="1"/>
        <v>19</v>
      </c>
      <c r="Z2" s="69">
        <f t="shared" si="1"/>
        <v>20</v>
      </c>
      <c r="AA2" s="69">
        <f t="shared" si="1"/>
        <v>21</v>
      </c>
      <c r="AB2" s="1066"/>
    </row>
    <row r="3" spans="1:28" s="776" customFormat="1">
      <c r="A3" s="52"/>
      <c r="B3" s="52"/>
      <c r="C3" s="52"/>
      <c r="D3" s="52"/>
      <c r="E3" s="1266" t="s">
        <v>3</v>
      </c>
      <c r="F3" s="953">
        <v>1999</v>
      </c>
      <c r="G3" s="953">
        <f t="shared" ref="G3:M3" si="2">F3+1</f>
        <v>2000</v>
      </c>
      <c r="H3" s="953">
        <f t="shared" si="2"/>
        <v>2001</v>
      </c>
      <c r="I3" s="953">
        <f t="shared" si="2"/>
        <v>2002</v>
      </c>
      <c r="J3" s="953">
        <f t="shared" si="2"/>
        <v>2003</v>
      </c>
      <c r="K3" s="953">
        <f t="shared" si="2"/>
        <v>2004</v>
      </c>
      <c r="L3" s="953">
        <f t="shared" si="2"/>
        <v>2005</v>
      </c>
      <c r="M3" s="953">
        <f t="shared" si="2"/>
        <v>2006</v>
      </c>
      <c r="N3" s="953">
        <v>2007</v>
      </c>
      <c r="O3" s="953">
        <f>N3+1</f>
        <v>2008</v>
      </c>
      <c r="P3" s="953">
        <f t="shared" si="0"/>
        <v>2009</v>
      </c>
      <c r="Q3" s="953">
        <f t="shared" si="0"/>
        <v>2010</v>
      </c>
      <c r="R3" s="953">
        <f t="shared" si="0"/>
        <v>2011</v>
      </c>
      <c r="S3" s="953">
        <f t="shared" si="0"/>
        <v>2012</v>
      </c>
      <c r="T3" s="953">
        <f t="shared" si="0"/>
        <v>2013</v>
      </c>
      <c r="U3" s="953">
        <f t="shared" si="0"/>
        <v>2014</v>
      </c>
      <c r="V3" s="953">
        <f t="shared" si="0"/>
        <v>2015</v>
      </c>
      <c r="W3" s="953">
        <f t="shared" si="0"/>
        <v>2016</v>
      </c>
      <c r="X3" s="953">
        <f t="shared" si="1"/>
        <v>2017</v>
      </c>
      <c r="Y3" s="953">
        <f t="shared" si="1"/>
        <v>2018</v>
      </c>
      <c r="Z3" s="953">
        <f t="shared" si="1"/>
        <v>2019</v>
      </c>
      <c r="AA3" s="953">
        <f t="shared" si="1"/>
        <v>2020</v>
      </c>
      <c r="AB3" s="710"/>
    </row>
    <row r="4" spans="1:28">
      <c r="A4" s="52">
        <v>1</v>
      </c>
      <c r="B4" s="52" t="s">
        <v>700</v>
      </c>
      <c r="C4" s="52"/>
      <c r="D4" s="52"/>
      <c r="E4" s="1266" t="s">
        <v>667</v>
      </c>
      <c r="F4" s="909"/>
      <c r="G4" s="909"/>
      <c r="H4" s="909"/>
      <c r="I4" s="909"/>
      <c r="J4" s="909"/>
      <c r="K4" s="909"/>
      <c r="L4" s="909"/>
      <c r="M4" s="909"/>
      <c r="N4" s="909"/>
      <c r="O4" s="909"/>
      <c r="P4" s="909"/>
      <c r="Q4" s="909"/>
      <c r="R4" s="909"/>
      <c r="S4" s="909"/>
      <c r="T4" s="909"/>
      <c r="U4" s="909"/>
      <c r="V4" s="909"/>
      <c r="W4" s="909"/>
      <c r="X4" s="909"/>
      <c r="Y4" s="909"/>
      <c r="Z4" s="909"/>
      <c r="AA4" s="909"/>
      <c r="AB4" s="910"/>
    </row>
    <row r="5" spans="1:28" s="238" customFormat="1">
      <c r="A5" s="776"/>
      <c r="B5" s="172"/>
      <c r="C5" s="776"/>
      <c r="D5" s="776"/>
      <c r="E5" s="60"/>
      <c r="F5" s="776"/>
      <c r="G5" s="3"/>
      <c r="H5" s="11"/>
      <c r="I5" s="257"/>
      <c r="J5" s="776"/>
      <c r="K5" s="776"/>
      <c r="L5" s="776"/>
      <c r="M5" s="776"/>
      <c r="N5" s="11"/>
      <c r="O5" s="11"/>
      <c r="P5" s="11"/>
      <c r="Q5" s="11"/>
      <c r="R5" s="11"/>
      <c r="S5" s="11"/>
      <c r="T5" s="11"/>
      <c r="U5" s="33"/>
      <c r="V5" s="11"/>
      <c r="W5" s="11"/>
      <c r="X5" s="776"/>
      <c r="Y5" s="776"/>
      <c r="Z5" s="776"/>
      <c r="AA5" s="776"/>
      <c r="AB5" s="776"/>
    </row>
    <row r="6" spans="1:28">
      <c r="A6" s="776">
        <v>2</v>
      </c>
      <c r="B6" s="172" t="s">
        <v>701</v>
      </c>
      <c r="C6" s="776"/>
      <c r="E6" s="60" t="s">
        <v>702</v>
      </c>
      <c r="F6" s="776"/>
      <c r="G6" s="3"/>
      <c r="H6" s="11" t="e">
        <f>+' 11-BU Perf'!#REF!</f>
        <v>#REF!</v>
      </c>
      <c r="I6" s="257"/>
      <c r="J6" s="776"/>
      <c r="K6" s="776"/>
      <c r="L6" s="776"/>
      <c r="M6" s="776"/>
      <c r="N6" s="11"/>
      <c r="O6" s="11"/>
      <c r="P6" s="11"/>
      <c r="Q6" s="11"/>
      <c r="R6" s="11"/>
      <c r="S6" s="11"/>
      <c r="T6" s="11"/>
      <c r="U6" s="11"/>
      <c r="V6" s="11"/>
      <c r="W6" s="11"/>
      <c r="X6" s="776"/>
      <c r="Y6" s="776"/>
      <c r="Z6" s="776"/>
      <c r="AA6" s="776"/>
      <c r="AB6" s="776"/>
    </row>
    <row r="7" spans="1:28" s="66" customFormat="1">
      <c r="A7" s="776"/>
      <c r="B7" s="13"/>
      <c r="C7" s="776"/>
      <c r="D7" s="776"/>
      <c r="E7" s="60"/>
      <c r="F7" s="776"/>
      <c r="G7" s="3"/>
      <c r="H7" s="11"/>
      <c r="I7" s="257"/>
      <c r="J7" s="776"/>
      <c r="K7" s="776"/>
      <c r="L7" s="776"/>
      <c r="M7" s="776"/>
      <c r="N7" s="11"/>
      <c r="O7" s="11"/>
      <c r="P7" s="11"/>
      <c r="Q7" s="11"/>
      <c r="R7" s="11"/>
      <c r="S7" s="11"/>
      <c r="T7" s="11"/>
      <c r="U7" s="33"/>
      <c r="V7" s="11"/>
      <c r="W7" s="11"/>
      <c r="X7" s="776"/>
      <c r="Y7" s="776"/>
      <c r="Z7" s="776"/>
      <c r="AA7" s="776"/>
      <c r="AB7" s="776"/>
    </row>
    <row r="8" spans="1:28" s="66" customFormat="1">
      <c r="A8" s="776"/>
      <c r="B8" s="172" t="s">
        <v>703</v>
      </c>
      <c r="C8" s="776"/>
      <c r="D8" s="776"/>
      <c r="E8" s="60" t="s">
        <v>702</v>
      </c>
      <c r="F8" s="776"/>
      <c r="G8" s="3"/>
      <c r="H8" s="11" t="e">
        <f t="shared" ref="H8" si="3">H6/H4</f>
        <v>#REF!</v>
      </c>
      <c r="I8" s="257"/>
      <c r="J8" s="776"/>
      <c r="K8" s="776"/>
      <c r="L8" s="776"/>
      <c r="M8" s="776"/>
      <c r="N8" s="11"/>
      <c r="O8" s="11"/>
      <c r="P8" s="11"/>
      <c r="Q8" s="11"/>
      <c r="R8" s="11"/>
      <c r="S8" s="11"/>
      <c r="T8" s="11"/>
      <c r="U8" s="33"/>
      <c r="V8" s="11"/>
      <c r="W8" s="11"/>
      <c r="X8" s="776"/>
      <c r="Y8" s="776"/>
      <c r="Z8" s="776"/>
      <c r="AA8" s="776"/>
      <c r="AB8" s="776"/>
    </row>
    <row r="9" spans="1:28" s="66" customFormat="1">
      <c r="A9" s="776"/>
      <c r="B9" s="13"/>
      <c r="C9" s="776"/>
      <c r="D9" s="776"/>
      <c r="E9" s="60"/>
      <c r="F9" s="776"/>
      <c r="G9" s="3"/>
      <c r="H9" s="11"/>
      <c r="I9" s="257"/>
      <c r="J9" s="776"/>
      <c r="K9" s="776"/>
      <c r="L9" s="776"/>
      <c r="M9" s="776"/>
      <c r="N9" s="11"/>
      <c r="O9" s="11"/>
      <c r="P9" s="11"/>
      <c r="Q9" s="11"/>
      <c r="R9" s="11"/>
      <c r="S9" s="11"/>
      <c r="T9" s="11"/>
      <c r="U9" s="33"/>
      <c r="V9" s="11"/>
      <c r="W9" s="11"/>
      <c r="X9" s="776"/>
      <c r="Y9" s="776"/>
      <c r="Z9" s="776"/>
      <c r="AA9" s="776"/>
      <c r="AB9" s="776"/>
    </row>
    <row r="10" spans="1:28" s="66" customFormat="1">
      <c r="A10" s="776">
        <v>3</v>
      </c>
      <c r="B10" s="172" t="s">
        <v>704</v>
      </c>
      <c r="C10" s="776"/>
      <c r="D10" s="776"/>
      <c r="E10" s="178" t="s">
        <v>554</v>
      </c>
      <c r="F10" s="776"/>
      <c r="G10" s="33"/>
      <c r="H10" s="11">
        <f>'Econ-Perf 1'!H8</f>
        <v>0</v>
      </c>
      <c r="I10" s="257"/>
      <c r="J10" s="776"/>
      <c r="K10" s="776"/>
      <c r="L10" s="776"/>
      <c r="M10" s="776"/>
      <c r="N10" s="11"/>
      <c r="O10" s="11">
        <f>'2_Inc-Stat'!O7</f>
        <v>5511</v>
      </c>
      <c r="P10" s="11">
        <f>'2_Inc-Stat'!P7</f>
        <v>6595</v>
      </c>
      <c r="Q10" s="11">
        <f>'2_Inc-Stat'!Q7</f>
        <v>16463</v>
      </c>
      <c r="R10" s="11">
        <f>'2_Inc-Stat'!R7</f>
        <v>22284</v>
      </c>
      <c r="S10" s="11">
        <f>'2_Inc-Stat'!S7</f>
        <v>11100</v>
      </c>
      <c r="T10" s="11">
        <f>'2_Inc-Stat'!T7</f>
        <v>13300</v>
      </c>
      <c r="U10" s="33"/>
      <c r="V10" s="11"/>
      <c r="W10" s="11"/>
      <c r="X10" s="776"/>
      <c r="Y10" s="776"/>
      <c r="Z10" s="776"/>
      <c r="AA10" s="776"/>
      <c r="AB10" s="776"/>
    </row>
    <row r="11" spans="1:28" s="77" customFormat="1">
      <c r="A11" s="776"/>
      <c r="B11" s="13" t="s">
        <v>705</v>
      </c>
      <c r="C11" s="776"/>
      <c r="D11" s="776"/>
      <c r="E11" s="244"/>
      <c r="F11" s="776"/>
      <c r="G11" s="33"/>
      <c r="H11" s="81"/>
      <c r="I11" s="269"/>
      <c r="J11" s="776"/>
      <c r="K11" s="776"/>
      <c r="L11" s="776"/>
      <c r="M11" s="776"/>
      <c r="N11" s="82"/>
      <c r="O11" s="82"/>
      <c r="P11" s="82">
        <f t="shared" ref="P11:T11" si="4">P10/O10-1</f>
        <v>0.19669751406278357</v>
      </c>
      <c r="Q11" s="82">
        <f t="shared" si="4"/>
        <v>1.4962850644427599</v>
      </c>
      <c r="R11" s="82">
        <f t="shared" si="4"/>
        <v>0.35358075684869106</v>
      </c>
      <c r="S11" s="82">
        <f t="shared" si="4"/>
        <v>-0.50188476036618201</v>
      </c>
      <c r="T11" s="82">
        <f t="shared" si="4"/>
        <v>0.19819819819819817</v>
      </c>
      <c r="U11" s="282"/>
      <c r="V11" s="11"/>
      <c r="W11" s="11"/>
      <c r="X11" s="776"/>
      <c r="Y11" s="776"/>
      <c r="Z11" s="776"/>
      <c r="AA11" s="776"/>
      <c r="AB11" s="776"/>
    </row>
    <row r="12" spans="1:28" s="79" customFormat="1">
      <c r="A12" s="776"/>
      <c r="B12" s="13"/>
      <c r="C12" s="776"/>
      <c r="D12" s="776"/>
      <c r="E12" s="244"/>
      <c r="F12" s="776"/>
      <c r="G12" s="33"/>
      <c r="H12" s="81"/>
      <c r="I12" s="269"/>
      <c r="J12" s="776"/>
      <c r="K12" s="776"/>
      <c r="L12" s="776"/>
      <c r="M12" s="776"/>
      <c r="N12" s="82"/>
      <c r="O12" s="82"/>
      <c r="P12" s="82"/>
      <c r="Q12" s="82"/>
      <c r="R12" s="82"/>
      <c r="S12" s="82"/>
      <c r="T12" s="82"/>
      <c r="U12" s="33"/>
      <c r="V12" s="11"/>
      <c r="W12" s="11"/>
      <c r="X12" s="776"/>
      <c r="Y12" s="776"/>
      <c r="Z12" s="776"/>
      <c r="AA12" s="776"/>
      <c r="AB12" s="776"/>
    </row>
    <row r="13" spans="1:28">
      <c r="A13" s="776"/>
      <c r="B13" s="13" t="s">
        <v>706</v>
      </c>
      <c r="C13" s="776"/>
      <c r="E13" s="178" t="s">
        <v>554</v>
      </c>
      <c r="F13" s="776"/>
      <c r="G13" s="33"/>
      <c r="H13" s="11" t="e">
        <f t="shared" ref="H13" si="5">H10/H4</f>
        <v>#DIV/0!</v>
      </c>
      <c r="I13" s="257"/>
      <c r="J13" s="776"/>
      <c r="K13" s="776"/>
      <c r="L13" s="776"/>
      <c r="M13" s="776"/>
      <c r="N13" s="11"/>
      <c r="O13" s="11"/>
      <c r="P13" s="11"/>
      <c r="Q13" s="11"/>
      <c r="R13" s="11"/>
      <c r="S13" s="83" t="e">
        <f t="shared" ref="S13:T13" si="6">S10/S4</f>
        <v>#DIV/0!</v>
      </c>
      <c r="T13" s="83" t="e">
        <f t="shared" si="6"/>
        <v>#DIV/0!</v>
      </c>
      <c r="U13" s="33"/>
      <c r="V13" s="11"/>
      <c r="W13" s="11"/>
      <c r="X13" s="776"/>
      <c r="Y13" s="776"/>
      <c r="Z13" s="776"/>
      <c r="AA13" s="776"/>
      <c r="AB13" s="776"/>
    </row>
    <row r="14" spans="1:28">
      <c r="A14" s="776"/>
      <c r="B14" s="13" t="s">
        <v>707</v>
      </c>
      <c r="C14" s="776"/>
      <c r="E14" s="60" t="s">
        <v>631</v>
      </c>
      <c r="F14" s="776"/>
      <c r="G14" s="60"/>
      <c r="H14" s="11" t="e">
        <f t="shared" ref="H14" si="7">H10/H6*1000</f>
        <v>#REF!</v>
      </c>
      <c r="I14" s="257"/>
      <c r="J14" s="776"/>
      <c r="K14" s="776"/>
      <c r="L14" s="776"/>
      <c r="M14" s="776"/>
      <c r="N14" s="11"/>
      <c r="O14" s="11"/>
      <c r="P14" s="11"/>
      <c r="Q14" s="11"/>
      <c r="R14" s="11"/>
      <c r="S14" s="11"/>
      <c r="T14" s="11"/>
      <c r="U14" s="33"/>
      <c r="V14" s="11"/>
      <c r="W14" s="11"/>
      <c r="X14" s="776"/>
      <c r="Y14" s="776"/>
      <c r="Z14" s="776"/>
      <c r="AA14" s="776"/>
      <c r="AB14" s="776"/>
    </row>
    <row r="15" spans="1:28">
      <c r="A15" s="776"/>
      <c r="B15" s="13"/>
      <c r="C15" s="776"/>
      <c r="E15" s="7"/>
      <c r="F15" s="776"/>
      <c r="G15" s="776"/>
      <c r="H15" s="11"/>
      <c r="I15" s="257"/>
      <c r="J15" s="776"/>
      <c r="K15" s="776"/>
      <c r="L15" s="776"/>
      <c r="M15" s="776"/>
      <c r="N15" s="11"/>
      <c r="O15" s="11"/>
      <c r="P15" s="11"/>
      <c r="Q15" s="11"/>
      <c r="R15" s="11"/>
      <c r="S15" s="11"/>
      <c r="T15" s="11"/>
      <c r="U15" s="33"/>
      <c r="V15" s="11"/>
      <c r="W15" s="13"/>
      <c r="X15" s="776"/>
      <c r="Y15" s="776"/>
      <c r="Z15" s="776"/>
      <c r="AA15" s="776"/>
      <c r="AB15" s="776"/>
    </row>
    <row r="16" spans="1:28" s="66" customFormat="1">
      <c r="A16" s="776">
        <v>4</v>
      </c>
      <c r="B16" s="172" t="s">
        <v>708</v>
      </c>
      <c r="C16" s="776"/>
      <c r="D16" s="776"/>
      <c r="E16" s="7"/>
      <c r="F16" s="776"/>
      <c r="G16" s="776"/>
      <c r="H16" s="28"/>
      <c r="I16" s="270"/>
      <c r="J16" s="776"/>
      <c r="K16" s="776"/>
      <c r="L16" s="776"/>
      <c r="M16" s="776"/>
      <c r="N16" s="28"/>
      <c r="O16" s="28"/>
      <c r="P16" s="28"/>
      <c r="Q16" s="28"/>
      <c r="R16" s="28"/>
      <c r="S16" s="28"/>
      <c r="T16" s="28"/>
      <c r="U16" s="282"/>
      <c r="V16" s="11"/>
      <c r="W16" s="13"/>
      <c r="X16" s="776"/>
      <c r="Y16" s="776"/>
      <c r="Z16" s="776"/>
      <c r="AA16" s="776"/>
      <c r="AB16" s="776"/>
    </row>
    <row r="17" spans="1:23" s="268" customFormat="1">
      <c r="A17" s="776"/>
      <c r="B17" s="37" t="s">
        <v>709</v>
      </c>
      <c r="C17" s="776"/>
      <c r="D17" s="776"/>
      <c r="E17" s="7"/>
      <c r="F17" s="776"/>
      <c r="G17" s="776"/>
      <c r="H17" s="28"/>
      <c r="I17" s="270"/>
      <c r="J17" s="776"/>
      <c r="K17" s="776"/>
      <c r="L17" s="776"/>
      <c r="M17" s="776"/>
      <c r="N17" s="28"/>
      <c r="O17" s="28"/>
      <c r="P17" s="28"/>
      <c r="Q17" s="28"/>
      <c r="R17" s="28"/>
      <c r="S17" s="28"/>
      <c r="T17" s="28"/>
      <c r="U17" s="282"/>
      <c r="V17" s="11"/>
      <c r="W17" s="11"/>
    </row>
    <row r="18" spans="1:23" s="66" customFormat="1">
      <c r="A18" s="776"/>
      <c r="B18" s="13"/>
      <c r="C18" s="776"/>
      <c r="D18" s="776"/>
      <c r="E18" s="7"/>
      <c r="F18" s="776"/>
      <c r="G18" s="776"/>
      <c r="H18" s="11"/>
      <c r="I18" s="257"/>
      <c r="J18" s="776"/>
      <c r="K18" s="776"/>
      <c r="L18" s="776"/>
      <c r="M18" s="776"/>
      <c r="N18" s="11"/>
      <c r="O18" s="11"/>
      <c r="P18" s="11"/>
      <c r="Q18" s="11"/>
      <c r="R18" s="11"/>
      <c r="S18" s="11"/>
      <c r="T18" s="11"/>
      <c r="U18" s="33"/>
      <c r="V18" s="11"/>
      <c r="W18" s="11"/>
    </row>
    <row r="19" spans="1:23">
      <c r="A19" s="776">
        <v>5</v>
      </c>
      <c r="B19" s="172" t="s">
        <v>658</v>
      </c>
      <c r="C19" s="776"/>
      <c r="E19" s="178" t="s">
        <v>554</v>
      </c>
      <c r="F19" s="776"/>
      <c r="G19" s="33"/>
      <c r="H19" s="11"/>
      <c r="I19" s="257"/>
      <c r="J19" s="776"/>
      <c r="K19" s="776"/>
      <c r="L19" s="776"/>
      <c r="M19" s="776"/>
      <c r="N19" s="11"/>
      <c r="O19" s="11" t="e">
        <f>#REF!</f>
        <v>#REF!</v>
      </c>
      <c r="P19" s="11" t="e">
        <f>#REF!</f>
        <v>#REF!</v>
      </c>
      <c r="Q19" s="11" t="e">
        <f>#REF!</f>
        <v>#REF!</v>
      </c>
      <c r="R19" s="11" t="e">
        <f>#REF!</f>
        <v>#REF!</v>
      </c>
      <c r="S19" s="11" t="e">
        <f>#REF!</f>
        <v>#REF!</v>
      </c>
      <c r="T19" s="11" t="e">
        <f>#REF!</f>
        <v>#REF!</v>
      </c>
      <c r="U19" s="11"/>
      <c r="V19" s="11"/>
      <c r="W19" s="11"/>
    </row>
    <row r="20" spans="1:23" s="77" customFormat="1">
      <c r="A20" s="776"/>
      <c r="B20" s="13" t="s">
        <v>710</v>
      </c>
      <c r="C20" s="776"/>
      <c r="D20" s="776"/>
      <c r="E20" s="244"/>
      <c r="F20" s="776"/>
      <c r="G20" s="33"/>
      <c r="H20" s="11"/>
      <c r="I20" s="257"/>
      <c r="J20" s="776"/>
      <c r="K20" s="776"/>
      <c r="L20" s="776"/>
      <c r="M20" s="776"/>
      <c r="N20" s="11"/>
      <c r="O20" s="11" t="e">
        <f t="shared" ref="O20:T20" si="8">O19-N19</f>
        <v>#REF!</v>
      </c>
      <c r="P20" s="11" t="e">
        <f t="shared" si="8"/>
        <v>#REF!</v>
      </c>
      <c r="Q20" s="11" t="e">
        <f t="shared" si="8"/>
        <v>#REF!</v>
      </c>
      <c r="R20" s="11" t="e">
        <f t="shared" si="8"/>
        <v>#REF!</v>
      </c>
      <c r="S20" s="11" t="e">
        <f t="shared" si="8"/>
        <v>#REF!</v>
      </c>
      <c r="T20" s="11" t="e">
        <f t="shared" si="8"/>
        <v>#REF!</v>
      </c>
      <c r="U20" s="33"/>
      <c r="V20" s="11"/>
      <c r="W20" s="11"/>
    </row>
    <row r="21" spans="1:23" s="79" customFormat="1">
      <c r="A21" s="776"/>
      <c r="B21" s="13"/>
      <c r="C21" s="776"/>
      <c r="D21" s="776"/>
      <c r="E21" s="7"/>
      <c r="F21" s="776"/>
      <c r="G21" s="776"/>
      <c r="H21" s="11"/>
      <c r="I21" s="257"/>
      <c r="J21" s="776"/>
      <c r="K21" s="776"/>
      <c r="L21" s="776"/>
      <c r="M21" s="776"/>
      <c r="N21" s="11"/>
      <c r="O21" s="11"/>
      <c r="P21" s="11"/>
      <c r="Q21" s="11"/>
      <c r="R21" s="11"/>
      <c r="S21" s="11"/>
      <c r="T21" s="11"/>
      <c r="U21" s="33"/>
      <c r="V21" s="11"/>
      <c r="W21" s="11"/>
    </row>
    <row r="22" spans="1:23">
      <c r="A22" s="776"/>
      <c r="B22" s="13" t="s">
        <v>684</v>
      </c>
      <c r="C22" s="776"/>
      <c r="E22" s="178" t="s">
        <v>554</v>
      </c>
      <c r="F22" s="776"/>
      <c r="G22" s="33"/>
      <c r="H22" s="11"/>
      <c r="I22" s="257"/>
      <c r="J22" s="776"/>
      <c r="K22" s="776"/>
      <c r="L22" s="776"/>
      <c r="M22" s="776"/>
      <c r="N22" s="11"/>
      <c r="O22" s="11"/>
      <c r="P22" s="11"/>
      <c r="Q22" s="11"/>
      <c r="R22" s="11"/>
      <c r="S22" s="83" t="e">
        <f t="shared" ref="S22:T22" si="9">S19/S4</f>
        <v>#REF!</v>
      </c>
      <c r="T22" s="83" t="e">
        <f t="shared" si="9"/>
        <v>#REF!</v>
      </c>
      <c r="U22" s="33"/>
      <c r="V22" s="11"/>
      <c r="W22" s="11"/>
    </row>
    <row r="23" spans="1:23">
      <c r="A23" s="776"/>
      <c r="B23" s="13" t="s">
        <v>711</v>
      </c>
      <c r="C23" s="776"/>
      <c r="E23" s="60" t="s">
        <v>631</v>
      </c>
      <c r="F23" s="776"/>
      <c r="G23" s="60"/>
      <c r="H23" s="11"/>
      <c r="I23" s="257"/>
      <c r="J23" s="776"/>
      <c r="K23" s="776"/>
      <c r="L23" s="776"/>
      <c r="M23" s="776"/>
      <c r="N23" s="11"/>
      <c r="O23" s="11"/>
      <c r="P23" s="11"/>
      <c r="Q23" s="11"/>
      <c r="R23" s="11"/>
      <c r="S23" s="11"/>
      <c r="T23" s="11"/>
      <c r="U23" s="33"/>
      <c r="V23" s="11"/>
      <c r="W23" s="11"/>
    </row>
    <row r="24" spans="1:23" s="66" customFormat="1">
      <c r="A24" s="776"/>
      <c r="B24" s="13"/>
      <c r="C24" s="776"/>
      <c r="D24" s="776"/>
      <c r="E24" s="60"/>
      <c r="F24" s="776"/>
      <c r="G24" s="60"/>
      <c r="H24" s="11"/>
      <c r="I24" s="257"/>
      <c r="J24" s="776"/>
      <c r="K24" s="776"/>
      <c r="L24" s="776"/>
      <c r="M24" s="776"/>
      <c r="N24" s="11"/>
      <c r="O24" s="11"/>
      <c r="P24" s="11"/>
      <c r="Q24" s="11"/>
      <c r="R24" s="11"/>
      <c r="S24" s="11"/>
      <c r="T24" s="11"/>
      <c r="U24" s="33"/>
      <c r="V24" s="11"/>
      <c r="W24" s="11"/>
    </row>
    <row r="25" spans="1:23" s="66" customFormat="1">
      <c r="A25" s="776"/>
      <c r="B25" s="13" t="s">
        <v>704</v>
      </c>
      <c r="C25" s="776"/>
      <c r="D25" s="776"/>
      <c r="E25" s="178" t="s">
        <v>554</v>
      </c>
      <c r="F25" s="776"/>
      <c r="G25" s="33"/>
      <c r="H25" s="11">
        <f t="shared" ref="H25" si="10">H10</f>
        <v>0</v>
      </c>
      <c r="I25" s="257"/>
      <c r="J25" s="776"/>
      <c r="K25" s="776"/>
      <c r="L25" s="776"/>
      <c r="M25" s="776"/>
      <c r="N25" s="11"/>
      <c r="O25" s="11">
        <f t="shared" ref="O25:T25" si="11">O10</f>
        <v>5511</v>
      </c>
      <c r="P25" s="11">
        <f t="shared" si="11"/>
        <v>6595</v>
      </c>
      <c r="Q25" s="11">
        <f t="shared" si="11"/>
        <v>16463</v>
      </c>
      <c r="R25" s="11">
        <f t="shared" si="11"/>
        <v>22284</v>
      </c>
      <c r="S25" s="11">
        <f t="shared" si="11"/>
        <v>11100</v>
      </c>
      <c r="T25" s="11">
        <f t="shared" si="11"/>
        <v>13300</v>
      </c>
      <c r="U25" s="33"/>
      <c r="V25" s="11"/>
      <c r="W25" s="11"/>
    </row>
    <row r="26" spans="1:23" s="66" customFormat="1">
      <c r="A26" s="776"/>
      <c r="B26" s="13" t="s">
        <v>658</v>
      </c>
      <c r="C26" s="776"/>
      <c r="D26" s="776"/>
      <c r="E26" s="244"/>
      <c r="F26" s="776"/>
      <c r="G26" s="33"/>
      <c r="H26" s="11"/>
      <c r="I26" s="257"/>
      <c r="J26" s="776"/>
      <c r="K26" s="776"/>
      <c r="L26" s="776"/>
      <c r="M26" s="776"/>
      <c r="N26" s="11"/>
      <c r="O26" s="11" t="e">
        <f t="shared" ref="O26:T26" si="12">O19</f>
        <v>#REF!</v>
      </c>
      <c r="P26" s="11" t="e">
        <f t="shared" si="12"/>
        <v>#REF!</v>
      </c>
      <c r="Q26" s="11" t="e">
        <f t="shared" si="12"/>
        <v>#REF!</v>
      </c>
      <c r="R26" s="11" t="e">
        <f t="shared" si="12"/>
        <v>#REF!</v>
      </c>
      <c r="S26" s="11" t="e">
        <f t="shared" si="12"/>
        <v>#REF!</v>
      </c>
      <c r="T26" s="11" t="e">
        <f t="shared" si="12"/>
        <v>#REF!</v>
      </c>
      <c r="U26" s="33"/>
      <c r="V26" s="11"/>
      <c r="W26" s="11"/>
    </row>
    <row r="27" spans="1:23" s="66" customFormat="1">
      <c r="A27" s="776"/>
      <c r="B27" s="13"/>
      <c r="C27" s="776"/>
      <c r="D27" s="776"/>
      <c r="E27" s="81"/>
      <c r="F27" s="776"/>
      <c r="G27" s="11"/>
      <c r="H27" s="11"/>
      <c r="I27" s="257"/>
      <c r="J27" s="776"/>
      <c r="K27" s="776"/>
      <c r="L27" s="776"/>
      <c r="M27" s="776"/>
      <c r="N27" s="11"/>
      <c r="O27" s="11"/>
      <c r="P27" s="11"/>
      <c r="Q27" s="11"/>
      <c r="R27" s="11"/>
      <c r="S27" s="11"/>
      <c r="T27" s="11"/>
      <c r="U27" s="33"/>
      <c r="V27" s="11"/>
      <c r="W27" s="11"/>
    </row>
    <row r="28" spans="1:23" s="66" customFormat="1">
      <c r="A28" s="776"/>
      <c r="B28" s="172" t="s">
        <v>712</v>
      </c>
      <c r="C28" s="776"/>
      <c r="D28" s="776"/>
      <c r="E28" s="776"/>
      <c r="F28" s="81"/>
      <c r="G28" s="11"/>
      <c r="H28" s="28"/>
      <c r="I28" s="270"/>
      <c r="J28" s="776"/>
      <c r="K28" s="776"/>
      <c r="L28" s="776"/>
      <c r="M28" s="776"/>
      <c r="N28" s="28"/>
      <c r="O28" s="28" t="e">
        <f t="shared" ref="O28:T28" si="13">O26/O25</f>
        <v>#REF!</v>
      </c>
      <c r="P28" s="28" t="e">
        <f t="shared" si="13"/>
        <v>#REF!</v>
      </c>
      <c r="Q28" s="28" t="e">
        <f t="shared" si="13"/>
        <v>#REF!</v>
      </c>
      <c r="R28" s="28" t="e">
        <f t="shared" si="13"/>
        <v>#REF!</v>
      </c>
      <c r="S28" s="28" t="e">
        <f t="shared" si="13"/>
        <v>#REF!</v>
      </c>
      <c r="T28" s="28" t="e">
        <f t="shared" si="13"/>
        <v>#REF!</v>
      </c>
      <c r="U28" s="282"/>
      <c r="V28" s="11"/>
      <c r="W28" s="11"/>
    </row>
    <row r="29" spans="1:23" s="66" customFormat="1">
      <c r="A29" s="776"/>
      <c r="B29" s="13"/>
      <c r="C29" s="776"/>
      <c r="D29" s="776"/>
      <c r="E29" s="776"/>
      <c r="F29" s="81"/>
      <c r="G29" s="11"/>
      <c r="H29" s="11"/>
      <c r="I29" s="257"/>
      <c r="J29" s="776"/>
      <c r="K29" s="776"/>
      <c r="L29" s="776"/>
      <c r="M29" s="776"/>
      <c r="N29" s="11"/>
      <c r="O29" s="11"/>
      <c r="P29" s="11"/>
      <c r="Q29" s="11"/>
      <c r="R29" s="11"/>
      <c r="S29" s="11"/>
      <c r="T29" s="11"/>
      <c r="U29" s="33"/>
      <c r="V29" s="11"/>
      <c r="W29" s="11"/>
    </row>
    <row r="30" spans="1:23" s="66" customFormat="1">
      <c r="A30" s="776">
        <v>6</v>
      </c>
      <c r="B30" s="13" t="s">
        <v>713</v>
      </c>
      <c r="C30" s="776"/>
      <c r="D30" s="776"/>
      <c r="E30" s="178" t="s">
        <v>554</v>
      </c>
      <c r="F30" s="776"/>
      <c r="G30" s="33"/>
      <c r="H30" s="11"/>
      <c r="I30" s="257"/>
      <c r="J30" s="776"/>
      <c r="K30" s="776"/>
      <c r="L30" s="776"/>
      <c r="M30" s="776"/>
      <c r="N30" s="11"/>
      <c r="O30" s="11"/>
      <c r="P30" s="11">
        <f>O10</f>
        <v>5511</v>
      </c>
      <c r="Q30" s="11">
        <f t="shared" ref="Q30:T30" si="14">P10</f>
        <v>6595</v>
      </c>
      <c r="R30" s="11">
        <f t="shared" si="14"/>
        <v>16463</v>
      </c>
      <c r="S30" s="11">
        <f t="shared" si="14"/>
        <v>22284</v>
      </c>
      <c r="T30" s="11">
        <f t="shared" si="14"/>
        <v>11100</v>
      </c>
      <c r="U30" s="33"/>
      <c r="V30" s="11"/>
      <c r="W30" s="11"/>
    </row>
    <row r="31" spans="1:23" s="66" customFormat="1">
      <c r="A31" s="776"/>
      <c r="B31" s="13" t="s">
        <v>714</v>
      </c>
      <c r="C31" s="776"/>
      <c r="D31" s="776"/>
      <c r="E31" s="81"/>
      <c r="F31" s="776"/>
      <c r="G31" s="11"/>
      <c r="H31" s="11"/>
      <c r="I31" s="257"/>
      <c r="J31" s="776"/>
      <c r="K31" s="776"/>
      <c r="L31" s="776"/>
      <c r="M31" s="776"/>
      <c r="N31" s="11"/>
      <c r="O31" s="11" t="e">
        <f t="shared" ref="O31:T31" si="15">O20</f>
        <v>#REF!</v>
      </c>
      <c r="P31" s="11" t="e">
        <f t="shared" si="15"/>
        <v>#REF!</v>
      </c>
      <c r="Q31" s="11" t="e">
        <f t="shared" si="15"/>
        <v>#REF!</v>
      </c>
      <c r="R31" s="11" t="e">
        <f t="shared" si="15"/>
        <v>#REF!</v>
      </c>
      <c r="S31" s="11" t="e">
        <f t="shared" si="15"/>
        <v>#REF!</v>
      </c>
      <c r="T31" s="11" t="e">
        <f t="shared" si="15"/>
        <v>#REF!</v>
      </c>
      <c r="U31" s="33"/>
      <c r="V31" s="11"/>
      <c r="W31" s="11"/>
    </row>
    <row r="32" spans="1:23" s="66" customFormat="1">
      <c r="A32" s="776"/>
      <c r="B32" s="13"/>
      <c r="C32" s="776"/>
      <c r="D32" s="776"/>
      <c r="E32" s="81"/>
      <c r="F32" s="776"/>
      <c r="G32" s="11"/>
      <c r="H32" s="11"/>
      <c r="I32" s="257"/>
      <c r="J32" s="776"/>
      <c r="K32" s="776"/>
      <c r="L32" s="776"/>
      <c r="M32" s="776"/>
      <c r="N32" s="11"/>
      <c r="O32" s="11"/>
      <c r="P32" s="11"/>
      <c r="Q32" s="11"/>
      <c r="R32" s="11"/>
      <c r="S32" s="11"/>
      <c r="T32" s="11"/>
      <c r="U32" s="33"/>
      <c r="V32" s="11"/>
      <c r="W32" s="11"/>
    </row>
    <row r="33" spans="1:23" s="66" customFormat="1">
      <c r="A33" s="776"/>
      <c r="B33" s="172" t="s">
        <v>715</v>
      </c>
      <c r="C33" s="776"/>
      <c r="D33" s="776"/>
      <c r="E33" s="81"/>
      <c r="F33" s="776"/>
      <c r="G33" s="11"/>
      <c r="H33" s="11"/>
      <c r="I33" s="270"/>
      <c r="J33" s="776"/>
      <c r="K33" s="776"/>
      <c r="L33" s="776"/>
      <c r="M33" s="776"/>
      <c r="N33" s="28"/>
      <c r="O33" s="28"/>
      <c r="P33" s="28" t="e">
        <f t="shared" ref="P33:T33" si="16">P31/P30</f>
        <v>#REF!</v>
      </c>
      <c r="Q33" s="28" t="e">
        <f t="shared" si="16"/>
        <v>#REF!</v>
      </c>
      <c r="R33" s="28" t="e">
        <f t="shared" si="16"/>
        <v>#REF!</v>
      </c>
      <c r="S33" s="28" t="e">
        <f t="shared" si="16"/>
        <v>#REF!</v>
      </c>
      <c r="T33" s="28" t="e">
        <f t="shared" si="16"/>
        <v>#REF!</v>
      </c>
      <c r="U33" s="282"/>
      <c r="V33" s="11"/>
      <c r="W33" s="11"/>
    </row>
    <row r="34" spans="1:23" s="66" customFormat="1">
      <c r="A34" s="776"/>
      <c r="B34" s="13"/>
      <c r="C34" s="776"/>
      <c r="D34" s="776"/>
      <c r="E34" s="60"/>
      <c r="F34" s="776"/>
      <c r="G34" s="60"/>
      <c r="H34" s="11"/>
      <c r="I34" s="257"/>
      <c r="J34" s="776"/>
      <c r="K34" s="776"/>
      <c r="L34" s="776"/>
      <c r="M34" s="776"/>
      <c r="N34" s="11"/>
      <c r="O34" s="11"/>
      <c r="P34" s="11"/>
      <c r="Q34" s="11"/>
      <c r="R34" s="11"/>
      <c r="S34" s="11"/>
      <c r="T34" s="11"/>
      <c r="U34" s="33"/>
      <c r="V34" s="11"/>
      <c r="W34" s="11"/>
    </row>
    <row r="35" spans="1:23">
      <c r="A35" s="13">
        <v>7</v>
      </c>
      <c r="B35" s="172" t="s">
        <v>716</v>
      </c>
      <c r="C35" s="776"/>
      <c r="E35" s="178" t="s">
        <v>554</v>
      </c>
      <c r="F35" s="776"/>
      <c r="G35" s="33"/>
      <c r="H35" s="12">
        <f>'Mark-Expect'!H21</f>
        <v>0</v>
      </c>
      <c r="I35" s="258"/>
      <c r="J35" s="776"/>
      <c r="K35" s="776"/>
      <c r="L35" s="776"/>
      <c r="M35" s="776"/>
      <c r="N35" s="12"/>
      <c r="O35" s="12" t="e">
        <f>#REF!</f>
        <v>#REF!</v>
      </c>
      <c r="P35" s="12" t="e">
        <f>#REF!</f>
        <v>#REF!</v>
      </c>
      <c r="Q35" s="12" t="e">
        <f>#REF!</f>
        <v>#REF!</v>
      </c>
      <c r="R35" s="12" t="e">
        <f>#REF!</f>
        <v>#REF!</v>
      </c>
      <c r="S35" s="12" t="e">
        <f>#REF!</f>
        <v>#REF!</v>
      </c>
      <c r="T35" s="12" t="e">
        <f>#REF!</f>
        <v>#REF!</v>
      </c>
      <c r="U35" s="33"/>
      <c r="V35" s="11"/>
      <c r="W35" s="11"/>
    </row>
    <row r="36" spans="1:23">
      <c r="A36" s="776"/>
      <c r="B36" s="65" t="s">
        <v>717</v>
      </c>
      <c r="C36" s="776"/>
      <c r="E36" s="7"/>
      <c r="F36" s="776"/>
      <c r="G36" s="776"/>
      <c r="H36" s="11" t="e">
        <f>'Mark-Expect'!#REF!</f>
        <v>#REF!</v>
      </c>
      <c r="I36" s="257"/>
      <c r="J36" s="776"/>
      <c r="K36" s="776"/>
      <c r="L36" s="776"/>
      <c r="M36" s="776"/>
      <c r="N36" s="257"/>
      <c r="O36" s="11" t="e">
        <f>#REF!-#REF!</f>
        <v>#REF!</v>
      </c>
      <c r="P36" s="11" t="e">
        <f>#REF!-#REF!</f>
        <v>#REF!</v>
      </c>
      <c r="Q36" s="11" t="e">
        <f>#REF!-#REF!</f>
        <v>#REF!</v>
      </c>
      <c r="R36" s="11" t="e">
        <f>#REF!-#REF!</f>
        <v>#REF!</v>
      </c>
      <c r="S36" s="11" t="e">
        <f>#REF!-#REF!</f>
        <v>#REF!</v>
      </c>
      <c r="T36" s="11" t="e">
        <f>#REF!-#REF!</f>
        <v>#REF!</v>
      </c>
      <c r="U36" s="33"/>
      <c r="V36" s="11"/>
      <c r="W36" s="11"/>
    </row>
    <row r="37" spans="1:23">
      <c r="A37" s="776"/>
      <c r="B37" s="65" t="s">
        <v>718</v>
      </c>
      <c r="C37" s="776"/>
      <c r="E37" s="7"/>
      <c r="F37" s="776"/>
      <c r="G37" s="776"/>
      <c r="H37" s="11" t="e">
        <f>'Mark-Expect'!#REF!</f>
        <v>#REF!</v>
      </c>
      <c r="I37" s="257"/>
      <c r="J37" s="776"/>
      <c r="K37" s="776"/>
      <c r="L37" s="776"/>
      <c r="M37" s="776"/>
      <c r="N37" s="11"/>
      <c r="O37" s="11" t="e">
        <f>#REF!</f>
        <v>#REF!</v>
      </c>
      <c r="P37" s="11" t="e">
        <f>#REF!</f>
        <v>#REF!</v>
      </c>
      <c r="Q37" s="11" t="e">
        <f>#REF!</f>
        <v>#REF!</v>
      </c>
      <c r="R37" s="11" t="e">
        <f>#REF!</f>
        <v>#REF!</v>
      </c>
      <c r="S37" s="11" t="e">
        <f>#REF!</f>
        <v>#REF!</v>
      </c>
      <c r="T37" s="11" t="e">
        <f>#REF!</f>
        <v>#REF!</v>
      </c>
      <c r="U37" s="33"/>
      <c r="V37" s="11"/>
      <c r="W37" s="11"/>
    </row>
    <row r="38" spans="1:23" s="274" customFormat="1">
      <c r="A38" s="776"/>
      <c r="B38" s="65"/>
      <c r="C38" s="776"/>
      <c r="D38" s="776"/>
      <c r="E38" s="7"/>
      <c r="F38" s="776"/>
      <c r="G38" s="776"/>
      <c r="H38" s="11"/>
      <c r="I38" s="257"/>
      <c r="J38" s="776"/>
      <c r="K38" s="776"/>
      <c r="L38" s="776"/>
      <c r="M38" s="776"/>
      <c r="N38" s="11"/>
      <c r="O38" s="11"/>
      <c r="P38" s="11"/>
      <c r="Q38" s="11"/>
      <c r="R38" s="11"/>
      <c r="S38" s="11"/>
      <c r="T38" s="11"/>
      <c r="U38" s="33"/>
      <c r="V38" s="11"/>
      <c r="W38" s="11"/>
    </row>
    <row r="39" spans="1:23" s="77" customFormat="1">
      <c r="A39" s="776"/>
      <c r="B39" s="65" t="s">
        <v>719</v>
      </c>
      <c r="C39" s="776"/>
      <c r="D39" s="776"/>
      <c r="E39" s="7"/>
      <c r="F39" s="776"/>
      <c r="G39" s="776"/>
      <c r="H39" s="75" t="e">
        <f t="shared" ref="H39" si="17">H36/H35</f>
        <v>#REF!</v>
      </c>
      <c r="I39" s="271"/>
      <c r="J39" s="776"/>
      <c r="K39" s="776"/>
      <c r="L39" s="776"/>
      <c r="M39" s="776"/>
      <c r="N39" s="75"/>
      <c r="O39" s="75" t="e">
        <f t="shared" ref="O39:T39" si="18">O36/O35</f>
        <v>#REF!</v>
      </c>
      <c r="P39" s="75" t="e">
        <f t="shared" si="18"/>
        <v>#REF!</v>
      </c>
      <c r="Q39" s="75" t="e">
        <f t="shared" si="18"/>
        <v>#REF!</v>
      </c>
      <c r="R39" s="75" t="e">
        <f t="shared" si="18"/>
        <v>#REF!</v>
      </c>
      <c r="S39" s="75" t="e">
        <f t="shared" si="18"/>
        <v>#REF!</v>
      </c>
      <c r="T39" s="75" t="e">
        <f t="shared" si="18"/>
        <v>#REF!</v>
      </c>
      <c r="U39" s="283"/>
      <c r="V39" s="11"/>
      <c r="W39" s="50"/>
    </row>
    <row r="40" spans="1:23">
      <c r="A40" s="776"/>
      <c r="B40" s="13"/>
      <c r="C40" s="776"/>
      <c r="E40" s="7"/>
      <c r="F40" s="776"/>
      <c r="G40" s="776"/>
      <c r="H40" s="11"/>
      <c r="I40" s="257"/>
      <c r="J40" s="776"/>
      <c r="K40" s="776"/>
      <c r="L40" s="776"/>
      <c r="M40" s="776"/>
      <c r="N40" s="11"/>
      <c r="O40" s="11"/>
      <c r="P40" s="11"/>
      <c r="Q40" s="11"/>
      <c r="R40" s="11"/>
      <c r="S40" s="11"/>
      <c r="T40" s="11"/>
      <c r="U40" s="33"/>
      <c r="V40" s="11"/>
      <c r="W40" s="50"/>
    </row>
    <row r="41" spans="1:23">
      <c r="A41" s="776"/>
      <c r="B41" s="13" t="s">
        <v>720</v>
      </c>
      <c r="C41" s="776"/>
      <c r="E41" s="178" t="s">
        <v>554</v>
      </c>
      <c r="F41" s="776"/>
      <c r="G41" s="33"/>
      <c r="H41" s="11" t="e">
        <f t="shared" ref="H41" si="19">H35/H4</f>
        <v>#DIV/0!</v>
      </c>
      <c r="I41" s="257"/>
      <c r="J41" s="776"/>
      <c r="K41" s="776"/>
      <c r="L41" s="776"/>
      <c r="M41" s="776"/>
      <c r="N41" s="11"/>
      <c r="O41" s="11"/>
      <c r="P41" s="11"/>
      <c r="Q41" s="11"/>
      <c r="R41" s="11"/>
      <c r="S41" s="83" t="e">
        <f t="shared" ref="S41:T41" si="20">S35/S4</f>
        <v>#REF!</v>
      </c>
      <c r="T41" s="83" t="e">
        <f t="shared" si="20"/>
        <v>#REF!</v>
      </c>
      <c r="U41" s="33"/>
      <c r="V41" s="11"/>
      <c r="W41" s="50"/>
    </row>
    <row r="42" spans="1:23">
      <c r="A42" s="776"/>
      <c r="B42" s="13" t="s">
        <v>721</v>
      </c>
      <c r="C42" s="776"/>
      <c r="E42" s="244" t="s">
        <v>631</v>
      </c>
      <c r="F42" s="776"/>
      <c r="G42" s="33"/>
      <c r="H42" s="11" t="e">
        <f t="shared" ref="H42" si="21">H35/H6*1000</f>
        <v>#REF!</v>
      </c>
      <c r="I42" s="257"/>
      <c r="J42" s="776"/>
      <c r="K42" s="776"/>
      <c r="L42" s="776"/>
      <c r="M42" s="776"/>
      <c r="N42" s="11"/>
      <c r="O42" s="11"/>
      <c r="P42" s="11"/>
      <c r="Q42" s="11"/>
      <c r="R42" s="11"/>
      <c r="S42" s="11"/>
      <c r="T42" s="11"/>
      <c r="U42" s="33"/>
      <c r="V42" s="11"/>
      <c r="W42" s="50"/>
    </row>
    <row r="43" spans="1:23">
      <c r="A43" s="776"/>
      <c r="B43" s="13"/>
      <c r="C43" s="776"/>
      <c r="E43" s="7"/>
      <c r="F43" s="776"/>
      <c r="G43" s="776"/>
      <c r="H43" s="11"/>
      <c r="I43" s="257"/>
      <c r="J43" s="776"/>
      <c r="K43" s="776"/>
      <c r="L43" s="776"/>
      <c r="M43" s="776"/>
      <c r="N43" s="11"/>
      <c r="O43" s="11"/>
      <c r="P43" s="11"/>
      <c r="Q43" s="11"/>
      <c r="R43" s="11"/>
      <c r="S43" s="11"/>
      <c r="T43" s="11"/>
      <c r="U43" s="33"/>
      <c r="V43" s="11"/>
      <c r="W43" s="50"/>
    </row>
    <row r="44" spans="1:23" s="77" customFormat="1">
      <c r="A44" s="776"/>
      <c r="B44" s="13" t="s">
        <v>722</v>
      </c>
      <c r="C44" s="776"/>
      <c r="D44" s="776"/>
      <c r="E44" s="60"/>
      <c r="F44" s="776"/>
      <c r="G44" s="3"/>
      <c r="H44" s="83" t="e">
        <f t="shared" ref="H44" si="22">H10/H35</f>
        <v>#DIV/0!</v>
      </c>
      <c r="I44" s="272"/>
      <c r="J44" s="776"/>
      <c r="K44" s="776"/>
      <c r="L44" s="776"/>
      <c r="M44" s="776"/>
      <c r="N44" s="83"/>
      <c r="O44" s="83" t="e">
        <f t="shared" ref="O44:T44" si="23">O10/O35</f>
        <v>#REF!</v>
      </c>
      <c r="P44" s="83" t="e">
        <f t="shared" si="23"/>
        <v>#REF!</v>
      </c>
      <c r="Q44" s="83" t="e">
        <f t="shared" si="23"/>
        <v>#REF!</v>
      </c>
      <c r="R44" s="83" t="e">
        <f t="shared" si="23"/>
        <v>#REF!</v>
      </c>
      <c r="S44" s="83" t="e">
        <f t="shared" si="23"/>
        <v>#REF!</v>
      </c>
      <c r="T44" s="83" t="e">
        <f t="shared" si="23"/>
        <v>#REF!</v>
      </c>
      <c r="U44" s="284"/>
      <c r="V44" s="11"/>
      <c r="W44" s="50"/>
    </row>
    <row r="45" spans="1:23">
      <c r="A45" s="776"/>
      <c r="B45" s="13"/>
      <c r="C45" s="776"/>
      <c r="E45" s="7"/>
      <c r="F45" s="776"/>
      <c r="G45" s="776"/>
      <c r="H45" s="776"/>
      <c r="I45" s="260"/>
      <c r="J45" s="776"/>
      <c r="K45" s="776"/>
      <c r="L45" s="776"/>
      <c r="M45" s="776"/>
      <c r="N45" s="776"/>
      <c r="O45" s="776"/>
      <c r="P45" s="776"/>
      <c r="Q45" s="776"/>
      <c r="R45" s="776"/>
      <c r="S45" s="776"/>
      <c r="T45" s="776"/>
      <c r="U45" s="33"/>
      <c r="V45" s="11"/>
      <c r="W45" s="50"/>
    </row>
    <row r="46" spans="1:23" ht="13.5" thickBot="1">
      <c r="A46" s="776">
        <v>8</v>
      </c>
      <c r="B46" s="172" t="s">
        <v>635</v>
      </c>
      <c r="C46" s="776"/>
      <c r="E46" s="178" t="s">
        <v>554</v>
      </c>
      <c r="F46" s="776"/>
      <c r="G46" s="33"/>
      <c r="H46" s="11">
        <f>H48-H47</f>
        <v>0</v>
      </c>
      <c r="I46" s="257"/>
      <c r="J46" s="776"/>
      <c r="K46" s="776"/>
      <c r="L46" s="776"/>
      <c r="M46" s="776"/>
      <c r="N46" s="11"/>
      <c r="O46" s="11" t="e">
        <f>#REF!</f>
        <v>#REF!</v>
      </c>
      <c r="P46" s="11" t="e">
        <f>#REF!</f>
        <v>#REF!</v>
      </c>
      <c r="Q46" s="11" t="e">
        <f>#REF!</f>
        <v>#REF!</v>
      </c>
      <c r="R46" s="11" t="e">
        <f>#REF!</f>
        <v>#REF!</v>
      </c>
      <c r="S46" s="11" t="e">
        <f>#REF!</f>
        <v>#REF!</v>
      </c>
      <c r="T46" s="11" t="e">
        <f>#REF!</f>
        <v>#REF!</v>
      </c>
      <c r="U46" s="33"/>
      <c r="V46" s="11"/>
      <c r="W46" s="50"/>
    </row>
    <row r="47" spans="1:23">
      <c r="A47" s="776"/>
      <c r="B47" s="13" t="s">
        <v>716</v>
      </c>
      <c r="C47" s="776"/>
      <c r="E47" s="7"/>
      <c r="F47" s="776"/>
      <c r="G47" s="776"/>
      <c r="H47" s="12">
        <f t="shared" ref="H47" si="24">H35</f>
        <v>0</v>
      </c>
      <c r="I47" s="258"/>
      <c r="J47" s="776"/>
      <c r="K47" s="776"/>
      <c r="L47" s="776"/>
      <c r="M47" s="776"/>
      <c r="N47" s="12"/>
      <c r="O47" s="12" t="e">
        <f t="shared" ref="O47:T47" si="25">O35</f>
        <v>#REF!</v>
      </c>
      <c r="P47" s="12" t="e">
        <f t="shared" si="25"/>
        <v>#REF!</v>
      </c>
      <c r="Q47" s="12" t="e">
        <f t="shared" si="25"/>
        <v>#REF!</v>
      </c>
      <c r="R47" s="12" t="e">
        <f t="shared" si="25"/>
        <v>#REF!</v>
      </c>
      <c r="S47" s="12" t="e">
        <f t="shared" si="25"/>
        <v>#REF!</v>
      </c>
      <c r="T47" s="12" t="e">
        <f t="shared" si="25"/>
        <v>#REF!</v>
      </c>
      <c r="U47" s="33"/>
      <c r="V47" s="11"/>
      <c r="W47" s="50"/>
    </row>
    <row r="48" spans="1:23" s="77" customFormat="1">
      <c r="A48" s="776"/>
      <c r="B48" s="13" t="s">
        <v>723</v>
      </c>
      <c r="C48" s="776"/>
      <c r="D48" s="776"/>
      <c r="E48" s="7"/>
      <c r="F48" s="776"/>
      <c r="G48" s="776"/>
      <c r="H48" s="11">
        <f>'Mark-Expect'!H15</f>
        <v>0</v>
      </c>
      <c r="I48" s="257"/>
      <c r="J48" s="776"/>
      <c r="K48" s="776"/>
      <c r="L48" s="776"/>
      <c r="M48" s="776"/>
      <c r="N48" s="11"/>
      <c r="O48" s="11" t="e">
        <f t="shared" ref="O48:T48" si="26">O46+O47</f>
        <v>#REF!</v>
      </c>
      <c r="P48" s="11" t="e">
        <f t="shared" si="26"/>
        <v>#REF!</v>
      </c>
      <c r="Q48" s="11" t="e">
        <f t="shared" si="26"/>
        <v>#REF!</v>
      </c>
      <c r="R48" s="11" t="e">
        <f t="shared" si="26"/>
        <v>#REF!</v>
      </c>
      <c r="S48" s="11" t="e">
        <f t="shared" si="26"/>
        <v>#REF!</v>
      </c>
      <c r="T48" s="11" t="e">
        <f t="shared" si="26"/>
        <v>#REF!</v>
      </c>
      <c r="U48" s="33"/>
      <c r="V48" s="11"/>
      <c r="W48" s="50"/>
    </row>
    <row r="49" spans="1:23">
      <c r="A49" s="776"/>
      <c r="B49" s="13"/>
      <c r="C49" s="776"/>
      <c r="E49" s="7"/>
      <c r="F49" s="776"/>
      <c r="G49" s="776"/>
      <c r="H49" s="11"/>
      <c r="I49" s="257"/>
      <c r="J49" s="776"/>
      <c r="K49" s="776"/>
      <c r="L49" s="776"/>
      <c r="M49" s="776"/>
      <c r="N49" s="11"/>
      <c r="O49" s="11"/>
      <c r="P49" s="11"/>
      <c r="Q49" s="11"/>
      <c r="R49" s="11"/>
      <c r="S49" s="11"/>
      <c r="T49" s="11"/>
      <c r="U49" s="33"/>
      <c r="V49" s="11"/>
      <c r="W49" s="50"/>
    </row>
    <row r="50" spans="1:23">
      <c r="A50" s="776"/>
      <c r="B50" s="13" t="s">
        <v>724</v>
      </c>
      <c r="C50" s="776"/>
      <c r="E50" s="178" t="s">
        <v>554</v>
      </c>
      <c r="F50" s="776"/>
      <c r="G50" s="33"/>
      <c r="H50" s="11" t="e">
        <f t="shared" ref="H50" si="27">H48/H4</f>
        <v>#DIV/0!</v>
      </c>
      <c r="I50" s="257"/>
      <c r="J50" s="776"/>
      <c r="K50" s="776"/>
      <c r="L50" s="776"/>
      <c r="M50" s="776"/>
      <c r="N50" s="11"/>
      <c r="O50" s="11"/>
      <c r="P50" s="11"/>
      <c r="Q50" s="11"/>
      <c r="R50" s="11"/>
      <c r="S50" s="83" t="e">
        <f t="shared" ref="S50:T50" si="28">S48/S4</f>
        <v>#REF!</v>
      </c>
      <c r="T50" s="83" t="e">
        <f t="shared" si="28"/>
        <v>#REF!</v>
      </c>
      <c r="U50" s="33"/>
      <c r="V50" s="11"/>
      <c r="W50" s="50"/>
    </row>
    <row r="51" spans="1:23">
      <c r="A51" s="776"/>
      <c r="B51" s="13" t="s">
        <v>725</v>
      </c>
      <c r="C51" s="776"/>
      <c r="E51" s="60" t="s">
        <v>631</v>
      </c>
      <c r="F51" s="776"/>
      <c r="G51" s="60"/>
      <c r="H51" s="11" t="e">
        <f t="shared" ref="H51" si="29">H48/H6*1000</f>
        <v>#REF!</v>
      </c>
      <c r="I51" s="257"/>
      <c r="J51" s="776"/>
      <c r="K51" s="776"/>
      <c r="L51" s="776"/>
      <c r="M51" s="776"/>
      <c r="N51" s="11"/>
      <c r="O51" s="11"/>
      <c r="P51" s="11"/>
      <c r="Q51" s="11"/>
      <c r="R51" s="11"/>
      <c r="S51" s="11"/>
      <c r="T51" s="11"/>
      <c r="U51" s="33"/>
      <c r="V51" s="11"/>
      <c r="W51" s="50"/>
    </row>
    <row r="52" spans="1:23">
      <c r="A52" s="776"/>
      <c r="B52" s="13"/>
      <c r="C52" s="776"/>
      <c r="E52" s="7"/>
      <c r="F52" s="776"/>
      <c r="G52" s="776"/>
      <c r="H52" s="11"/>
      <c r="I52" s="257"/>
      <c r="J52" s="776"/>
      <c r="K52" s="776"/>
      <c r="L52" s="776"/>
      <c r="M52" s="776"/>
      <c r="N52" s="11"/>
      <c r="O52" s="11"/>
      <c r="P52" s="11"/>
      <c r="Q52" s="11"/>
      <c r="R52" s="11"/>
      <c r="S52" s="11"/>
      <c r="T52" s="11"/>
      <c r="U52" s="33"/>
      <c r="V52" s="11"/>
      <c r="W52" s="50"/>
    </row>
    <row r="53" spans="1:23">
      <c r="A53" s="776"/>
      <c r="B53" s="37" t="s">
        <v>726</v>
      </c>
      <c r="C53" s="776"/>
      <c r="E53" s="178" t="s">
        <v>554</v>
      </c>
      <c r="F53" s="776"/>
      <c r="G53" s="33"/>
      <c r="H53" s="11" t="e">
        <f t="shared" ref="H53" si="30">H46/H4</f>
        <v>#DIV/0!</v>
      </c>
      <c r="I53" s="257"/>
      <c r="J53" s="776"/>
      <c r="K53" s="776"/>
      <c r="L53" s="776"/>
      <c r="M53" s="776"/>
      <c r="N53" s="11"/>
      <c r="O53" s="11"/>
      <c r="P53" s="11"/>
      <c r="Q53" s="11"/>
      <c r="R53" s="11"/>
      <c r="S53" s="83" t="e">
        <f t="shared" ref="S53:T53" si="31">S46/S4</f>
        <v>#REF!</v>
      </c>
      <c r="T53" s="83" t="e">
        <f t="shared" si="31"/>
        <v>#REF!</v>
      </c>
      <c r="U53" s="33"/>
      <c r="V53" s="11"/>
      <c r="W53" s="50"/>
    </row>
    <row r="54" spans="1:23">
      <c r="A54" s="776"/>
      <c r="B54" s="37" t="s">
        <v>727</v>
      </c>
      <c r="C54" s="776"/>
      <c r="E54" s="60" t="s">
        <v>631</v>
      </c>
      <c r="F54" s="776"/>
      <c r="G54" s="60"/>
      <c r="H54" s="11" t="e">
        <f t="shared" ref="H54" si="32">H46/H6*1000</f>
        <v>#REF!</v>
      </c>
      <c r="I54" s="257"/>
      <c r="J54" s="776"/>
      <c r="K54" s="776"/>
      <c r="L54" s="776"/>
      <c r="M54" s="776"/>
      <c r="N54" s="11"/>
      <c r="O54" s="11"/>
      <c r="P54" s="11"/>
      <c r="Q54" s="11"/>
      <c r="R54" s="11"/>
      <c r="S54" s="11"/>
      <c r="T54" s="11"/>
      <c r="U54" s="33"/>
      <c r="V54" s="11"/>
      <c r="W54" s="50"/>
    </row>
    <row r="55" spans="1:23" s="79" customFormat="1">
      <c r="A55" s="776"/>
      <c r="B55" s="13"/>
      <c r="C55" s="776"/>
      <c r="D55" s="776"/>
      <c r="E55" s="60"/>
      <c r="F55" s="776"/>
      <c r="G55" s="60"/>
      <c r="H55" s="11"/>
      <c r="I55" s="257"/>
      <c r="J55" s="776"/>
      <c r="K55" s="776"/>
      <c r="L55" s="776"/>
      <c r="M55" s="776"/>
      <c r="N55" s="11"/>
      <c r="O55" s="11"/>
      <c r="P55" s="11"/>
      <c r="Q55" s="11"/>
      <c r="R55" s="11"/>
      <c r="S55" s="11"/>
      <c r="T55" s="11"/>
      <c r="U55" s="33"/>
      <c r="V55" s="11"/>
      <c r="W55" s="50"/>
    </row>
    <row r="56" spans="1:23" s="79" customFormat="1">
      <c r="A56" s="776">
        <v>9</v>
      </c>
      <c r="B56" s="172" t="s">
        <v>728</v>
      </c>
      <c r="C56" s="776"/>
      <c r="D56" s="776"/>
      <c r="E56" s="60"/>
      <c r="F56" s="776"/>
      <c r="G56" s="3"/>
      <c r="H56" s="83" t="e">
        <f t="shared" ref="H56" si="33">H48/H47</f>
        <v>#DIV/0!</v>
      </c>
      <c r="I56" s="272"/>
      <c r="J56" s="776"/>
      <c r="K56" s="776"/>
      <c r="L56" s="776"/>
      <c r="M56" s="776"/>
      <c r="N56" s="83"/>
      <c r="O56" s="83" t="e">
        <f t="shared" ref="O56:T56" si="34">O48/O47</f>
        <v>#REF!</v>
      </c>
      <c r="P56" s="83" t="e">
        <f t="shared" si="34"/>
        <v>#REF!</v>
      </c>
      <c r="Q56" s="83" t="e">
        <f t="shared" si="34"/>
        <v>#REF!</v>
      </c>
      <c r="R56" s="83" t="e">
        <f t="shared" si="34"/>
        <v>#REF!</v>
      </c>
      <c r="S56" s="83" t="e">
        <f t="shared" si="34"/>
        <v>#REF!</v>
      </c>
      <c r="T56" s="83" t="e">
        <f t="shared" si="34"/>
        <v>#REF!</v>
      </c>
      <c r="U56" s="284"/>
      <c r="V56" s="80"/>
      <c r="W56" s="9"/>
    </row>
    <row r="57" spans="1:23">
      <c r="A57" s="776"/>
      <c r="B57" s="13"/>
      <c r="C57" s="776"/>
      <c r="E57" s="7"/>
      <c r="F57" s="776"/>
      <c r="G57" s="776"/>
      <c r="H57" s="11"/>
      <c r="I57" s="257"/>
      <c r="J57" s="776"/>
      <c r="K57" s="776"/>
      <c r="L57" s="776"/>
      <c r="M57" s="776"/>
      <c r="N57" s="11"/>
      <c r="O57" s="11"/>
      <c r="P57" s="11"/>
      <c r="Q57" s="11"/>
      <c r="R57" s="11"/>
      <c r="S57" s="11"/>
      <c r="T57" s="11"/>
      <c r="U57" s="33"/>
      <c r="V57" s="80"/>
      <c r="W57" s="9"/>
    </row>
    <row r="58" spans="1:23">
      <c r="A58" s="776">
        <v>10</v>
      </c>
      <c r="B58" s="172" t="s">
        <v>607</v>
      </c>
      <c r="C58" s="776"/>
      <c r="E58" s="178" t="s">
        <v>554</v>
      </c>
      <c r="F58" s="776"/>
      <c r="G58" s="33"/>
      <c r="H58" s="11"/>
      <c r="I58" s="257"/>
      <c r="J58" s="776"/>
      <c r="K58" s="776"/>
      <c r="L58" s="776"/>
      <c r="M58" s="776"/>
      <c r="N58" s="11"/>
      <c r="O58" s="11" t="e">
        <f>#REF!</f>
        <v>#REF!</v>
      </c>
      <c r="P58" s="11" t="e">
        <f>#REF!</f>
        <v>#REF!</v>
      </c>
      <c r="Q58" s="11" t="e">
        <f>#REF!</f>
        <v>#REF!</v>
      </c>
      <c r="R58" s="11" t="e">
        <f>#REF!</f>
        <v>#REF!</v>
      </c>
      <c r="S58" s="11" t="e">
        <f>#REF!</f>
        <v>#REF!</v>
      </c>
      <c r="T58" s="11" t="e">
        <f>#REF!</f>
        <v>#REF!</v>
      </c>
      <c r="U58" s="33"/>
      <c r="V58" s="80"/>
      <c r="W58" s="9"/>
    </row>
    <row r="59" spans="1:23">
      <c r="A59" s="776"/>
      <c r="B59" s="13" t="s">
        <v>729</v>
      </c>
      <c r="C59" s="776"/>
      <c r="E59" s="178" t="s">
        <v>554</v>
      </c>
      <c r="F59" s="776"/>
      <c r="G59" s="33"/>
      <c r="H59" s="11"/>
      <c r="I59" s="257"/>
      <c r="J59" s="776"/>
      <c r="K59" s="776"/>
      <c r="L59" s="776"/>
      <c r="M59" s="776"/>
      <c r="N59" s="11"/>
      <c r="O59" s="11" t="e">
        <f t="shared" ref="O59:T59" si="35">O58-N58</f>
        <v>#REF!</v>
      </c>
      <c r="P59" s="11" t="e">
        <f t="shared" si="35"/>
        <v>#REF!</v>
      </c>
      <c r="Q59" s="11" t="e">
        <f t="shared" si="35"/>
        <v>#REF!</v>
      </c>
      <c r="R59" s="11" t="e">
        <f t="shared" si="35"/>
        <v>#REF!</v>
      </c>
      <c r="S59" s="11" t="e">
        <f t="shared" si="35"/>
        <v>#REF!</v>
      </c>
      <c r="T59" s="11" t="e">
        <f t="shared" si="35"/>
        <v>#REF!</v>
      </c>
      <c r="U59" s="33"/>
      <c r="V59" s="80"/>
      <c r="W59" s="9"/>
    </row>
    <row r="60" spans="1:23" s="79" customFormat="1">
      <c r="A60" s="776"/>
      <c r="B60" s="13"/>
      <c r="C60" s="776"/>
      <c r="D60" s="776"/>
      <c r="E60" s="178"/>
      <c r="F60" s="776"/>
      <c r="G60" s="776"/>
      <c r="H60" s="11"/>
      <c r="I60" s="257"/>
      <c r="J60" s="776"/>
      <c r="K60" s="776"/>
      <c r="L60" s="776"/>
      <c r="M60" s="776"/>
      <c r="N60" s="11"/>
      <c r="O60" s="11"/>
      <c r="P60" s="11"/>
      <c r="Q60" s="11"/>
      <c r="R60" s="11"/>
      <c r="S60" s="11"/>
      <c r="T60" s="11"/>
      <c r="U60" s="33"/>
      <c r="V60" s="80"/>
      <c r="W60" s="776"/>
    </row>
    <row r="61" spans="1:23" s="79" customFormat="1">
      <c r="A61" s="776">
        <v>11</v>
      </c>
      <c r="B61" s="172" t="s">
        <v>730</v>
      </c>
      <c r="C61" s="776"/>
      <c r="D61" s="776"/>
      <c r="E61" s="178" t="s">
        <v>554</v>
      </c>
      <c r="F61" s="776"/>
      <c r="G61" s="33"/>
      <c r="H61" s="11"/>
      <c r="I61" s="257"/>
      <c r="J61" s="776"/>
      <c r="K61" s="776"/>
      <c r="L61" s="776"/>
      <c r="M61" s="776"/>
      <c r="N61" s="11"/>
      <c r="O61" s="11" t="e">
        <f>#REF!</f>
        <v>#REF!</v>
      </c>
      <c r="P61" s="11" t="e">
        <f>#REF!</f>
        <v>#REF!</v>
      </c>
      <c r="Q61" s="11" t="e">
        <f>#REF!</f>
        <v>#REF!</v>
      </c>
      <c r="R61" s="11" t="e">
        <f>#REF!</f>
        <v>#REF!</v>
      </c>
      <c r="S61" s="11" t="e">
        <f>#REF!</f>
        <v>#REF!</v>
      </c>
      <c r="T61" s="11" t="e">
        <f>#REF!</f>
        <v>#REF!</v>
      </c>
      <c r="U61" s="33"/>
      <c r="V61" s="80"/>
      <c r="W61" s="776"/>
    </row>
    <row r="62" spans="1:23" s="274" customFormat="1">
      <c r="A62" s="776"/>
      <c r="B62" s="172"/>
      <c r="C62" s="776"/>
      <c r="D62" s="776"/>
      <c r="E62" s="244"/>
      <c r="F62" s="776"/>
      <c r="G62" s="33"/>
      <c r="H62" s="11"/>
      <c r="I62" s="257"/>
      <c r="J62" s="776"/>
      <c r="K62" s="776"/>
      <c r="L62" s="776"/>
      <c r="M62" s="776"/>
      <c r="N62" s="11"/>
      <c r="O62" s="11"/>
      <c r="P62" s="11"/>
      <c r="Q62" s="11"/>
      <c r="R62" s="11"/>
      <c r="S62" s="11"/>
      <c r="T62" s="11"/>
      <c r="U62" s="33"/>
      <c r="V62" s="80"/>
      <c r="W62" s="776"/>
    </row>
    <row r="63" spans="1:23" s="66" customFormat="1">
      <c r="A63" s="776"/>
      <c r="B63" s="172" t="s">
        <v>731</v>
      </c>
      <c r="C63" s="776"/>
      <c r="D63" s="776"/>
      <c r="E63" s="7"/>
      <c r="F63" s="776"/>
      <c r="G63" s="776"/>
      <c r="H63" s="28"/>
      <c r="I63" s="270"/>
      <c r="J63" s="776"/>
      <c r="K63" s="776"/>
      <c r="L63" s="776"/>
      <c r="M63" s="776"/>
      <c r="N63" s="28"/>
      <c r="O63" s="28" t="e">
        <f t="shared" ref="O63:T63" si="36">O58/O61</f>
        <v>#REF!</v>
      </c>
      <c r="P63" s="28" t="e">
        <f t="shared" si="36"/>
        <v>#REF!</v>
      </c>
      <c r="Q63" s="28" t="e">
        <f t="shared" si="36"/>
        <v>#REF!</v>
      </c>
      <c r="R63" s="28" t="e">
        <f t="shared" si="36"/>
        <v>#REF!</v>
      </c>
      <c r="S63" s="28" t="e">
        <f t="shared" si="36"/>
        <v>#REF!</v>
      </c>
      <c r="T63" s="28" t="e">
        <f t="shared" si="36"/>
        <v>#REF!</v>
      </c>
      <c r="U63" s="282"/>
      <c r="V63" s="80"/>
      <c r="W63" s="776"/>
    </row>
    <row r="64" spans="1:23">
      <c r="A64" s="776"/>
      <c r="B64" s="172" t="s">
        <v>632</v>
      </c>
      <c r="C64" s="776"/>
      <c r="E64" s="7"/>
      <c r="F64" s="776"/>
      <c r="G64" s="776"/>
      <c r="H64" s="76"/>
      <c r="I64" s="273"/>
      <c r="J64" s="776"/>
      <c r="K64" s="776"/>
      <c r="L64" s="776"/>
      <c r="M64" s="776"/>
      <c r="N64" s="76"/>
      <c r="O64" s="76" t="e">
        <f>#REF!</f>
        <v>#REF!</v>
      </c>
      <c r="P64" s="76" t="e">
        <f>#REF!</f>
        <v>#REF!</v>
      </c>
      <c r="Q64" s="76" t="e">
        <f>#REF!</f>
        <v>#REF!</v>
      </c>
      <c r="R64" s="76" t="e">
        <f>#REF!</f>
        <v>#REF!</v>
      </c>
      <c r="S64" s="76" t="e">
        <f>#REF!</f>
        <v>#REF!</v>
      </c>
      <c r="T64" s="76" t="e">
        <f>#REF!</f>
        <v>#REF!</v>
      </c>
      <c r="U64" s="282"/>
      <c r="V64" s="11"/>
      <c r="W64" s="11"/>
    </row>
    <row r="65" spans="1:23">
      <c r="A65" s="776"/>
      <c r="B65" s="172" t="s">
        <v>732</v>
      </c>
      <c r="C65" s="776"/>
      <c r="E65" s="7"/>
      <c r="F65" s="776"/>
      <c r="G65" s="776"/>
      <c r="H65" s="28"/>
      <c r="I65" s="270"/>
      <c r="J65" s="776"/>
      <c r="K65" s="776"/>
      <c r="L65" s="776"/>
      <c r="M65" s="776"/>
      <c r="N65" s="28"/>
      <c r="O65" s="28" t="e">
        <f t="shared" ref="O65:T65" si="37">O63-O64</f>
        <v>#REF!</v>
      </c>
      <c r="P65" s="28" t="e">
        <f t="shared" si="37"/>
        <v>#REF!</v>
      </c>
      <c r="Q65" s="28" t="e">
        <f t="shared" si="37"/>
        <v>#REF!</v>
      </c>
      <c r="R65" s="28" t="e">
        <f t="shared" si="37"/>
        <v>#REF!</v>
      </c>
      <c r="S65" s="28" t="e">
        <f t="shared" si="37"/>
        <v>#REF!</v>
      </c>
      <c r="T65" s="28" t="e">
        <f t="shared" si="37"/>
        <v>#REF!</v>
      </c>
      <c r="U65" s="282"/>
      <c r="V65" s="11"/>
      <c r="W65" s="28"/>
    </row>
    <row r="66" spans="1:23" s="592" customFormat="1">
      <c r="A66" s="776"/>
      <c r="B66" s="172"/>
      <c r="C66" s="776"/>
      <c r="D66" s="776"/>
      <c r="E66" s="7"/>
      <c r="F66" s="776"/>
      <c r="G66" s="776"/>
      <c r="H66" s="28"/>
      <c r="I66" s="270"/>
      <c r="J66" s="776"/>
      <c r="K66" s="776"/>
      <c r="L66" s="776"/>
      <c r="M66" s="776"/>
      <c r="N66" s="28"/>
      <c r="O66" s="28"/>
      <c r="P66" s="28"/>
      <c r="Q66" s="28"/>
      <c r="R66" s="28"/>
      <c r="S66" s="28"/>
      <c r="T66" s="28"/>
      <c r="U66" s="282"/>
      <c r="V66" s="11"/>
      <c r="W66" s="28"/>
    </row>
    <row r="67" spans="1:23" s="592" customFormat="1">
      <c r="A67" s="776"/>
      <c r="B67" s="172" t="s">
        <v>733</v>
      </c>
      <c r="C67" s="776"/>
      <c r="D67" s="776"/>
      <c r="E67" s="7"/>
      <c r="F67" s="776"/>
      <c r="G67" s="776"/>
      <c r="H67" s="28"/>
      <c r="I67" s="270"/>
      <c r="J67" s="776"/>
      <c r="K67" s="776"/>
      <c r="L67" s="776"/>
      <c r="M67" s="776"/>
      <c r="N67" s="28"/>
      <c r="O67" s="436" t="e">
        <f>O63/O64</f>
        <v>#REF!</v>
      </c>
      <c r="P67" s="436" t="e">
        <f t="shared" ref="P67:T67" si="38">P63/P64</f>
        <v>#REF!</v>
      </c>
      <c r="Q67" s="436" t="e">
        <f t="shared" si="38"/>
        <v>#REF!</v>
      </c>
      <c r="R67" s="436" t="e">
        <f t="shared" si="38"/>
        <v>#REF!</v>
      </c>
      <c r="S67" s="436" t="e">
        <f t="shared" si="38"/>
        <v>#REF!</v>
      </c>
      <c r="T67" s="436" t="e">
        <f t="shared" si="38"/>
        <v>#REF!</v>
      </c>
      <c r="U67" s="282"/>
      <c r="V67" s="11"/>
      <c r="W67" s="28"/>
    </row>
    <row r="68" spans="1:23" s="117" customFormat="1">
      <c r="A68" s="776"/>
      <c r="B68" s="13"/>
      <c r="C68" s="776"/>
      <c r="D68" s="776"/>
      <c r="E68" s="7"/>
      <c r="F68" s="776"/>
      <c r="G68" s="776"/>
      <c r="H68" s="28"/>
      <c r="I68" s="270"/>
      <c r="J68" s="776"/>
      <c r="K68" s="776"/>
      <c r="L68" s="776"/>
      <c r="M68" s="776"/>
      <c r="N68" s="28"/>
      <c r="O68" s="28"/>
      <c r="P68" s="28"/>
      <c r="Q68" s="28"/>
      <c r="R68" s="28"/>
      <c r="S68" s="28"/>
      <c r="T68" s="28"/>
      <c r="U68" s="33"/>
      <c r="V68" s="11"/>
      <c r="W68" s="11"/>
    </row>
    <row r="69" spans="1:23" s="117" customFormat="1">
      <c r="A69" s="776">
        <v>12</v>
      </c>
      <c r="B69" s="172" t="s">
        <v>734</v>
      </c>
      <c r="C69" s="776"/>
      <c r="D69" s="776"/>
      <c r="E69" s="178" t="s">
        <v>554</v>
      </c>
      <c r="F69" s="776"/>
      <c r="G69" s="33"/>
      <c r="H69" s="11"/>
      <c r="I69" s="257"/>
      <c r="J69" s="776"/>
      <c r="K69" s="776"/>
      <c r="L69" s="776"/>
      <c r="M69" s="776"/>
      <c r="N69" s="11"/>
      <c r="O69" s="11" t="e">
        <f>O47-N47</f>
        <v>#REF!</v>
      </c>
      <c r="P69" s="11" t="e">
        <f t="shared" ref="P69" si="39">P47-O47</f>
        <v>#REF!</v>
      </c>
      <c r="Q69" s="11" t="e">
        <f t="shared" ref="Q69" si="40">Q47-P47</f>
        <v>#REF!</v>
      </c>
      <c r="R69" s="11" t="e">
        <f t="shared" ref="R69" si="41">R47-Q47</f>
        <v>#REF!</v>
      </c>
      <c r="S69" s="11" t="e">
        <f t="shared" ref="S69" si="42">S47-R47</f>
        <v>#REF!</v>
      </c>
      <c r="T69" s="11" t="e">
        <f t="shared" ref="T69" si="43">T47-S47</f>
        <v>#REF!</v>
      </c>
      <c r="U69" s="33"/>
      <c r="V69" s="11"/>
      <c r="W69" s="11"/>
    </row>
    <row r="70" spans="1:23" s="117" customFormat="1">
      <c r="A70" s="776"/>
      <c r="B70" s="13" t="s">
        <v>735</v>
      </c>
      <c r="C70" s="776"/>
      <c r="D70" s="776"/>
      <c r="E70" s="244"/>
      <c r="F70" s="776"/>
      <c r="G70" s="33"/>
      <c r="H70" s="11"/>
      <c r="I70" s="257"/>
      <c r="J70" s="776"/>
      <c r="K70" s="776"/>
      <c r="L70" s="776"/>
      <c r="M70" s="776"/>
      <c r="N70" s="11"/>
      <c r="O70" s="11"/>
      <c r="P70" s="11"/>
      <c r="Q70" s="11"/>
      <c r="R70" s="11"/>
      <c r="S70" s="11" t="e">
        <f>S69/S4</f>
        <v>#REF!</v>
      </c>
      <c r="T70" s="11" t="e">
        <f>T69/T4</f>
        <v>#REF!</v>
      </c>
      <c r="U70" s="33"/>
      <c r="V70" s="11"/>
      <c r="W70" s="11"/>
    </row>
    <row r="71" spans="1:23" s="280" customFormat="1">
      <c r="A71" s="776"/>
      <c r="B71" s="13"/>
      <c r="C71" s="776"/>
      <c r="D71" s="776"/>
      <c r="E71" s="244"/>
      <c r="F71" s="776"/>
      <c r="G71" s="33"/>
      <c r="H71" s="11"/>
      <c r="I71" s="257"/>
      <c r="J71" s="776"/>
      <c r="K71" s="776"/>
      <c r="L71" s="776"/>
      <c r="M71" s="776"/>
      <c r="N71" s="11"/>
      <c r="O71" s="11"/>
      <c r="P71" s="11"/>
      <c r="Q71" s="11"/>
      <c r="R71" s="11"/>
      <c r="S71" s="11"/>
      <c r="T71" s="11"/>
      <c r="U71" s="33"/>
      <c r="V71" s="11"/>
      <c r="W71" s="11"/>
    </row>
    <row r="72" spans="1:23" s="280" customFormat="1">
      <c r="A72" s="776">
        <v>13</v>
      </c>
      <c r="B72" s="172" t="s">
        <v>659</v>
      </c>
      <c r="C72" s="776"/>
      <c r="D72" s="776"/>
      <c r="E72" s="244"/>
      <c r="F72" s="776"/>
      <c r="G72" s="33"/>
      <c r="H72" s="11"/>
      <c r="I72" s="257"/>
      <c r="J72" s="776"/>
      <c r="K72" s="776"/>
      <c r="L72" s="776"/>
      <c r="M72" s="776"/>
      <c r="N72" s="11"/>
      <c r="O72" s="11" t="e">
        <f>#REF!</f>
        <v>#REF!</v>
      </c>
      <c r="P72" s="11" t="e">
        <f>#REF!</f>
        <v>#REF!</v>
      </c>
      <c r="Q72" s="11" t="e">
        <f>#REF!</f>
        <v>#REF!</v>
      </c>
      <c r="R72" s="11" t="e">
        <f>#REF!</f>
        <v>#REF!</v>
      </c>
      <c r="S72" s="11" t="e">
        <f>#REF!</f>
        <v>#REF!</v>
      </c>
      <c r="T72" s="11" t="e">
        <f>#REF!</f>
        <v>#REF!</v>
      </c>
      <c r="U72" s="33"/>
      <c r="V72" s="11"/>
      <c r="W72" s="11"/>
    </row>
    <row r="73" spans="1:23" s="117" customFormat="1">
      <c r="A73" s="4"/>
      <c r="B73" s="22"/>
      <c r="C73" s="4"/>
      <c r="D73" s="4"/>
      <c r="E73" s="245"/>
      <c r="F73" s="776"/>
      <c r="G73" s="12"/>
      <c r="H73" s="12"/>
      <c r="I73" s="258"/>
      <c r="J73" s="776"/>
      <c r="K73" s="776"/>
      <c r="L73" s="776"/>
      <c r="M73" s="776"/>
      <c r="N73" s="12"/>
      <c r="O73" s="12"/>
      <c r="P73" s="12"/>
      <c r="Q73" s="12"/>
      <c r="R73" s="12"/>
      <c r="S73" s="12"/>
      <c r="T73" s="12"/>
      <c r="U73" s="146"/>
      <c r="V73" s="12"/>
      <c r="W73" s="11"/>
    </row>
    <row r="74" spans="1:23" s="117" customFormat="1">
      <c r="A74" s="776"/>
      <c r="B74" s="13"/>
      <c r="C74" s="776"/>
      <c r="D74" s="776"/>
      <c r="E74" s="776"/>
      <c r="F74" s="776"/>
      <c r="G74" s="776"/>
      <c r="H74" s="776"/>
      <c r="I74" s="776"/>
      <c r="J74" s="776"/>
      <c r="K74" s="776"/>
      <c r="L74" s="776"/>
      <c r="M74" s="776"/>
      <c r="N74" s="776"/>
      <c r="O74" s="776"/>
      <c r="P74" s="776"/>
      <c r="Q74" s="776"/>
      <c r="R74" s="776"/>
      <c r="S74" s="776"/>
      <c r="T74" s="776"/>
      <c r="U74" s="776"/>
      <c r="V74" s="776"/>
      <c r="W74" s="11"/>
    </row>
    <row r="75" spans="1:23" s="117" customFormat="1">
      <c r="A75" s="776"/>
      <c r="B75" s="1" t="s">
        <v>736</v>
      </c>
      <c r="C75" s="776"/>
      <c r="D75" s="776"/>
      <c r="E75" s="776"/>
      <c r="F75" s="776"/>
      <c r="G75" s="776"/>
      <c r="H75" s="776"/>
      <c r="I75" s="17"/>
      <c r="J75" s="776"/>
      <c r="K75" s="776"/>
      <c r="L75" s="776"/>
      <c r="M75" s="776"/>
      <c r="N75" s="17"/>
      <c r="O75" s="17"/>
      <c r="P75" s="17"/>
      <c r="Q75" s="17"/>
      <c r="R75" s="17"/>
      <c r="S75" s="17"/>
      <c r="T75" s="17"/>
      <c r="U75" s="776"/>
      <c r="V75" s="776"/>
      <c r="W75" s="11"/>
    </row>
    <row r="76" spans="1:23" s="117" customFormat="1">
      <c r="A76" s="776"/>
      <c r="B76" s="13" t="s">
        <v>704</v>
      </c>
      <c r="C76" s="776"/>
      <c r="D76" s="776"/>
      <c r="E76" s="178" t="s">
        <v>554</v>
      </c>
      <c r="F76" s="776"/>
      <c r="G76" s="776"/>
      <c r="H76" s="776"/>
      <c r="I76" s="304"/>
      <c r="J76" s="776"/>
      <c r="K76" s="776"/>
      <c r="L76" s="776"/>
      <c r="M76" s="776"/>
      <c r="N76" s="304"/>
      <c r="O76" s="304">
        <f>'2_Inc-Stat'!O7</f>
        <v>5511</v>
      </c>
      <c r="P76" s="304">
        <f>'2_Inc-Stat'!P7</f>
        <v>6595</v>
      </c>
      <c r="Q76" s="304">
        <f>'2_Inc-Stat'!Q7</f>
        <v>16463</v>
      </c>
      <c r="R76" s="304">
        <f>'2_Inc-Stat'!R7</f>
        <v>22284</v>
      </c>
      <c r="S76" s="304">
        <f>'2_Inc-Stat'!S7</f>
        <v>11100</v>
      </c>
      <c r="T76" s="304">
        <f>'2_Inc-Stat'!T7</f>
        <v>13300</v>
      </c>
      <c r="U76" s="304"/>
      <c r="V76" s="776"/>
      <c r="W76" s="11"/>
    </row>
    <row r="77" spans="1:23" s="280" customFormat="1">
      <c r="A77" s="776"/>
      <c r="B77" s="13"/>
      <c r="C77" s="776"/>
      <c r="D77" s="776"/>
      <c r="E77" s="776"/>
      <c r="F77" s="776"/>
      <c r="G77" s="776"/>
      <c r="H77" s="776"/>
      <c r="I77" s="303"/>
      <c r="J77" s="776"/>
      <c r="K77" s="776"/>
      <c r="L77" s="776"/>
      <c r="M77" s="776"/>
      <c r="N77" s="303"/>
      <c r="O77" s="303"/>
      <c r="P77" s="303"/>
      <c r="Q77" s="303"/>
      <c r="R77" s="303"/>
      <c r="S77" s="303"/>
      <c r="T77" s="303"/>
      <c r="U77" s="776"/>
      <c r="V77" s="776"/>
      <c r="W77" s="11"/>
    </row>
    <row r="78" spans="1:23">
      <c r="A78" s="776"/>
      <c r="B78" s="80" t="s">
        <v>737</v>
      </c>
      <c r="C78" s="776"/>
      <c r="E78" s="776"/>
      <c r="F78" s="776"/>
      <c r="G78" s="776"/>
      <c r="H78" s="776"/>
      <c r="I78" s="5"/>
      <c r="J78" s="776"/>
      <c r="K78" s="776"/>
      <c r="L78" s="776"/>
      <c r="M78" s="776"/>
      <c r="N78" s="5"/>
      <c r="O78" s="5"/>
      <c r="P78" s="5"/>
      <c r="Q78" s="5"/>
      <c r="R78" s="5"/>
      <c r="S78" s="5"/>
      <c r="T78" s="5"/>
      <c r="U78" s="5"/>
      <c r="V78" s="776"/>
      <c r="W78" s="11"/>
    </row>
    <row r="79" spans="1:23" s="66" customFormat="1">
      <c r="A79" s="776"/>
      <c r="B79" s="80" t="s">
        <v>201</v>
      </c>
      <c r="C79" s="776"/>
      <c r="D79" s="776"/>
      <c r="E79" s="776"/>
      <c r="F79" s="776"/>
      <c r="G79" s="776"/>
      <c r="H79" s="776"/>
      <c r="I79" s="776"/>
      <c r="J79" s="776"/>
      <c r="K79" s="776"/>
      <c r="L79" s="776"/>
      <c r="M79" s="776"/>
      <c r="N79" s="776"/>
      <c r="O79" s="776"/>
      <c r="P79" s="776"/>
      <c r="Q79" s="776"/>
      <c r="R79" s="776"/>
      <c r="S79" s="776"/>
      <c r="T79" s="776"/>
      <c r="U79" s="776"/>
      <c r="V79" s="776"/>
      <c r="W79" s="11"/>
    </row>
    <row r="80" spans="1:23" s="66" customFormat="1">
      <c r="A80" s="776"/>
      <c r="B80" s="80" t="s">
        <v>738</v>
      </c>
      <c r="C80" s="776"/>
      <c r="D80" s="776"/>
      <c r="E80" s="776"/>
      <c r="F80" s="776"/>
      <c r="G80" s="776"/>
      <c r="H80" s="776"/>
      <c r="I80" s="5"/>
      <c r="J80" s="776"/>
      <c r="K80" s="776"/>
      <c r="L80" s="776"/>
      <c r="M80" s="776"/>
      <c r="N80" s="5"/>
      <c r="O80" s="5"/>
      <c r="P80" s="5"/>
      <c r="Q80" s="5"/>
      <c r="R80" s="5"/>
      <c r="S80" s="5"/>
      <c r="T80" s="5"/>
      <c r="U80" s="5"/>
      <c r="V80" s="776"/>
      <c r="W80" s="776"/>
    </row>
    <row r="81" spans="1:23" s="66" customFormat="1">
      <c r="A81" s="776"/>
      <c r="B81" s="80" t="s">
        <v>739</v>
      </c>
      <c r="C81" s="776"/>
      <c r="D81" s="776"/>
      <c r="E81" s="776"/>
      <c r="F81" s="776"/>
      <c r="G81" s="776"/>
      <c r="H81" s="776"/>
      <c r="I81" s="776"/>
      <c r="J81" s="776"/>
      <c r="K81" s="776"/>
      <c r="L81" s="776"/>
      <c r="M81" s="776"/>
      <c r="N81" s="776"/>
      <c r="O81" s="776"/>
      <c r="P81" s="776"/>
      <c r="Q81" s="776"/>
      <c r="R81" s="776"/>
      <c r="S81" s="776"/>
      <c r="T81" s="776"/>
      <c r="U81" s="776"/>
      <c r="V81" s="776"/>
      <c r="W81" s="776"/>
    </row>
    <row r="82" spans="1:23" s="66" customFormat="1">
      <c r="A82" s="776"/>
      <c r="B82" s="80" t="s">
        <v>740</v>
      </c>
      <c r="C82" s="776"/>
      <c r="D82" s="776"/>
      <c r="E82" s="776"/>
      <c r="F82" s="776"/>
      <c r="G82" s="776"/>
      <c r="H82" s="776"/>
      <c r="I82" s="776"/>
      <c r="J82" s="776"/>
      <c r="K82" s="776"/>
      <c r="L82" s="776"/>
      <c r="M82" s="776"/>
      <c r="N82" s="776"/>
      <c r="O82" s="776"/>
      <c r="P82" s="776"/>
      <c r="Q82" s="776"/>
      <c r="R82" s="776"/>
      <c r="S82" s="776"/>
      <c r="T82" s="776"/>
      <c r="U82" s="776"/>
      <c r="V82" s="776"/>
      <c r="W82" s="776"/>
    </row>
    <row r="83" spans="1:23">
      <c r="A83" s="776"/>
      <c r="B83" s="80" t="s">
        <v>741</v>
      </c>
      <c r="C83" s="776"/>
      <c r="E83" s="776"/>
      <c r="F83" s="776"/>
      <c r="G83" s="776"/>
      <c r="H83" s="776"/>
      <c r="I83" s="776"/>
      <c r="J83" s="776"/>
      <c r="K83" s="776"/>
      <c r="L83" s="776"/>
      <c r="M83" s="776"/>
      <c r="N83" s="776"/>
      <c r="O83" s="776"/>
      <c r="P83" s="776"/>
      <c r="Q83" s="776"/>
      <c r="R83" s="776"/>
      <c r="S83" s="776"/>
      <c r="T83" s="776"/>
      <c r="U83" s="776"/>
      <c r="V83" s="776"/>
      <c r="W83" s="776"/>
    </row>
    <row r="84" spans="1:23">
      <c r="A84" s="776"/>
      <c r="B84" s="80" t="s">
        <v>742</v>
      </c>
      <c r="C84" s="776"/>
      <c r="E84" s="776"/>
      <c r="F84" s="776"/>
      <c r="G84" s="776"/>
      <c r="H84" s="776"/>
      <c r="I84" s="776"/>
      <c r="J84" s="776"/>
      <c r="K84" s="776"/>
      <c r="L84" s="776"/>
      <c r="M84" s="776"/>
      <c r="N84" s="776"/>
      <c r="O84" s="776"/>
      <c r="P84" s="776"/>
      <c r="Q84" s="776"/>
      <c r="R84" s="776"/>
      <c r="S84" s="776"/>
      <c r="T84" s="776"/>
      <c r="U84" s="776"/>
      <c r="V84" s="776"/>
      <c r="W84" s="776"/>
    </row>
    <row r="85" spans="1:23">
      <c r="A85" s="776"/>
      <c r="B85" s="80" t="s">
        <v>743</v>
      </c>
      <c r="C85" s="776"/>
      <c r="E85" s="776"/>
      <c r="F85" s="776"/>
      <c r="G85" s="776"/>
      <c r="H85" s="776"/>
      <c r="I85" s="4"/>
      <c r="J85" s="776"/>
      <c r="K85" s="776"/>
      <c r="L85" s="776"/>
      <c r="M85" s="776"/>
      <c r="N85" s="4"/>
      <c r="O85" s="4"/>
      <c r="P85" s="4"/>
      <c r="Q85" s="4"/>
      <c r="R85" s="4"/>
      <c r="S85" s="4"/>
      <c r="T85" s="4"/>
      <c r="U85" s="4"/>
      <c r="V85" s="776"/>
      <c r="W85" s="776"/>
    </row>
    <row r="86" spans="1:23">
      <c r="A86" s="776"/>
      <c r="B86" s="80" t="s">
        <v>56</v>
      </c>
      <c r="C86" s="776"/>
      <c r="E86" s="776"/>
      <c r="F86" s="776"/>
      <c r="G86" s="776"/>
      <c r="H86" s="776"/>
      <c r="I86" s="5"/>
      <c r="J86" s="776"/>
      <c r="K86" s="776"/>
      <c r="L86" s="776"/>
      <c r="M86" s="776"/>
      <c r="N86" s="5"/>
      <c r="O86" s="5"/>
      <c r="P86" s="5"/>
      <c r="Q86" s="5"/>
      <c r="R86" s="5"/>
      <c r="S86" s="5"/>
      <c r="T86" s="5"/>
      <c r="U86" s="5"/>
      <c r="V86" s="776"/>
      <c r="W86" s="776"/>
    </row>
    <row r="87" spans="1:23">
      <c r="A87" s="776"/>
      <c r="B87" s="13"/>
      <c r="C87" s="776"/>
      <c r="E87" s="776"/>
      <c r="F87" s="776"/>
      <c r="G87" s="776"/>
      <c r="H87" s="776"/>
      <c r="I87" s="776"/>
      <c r="J87" s="776"/>
      <c r="K87" s="776"/>
      <c r="L87" s="776"/>
      <c r="M87" s="776"/>
      <c r="N87" s="776"/>
      <c r="O87" s="776"/>
      <c r="P87" s="776"/>
      <c r="Q87" s="776"/>
      <c r="R87" s="776"/>
      <c r="S87" s="776"/>
      <c r="T87" s="776"/>
      <c r="U87" s="776"/>
      <c r="V87" s="776"/>
      <c r="W87" s="776"/>
    </row>
    <row r="88" spans="1:23">
      <c r="A88" s="776"/>
      <c r="B88" s="172" t="s">
        <v>744</v>
      </c>
      <c r="C88" s="776"/>
      <c r="E88" s="776"/>
      <c r="F88" s="776"/>
      <c r="G88" s="776"/>
      <c r="H88" s="776"/>
      <c r="I88" s="36"/>
      <c r="J88" s="776"/>
      <c r="K88" s="776"/>
      <c r="L88" s="776"/>
      <c r="M88" s="776"/>
      <c r="N88" s="36"/>
      <c r="O88" s="36" t="e">
        <f>O46/O25</f>
        <v>#REF!</v>
      </c>
      <c r="P88" s="36" t="e">
        <f t="shared" ref="P88:T88" si="44">P46/P25</f>
        <v>#REF!</v>
      </c>
      <c r="Q88" s="36" t="e">
        <f t="shared" si="44"/>
        <v>#REF!</v>
      </c>
      <c r="R88" s="36" t="e">
        <f t="shared" si="44"/>
        <v>#REF!</v>
      </c>
      <c r="S88" s="36" t="e">
        <f t="shared" si="44"/>
        <v>#REF!</v>
      </c>
      <c r="T88" s="36" t="e">
        <f t="shared" si="44"/>
        <v>#REF!</v>
      </c>
      <c r="U88" s="36"/>
      <c r="V88" s="776"/>
      <c r="W88" s="776"/>
    </row>
    <row r="89" spans="1:23">
      <c r="A89" s="776"/>
      <c r="B89" s="13"/>
      <c r="C89" s="776"/>
      <c r="E89" s="776"/>
      <c r="F89" s="776"/>
      <c r="G89" s="776"/>
      <c r="H89" s="776"/>
      <c r="I89" s="776"/>
      <c r="J89" s="776"/>
      <c r="K89" s="776"/>
      <c r="L89" s="776"/>
      <c r="M89" s="776"/>
      <c r="N89" s="776"/>
      <c r="O89" s="776"/>
      <c r="P89" s="776"/>
      <c r="Q89" s="776"/>
      <c r="R89" s="776"/>
      <c r="S89" s="776"/>
      <c r="T89" s="776"/>
      <c r="U89" s="776"/>
      <c r="V89" s="776"/>
      <c r="W89" s="776"/>
    </row>
    <row r="90" spans="1:23">
      <c r="A90" s="776"/>
      <c r="B90" s="172" t="s">
        <v>745</v>
      </c>
      <c r="C90" s="776"/>
      <c r="E90" s="776"/>
      <c r="F90" s="776"/>
      <c r="G90" s="776"/>
      <c r="H90" s="776"/>
      <c r="I90" s="36"/>
      <c r="J90" s="776"/>
      <c r="K90" s="776"/>
      <c r="L90" s="776"/>
      <c r="M90" s="776"/>
      <c r="N90" s="36"/>
      <c r="O90" s="36" t="e">
        <f>O58/O48</f>
        <v>#REF!</v>
      </c>
      <c r="P90" s="36" t="e">
        <f t="shared" ref="P90:T90" si="45">P58/P48</f>
        <v>#REF!</v>
      </c>
      <c r="Q90" s="36" t="e">
        <f t="shared" si="45"/>
        <v>#REF!</v>
      </c>
      <c r="R90" s="36" t="e">
        <f t="shared" si="45"/>
        <v>#REF!</v>
      </c>
      <c r="S90" s="36" t="e">
        <f t="shared" si="45"/>
        <v>#REF!</v>
      </c>
      <c r="T90" s="36" t="e">
        <f t="shared" si="45"/>
        <v>#REF!</v>
      </c>
      <c r="U90" s="36"/>
      <c r="V90" s="776"/>
      <c r="W90" s="776"/>
    </row>
    <row r="91" spans="1:23">
      <c r="A91" s="776"/>
      <c r="B91" s="13"/>
      <c r="C91" s="776"/>
      <c r="E91" s="776"/>
      <c r="F91" s="776"/>
      <c r="G91" s="776"/>
      <c r="H91" s="776"/>
      <c r="I91" s="776"/>
      <c r="J91" s="776"/>
      <c r="K91" s="776"/>
      <c r="L91" s="776"/>
      <c r="M91" s="776"/>
      <c r="N91" s="776"/>
      <c r="O91" s="776"/>
      <c r="P91" s="776"/>
      <c r="Q91" s="776"/>
      <c r="R91" s="776"/>
      <c r="S91" s="776"/>
      <c r="T91" s="776"/>
      <c r="U91" s="776"/>
      <c r="V91" s="776"/>
      <c r="W91" s="776"/>
    </row>
    <row r="92" spans="1:23">
      <c r="A92" s="776"/>
      <c r="B92" s="776" t="s">
        <v>746</v>
      </c>
      <c r="C92" s="776"/>
      <c r="E92" s="776"/>
      <c r="F92" s="776"/>
      <c r="G92" s="776"/>
      <c r="H92" s="776"/>
      <c r="I92" s="8"/>
      <c r="J92" s="776"/>
      <c r="K92" s="776"/>
      <c r="L92" s="776"/>
      <c r="M92" s="776"/>
      <c r="N92" s="8"/>
      <c r="O92" s="8" t="e">
        <f t="shared" ref="O92:T92" si="46">1/O90</f>
        <v>#REF!</v>
      </c>
      <c r="P92" s="8" t="e">
        <f t="shared" si="46"/>
        <v>#REF!</v>
      </c>
      <c r="Q92" s="8" t="e">
        <f t="shared" si="46"/>
        <v>#REF!</v>
      </c>
      <c r="R92" s="8" t="e">
        <f t="shared" si="46"/>
        <v>#REF!</v>
      </c>
      <c r="S92" s="8" t="e">
        <f t="shared" si="46"/>
        <v>#REF!</v>
      </c>
      <c r="T92" s="8" t="e">
        <f t="shared" si="46"/>
        <v>#REF!</v>
      </c>
      <c r="U92" s="8"/>
      <c r="V92" s="776"/>
      <c r="W92" s="776"/>
    </row>
    <row r="93" spans="1:23">
      <c r="A93" s="776"/>
      <c r="B93" s="13"/>
      <c r="C93" s="776"/>
      <c r="E93" s="776"/>
      <c r="F93" s="776"/>
      <c r="G93" s="776"/>
      <c r="H93" s="776"/>
      <c r="I93" s="776"/>
      <c r="J93" s="776"/>
      <c r="K93" s="776"/>
      <c r="L93" s="776"/>
      <c r="M93" s="776"/>
      <c r="N93" s="776"/>
      <c r="O93" s="776"/>
      <c r="P93" s="776"/>
      <c r="Q93" s="776"/>
      <c r="R93" s="776"/>
      <c r="S93" s="776"/>
      <c r="T93" s="776"/>
      <c r="U93" s="776"/>
      <c r="V93" s="776"/>
      <c r="W93" s="776"/>
    </row>
    <row r="94" spans="1:23">
      <c r="A94" s="13"/>
      <c r="B94" s="172" t="s">
        <v>660</v>
      </c>
      <c r="C94" s="13"/>
      <c r="D94" s="13"/>
      <c r="E94" s="13"/>
      <c r="F94" s="776"/>
      <c r="G94" s="13"/>
      <c r="H94" s="13"/>
      <c r="I94" s="13"/>
      <c r="J94" s="776"/>
      <c r="K94" s="776"/>
      <c r="L94" s="776"/>
      <c r="M94" s="776"/>
      <c r="N94" s="11"/>
      <c r="O94" s="11" t="e">
        <f>#REF!</f>
        <v>#REF!</v>
      </c>
      <c r="P94" s="11" t="e">
        <f>#REF!</f>
        <v>#REF!</v>
      </c>
      <c r="Q94" s="11" t="e">
        <f>#REF!</f>
        <v>#REF!</v>
      </c>
      <c r="R94" s="11" t="e">
        <f>#REF!</f>
        <v>#REF!</v>
      </c>
      <c r="S94" s="11" t="e">
        <f>#REF!</f>
        <v>#REF!</v>
      </c>
      <c r="T94" s="11" t="e">
        <f>#REF!</f>
        <v>#REF!</v>
      </c>
      <c r="U94" s="13"/>
      <c r="V94" s="776"/>
      <c r="W94" s="776"/>
    </row>
    <row r="95" spans="1:23">
      <c r="A95" s="13"/>
      <c r="B95" s="13"/>
      <c r="C95" s="13"/>
      <c r="D95" s="13"/>
      <c r="E95" s="13"/>
      <c r="F95" s="776"/>
      <c r="G95" s="13"/>
      <c r="H95" s="13"/>
      <c r="I95" s="13"/>
      <c r="J95" s="776"/>
      <c r="K95" s="776"/>
      <c r="L95" s="776"/>
      <c r="M95" s="776"/>
      <c r="N95" s="11"/>
      <c r="O95" s="11"/>
      <c r="P95" s="11"/>
      <c r="Q95" s="11"/>
      <c r="R95" s="11"/>
      <c r="S95" s="11"/>
      <c r="T95" s="11"/>
      <c r="U95" s="13"/>
      <c r="V95" s="776"/>
      <c r="W95" s="776"/>
    </row>
    <row r="96" spans="1:23">
      <c r="A96" s="13"/>
      <c r="B96" s="776" t="s">
        <v>747</v>
      </c>
      <c r="C96" s="13"/>
      <c r="D96" s="13"/>
      <c r="E96" s="13"/>
      <c r="F96" s="776"/>
      <c r="G96" s="13"/>
      <c r="H96" s="13"/>
      <c r="I96" s="13"/>
      <c r="J96" s="776"/>
      <c r="K96" s="776"/>
      <c r="L96" s="776"/>
      <c r="M96" s="776"/>
      <c r="N96" s="28"/>
      <c r="O96" s="28" t="e">
        <f>O94/O10</f>
        <v>#REF!</v>
      </c>
      <c r="P96" s="28" t="e">
        <f t="shared" ref="P96:T96" si="47">P94/P10</f>
        <v>#REF!</v>
      </c>
      <c r="Q96" s="28" t="e">
        <f t="shared" si="47"/>
        <v>#REF!</v>
      </c>
      <c r="R96" s="28" t="e">
        <f t="shared" si="47"/>
        <v>#REF!</v>
      </c>
      <c r="S96" s="28" t="e">
        <f t="shared" si="47"/>
        <v>#REF!</v>
      </c>
      <c r="T96" s="28" t="e">
        <f t="shared" si="47"/>
        <v>#REF!</v>
      </c>
      <c r="U96" s="13"/>
      <c r="V96" s="776"/>
      <c r="W96" s="776"/>
    </row>
    <row r="97" spans="1:23">
      <c r="A97" s="13"/>
      <c r="B97" s="13"/>
      <c r="C97" s="13"/>
      <c r="D97" s="13"/>
      <c r="E97" s="13"/>
      <c r="F97" s="776"/>
      <c r="G97" s="13"/>
      <c r="H97" s="13"/>
      <c r="I97" s="13"/>
      <c r="J97" s="776"/>
      <c r="K97" s="776"/>
      <c r="L97" s="776"/>
      <c r="M97" s="776"/>
      <c r="N97" s="11"/>
      <c r="O97" s="11"/>
      <c r="P97" s="11"/>
      <c r="Q97" s="11"/>
      <c r="R97" s="11"/>
      <c r="S97" s="11"/>
      <c r="T97" s="11"/>
      <c r="U97" s="13"/>
      <c r="V97" s="776"/>
      <c r="W97" s="776"/>
    </row>
    <row r="98" spans="1:23">
      <c r="A98" s="13"/>
      <c r="B98" s="172" t="s">
        <v>748</v>
      </c>
      <c r="C98" s="13"/>
      <c r="D98" s="13"/>
      <c r="E98" s="178" t="s">
        <v>554</v>
      </c>
      <c r="F98" s="776"/>
      <c r="G98" s="13"/>
      <c r="H98" s="13"/>
      <c r="I98" s="13"/>
      <c r="J98" s="776"/>
      <c r="K98" s="776"/>
      <c r="L98" s="776"/>
      <c r="M98" s="776"/>
      <c r="N98" s="11"/>
      <c r="O98" s="11"/>
      <c r="P98" s="11"/>
      <c r="Q98" s="11"/>
      <c r="R98" s="11"/>
      <c r="S98" s="83" t="e">
        <f>S58/S4</f>
        <v>#REF!</v>
      </c>
      <c r="T98" s="83" t="e">
        <f>T58/T4</f>
        <v>#REF!</v>
      </c>
      <c r="U98" s="776"/>
      <c r="V98" s="776"/>
      <c r="W98" s="776"/>
    </row>
    <row r="99" spans="1:23">
      <c r="A99" s="13"/>
      <c r="B99" s="13"/>
      <c r="C99" s="11"/>
      <c r="D99" s="11"/>
      <c r="E99" s="11"/>
      <c r="F99" s="776"/>
      <c r="G99" s="11"/>
      <c r="H99" s="11"/>
      <c r="I99" s="11"/>
      <c r="J99" s="776"/>
      <c r="K99" s="776"/>
      <c r="L99" s="776"/>
      <c r="M99" s="776"/>
      <c r="N99" s="11"/>
      <c r="O99" s="11"/>
      <c r="P99" s="11"/>
      <c r="Q99" s="11"/>
      <c r="R99" s="11"/>
      <c r="S99" s="11"/>
      <c r="T99" s="11"/>
      <c r="U99" s="776"/>
      <c r="V99" s="776"/>
      <c r="W99" s="776"/>
    </row>
    <row r="100" spans="1:23">
      <c r="A100" s="13"/>
      <c r="B100" s="776" t="s">
        <v>749</v>
      </c>
      <c r="C100" s="13"/>
      <c r="D100" s="13"/>
      <c r="E100" s="11"/>
      <c r="F100" s="776"/>
      <c r="G100" s="11"/>
      <c r="H100" s="11"/>
      <c r="I100" s="11"/>
      <c r="J100" s="776"/>
      <c r="K100" s="776"/>
      <c r="L100" s="776"/>
      <c r="M100" s="776"/>
      <c r="N100" s="11"/>
      <c r="O100" s="11" t="e">
        <f>#REF!</f>
        <v>#REF!</v>
      </c>
      <c r="P100" s="11" t="e">
        <f>#REF!</f>
        <v>#REF!</v>
      </c>
      <c r="Q100" s="11" t="e">
        <f>#REF!</f>
        <v>#REF!</v>
      </c>
      <c r="R100" s="11" t="e">
        <f>#REF!</f>
        <v>#REF!</v>
      </c>
      <c r="S100" s="11" t="e">
        <f>#REF!</f>
        <v>#REF!</v>
      </c>
      <c r="T100" s="11" t="e">
        <f>#REF!</f>
        <v>#REF!</v>
      </c>
      <c r="U100" s="743"/>
      <c r="V100" s="776"/>
      <c r="W100" s="776"/>
    </row>
    <row r="101" spans="1:23">
      <c r="A101" s="13"/>
      <c r="B101" s="776" t="s">
        <v>460</v>
      </c>
      <c r="C101" s="13"/>
      <c r="D101" s="13"/>
      <c r="E101" s="11"/>
      <c r="F101" s="776"/>
      <c r="G101" s="11"/>
      <c r="H101" s="11"/>
      <c r="I101" s="11"/>
      <c r="J101" s="776"/>
      <c r="K101" s="776"/>
      <c r="L101" s="776"/>
      <c r="M101" s="776"/>
      <c r="N101" s="11"/>
      <c r="O101" s="11" t="e">
        <f>#REF!</f>
        <v>#REF!</v>
      </c>
      <c r="P101" s="11" t="e">
        <f>#REF!</f>
        <v>#REF!</v>
      </c>
      <c r="Q101" s="11" t="e">
        <f>#REF!</f>
        <v>#REF!</v>
      </c>
      <c r="R101" s="11" t="e">
        <f>#REF!</f>
        <v>#REF!</v>
      </c>
      <c r="S101" s="11" t="e">
        <f>#REF!</f>
        <v>#REF!</v>
      </c>
      <c r="T101" s="11" t="e">
        <f>#REF!</f>
        <v>#REF!</v>
      </c>
      <c r="U101" s="743"/>
      <c r="V101" s="776"/>
      <c r="W101" s="776"/>
    </row>
    <row r="102" spans="1:23">
      <c r="A102" s="13"/>
      <c r="B102" s="776" t="s">
        <v>28</v>
      </c>
      <c r="C102" s="13"/>
      <c r="D102" s="13"/>
      <c r="E102" s="11"/>
      <c r="F102" s="776"/>
      <c r="G102" s="11"/>
      <c r="H102" s="11"/>
      <c r="I102" s="11"/>
      <c r="J102" s="776"/>
      <c r="K102" s="776"/>
      <c r="L102" s="776"/>
      <c r="M102" s="776"/>
      <c r="N102" s="12"/>
      <c r="O102" s="12" t="e">
        <f>#REF!+#REF!</f>
        <v>#REF!</v>
      </c>
      <c r="P102" s="12" t="e">
        <f>#REF!+#REF!</f>
        <v>#REF!</v>
      </c>
      <c r="Q102" s="12" t="e">
        <f>#REF!+#REF!</f>
        <v>#REF!</v>
      </c>
      <c r="R102" s="12" t="e">
        <f>#REF!+#REF!</f>
        <v>#REF!</v>
      </c>
      <c r="S102" s="12" t="e">
        <f>#REF!+#REF!</f>
        <v>#REF!</v>
      </c>
      <c r="T102" s="12" t="e">
        <f>#REF!+#REF!</f>
        <v>#REF!</v>
      </c>
      <c r="U102" s="757"/>
      <c r="V102" s="776"/>
      <c r="W102" s="776"/>
    </row>
    <row r="103" spans="1:23">
      <c r="A103" s="13"/>
      <c r="B103" s="1" t="s">
        <v>657</v>
      </c>
      <c r="C103" s="13"/>
      <c r="D103" s="13"/>
      <c r="E103" s="11"/>
      <c r="F103" s="776"/>
      <c r="G103" s="11"/>
      <c r="H103" s="11"/>
      <c r="I103" s="11"/>
      <c r="J103" s="776"/>
      <c r="K103" s="776"/>
      <c r="L103" s="776"/>
      <c r="M103" s="776"/>
      <c r="N103" s="11"/>
      <c r="O103" s="11" t="e">
        <f t="shared" ref="O103:T103" si="48">SUM(O100:O102)</f>
        <v>#REF!</v>
      </c>
      <c r="P103" s="11" t="e">
        <f t="shared" si="48"/>
        <v>#REF!</v>
      </c>
      <c r="Q103" s="11" t="e">
        <f t="shared" si="48"/>
        <v>#REF!</v>
      </c>
      <c r="R103" s="11" t="e">
        <f t="shared" si="48"/>
        <v>#REF!</v>
      </c>
      <c r="S103" s="11" t="e">
        <f t="shared" si="48"/>
        <v>#REF!</v>
      </c>
      <c r="T103" s="11" t="e">
        <f t="shared" si="48"/>
        <v>#REF!</v>
      </c>
      <c r="U103" s="743"/>
      <c r="V103" s="776"/>
      <c r="W103" s="776"/>
    </row>
    <row r="104" spans="1:23">
      <c r="A104" s="776"/>
      <c r="B104" s="80" t="s">
        <v>656</v>
      </c>
      <c r="C104" s="10"/>
      <c r="D104" s="10"/>
      <c r="E104" s="10"/>
      <c r="F104" s="776"/>
      <c r="G104" s="10"/>
      <c r="H104" s="10"/>
      <c r="I104" s="11"/>
      <c r="J104" s="776"/>
      <c r="K104" s="776"/>
      <c r="L104" s="776"/>
      <c r="M104" s="776"/>
      <c r="N104" s="11"/>
      <c r="O104" s="11" t="e">
        <f>#REF!</f>
        <v>#REF!</v>
      </c>
      <c r="P104" s="11" t="e">
        <f>#REF!</f>
        <v>#REF!</v>
      </c>
      <c r="Q104" s="11" t="e">
        <f>#REF!</f>
        <v>#REF!</v>
      </c>
      <c r="R104" s="11" t="e">
        <f>#REF!</f>
        <v>#REF!</v>
      </c>
      <c r="S104" s="11" t="e">
        <f>#REF!</f>
        <v>#REF!</v>
      </c>
      <c r="T104" s="11" t="e">
        <f>#REF!</f>
        <v>#REF!</v>
      </c>
      <c r="U104" s="10"/>
      <c r="V104" s="10"/>
      <c r="W104" s="776"/>
    </row>
    <row r="105" spans="1:23">
      <c r="A105" s="776"/>
      <c r="B105" s="10" t="s">
        <v>750</v>
      </c>
      <c r="C105" s="10"/>
      <c r="D105" s="10"/>
      <c r="E105" s="10"/>
      <c r="F105" s="776"/>
      <c r="G105" s="10"/>
      <c r="H105" s="10"/>
      <c r="I105" s="11"/>
      <c r="J105" s="776"/>
      <c r="K105" s="776"/>
      <c r="L105" s="776"/>
      <c r="M105" s="776"/>
      <c r="N105" s="12"/>
      <c r="O105" s="12" t="e">
        <f>#REF!</f>
        <v>#REF!</v>
      </c>
      <c r="P105" s="12" t="e">
        <f>#REF!</f>
        <v>#REF!</v>
      </c>
      <c r="Q105" s="12" t="e">
        <f>#REF!</f>
        <v>#REF!</v>
      </c>
      <c r="R105" s="12" t="e">
        <f>#REF!</f>
        <v>#REF!</v>
      </c>
      <c r="S105" s="12" t="e">
        <f>#REF!</f>
        <v>#REF!</v>
      </c>
      <c r="T105" s="12" t="e">
        <f>#REF!</f>
        <v>#REF!</v>
      </c>
      <c r="U105" s="4"/>
      <c r="V105" s="10"/>
      <c r="W105" s="776"/>
    </row>
    <row r="106" spans="1:23">
      <c r="A106" s="776"/>
      <c r="B106" s="51" t="s">
        <v>634</v>
      </c>
      <c r="C106" s="10"/>
      <c r="D106" s="10"/>
      <c r="E106" s="10"/>
      <c r="F106" s="776"/>
      <c r="G106" s="10"/>
      <c r="H106" s="10"/>
      <c r="I106" s="11"/>
      <c r="J106" s="776"/>
      <c r="K106" s="776"/>
      <c r="L106" s="776"/>
      <c r="M106" s="776"/>
      <c r="N106" s="11"/>
      <c r="O106" s="11" t="e">
        <f t="shared" ref="O106:T106" si="49">SUM(O103:O105)</f>
        <v>#REF!</v>
      </c>
      <c r="P106" s="11" t="e">
        <f t="shared" si="49"/>
        <v>#REF!</v>
      </c>
      <c r="Q106" s="11" t="e">
        <f t="shared" si="49"/>
        <v>#REF!</v>
      </c>
      <c r="R106" s="11" t="e">
        <f t="shared" si="49"/>
        <v>#REF!</v>
      </c>
      <c r="S106" s="11" t="e">
        <f t="shared" si="49"/>
        <v>#REF!</v>
      </c>
      <c r="T106" s="11" t="e">
        <f t="shared" si="49"/>
        <v>#REF!</v>
      </c>
      <c r="U106" s="18"/>
      <c r="V106" s="10"/>
      <c r="W106" s="776"/>
    </row>
    <row r="107" spans="1:23">
      <c r="A107" s="4"/>
      <c r="B107" s="4"/>
      <c r="C107" s="4"/>
      <c r="D107" s="4"/>
      <c r="E107" s="4"/>
      <c r="F107" s="776"/>
      <c r="G107" s="4"/>
      <c r="H107" s="4"/>
      <c r="I107" s="12"/>
      <c r="J107" s="4"/>
      <c r="K107" s="4"/>
      <c r="L107" s="4"/>
      <c r="M107" s="4"/>
      <c r="N107" s="12"/>
      <c r="O107" s="12"/>
      <c r="P107" s="12"/>
      <c r="Q107" s="12"/>
      <c r="R107" s="12"/>
      <c r="S107" s="12"/>
      <c r="T107" s="12"/>
      <c r="U107" s="4"/>
      <c r="V107" s="776"/>
      <c r="W107" s="776"/>
    </row>
    <row r="108" spans="1:23">
      <c r="A108" s="776"/>
      <c r="B108" s="776"/>
      <c r="C108" s="776"/>
      <c r="E108" s="776"/>
      <c r="F108" s="776"/>
      <c r="G108" s="776"/>
      <c r="H108" s="776"/>
      <c r="I108" s="11"/>
      <c r="J108" s="776"/>
      <c r="K108" s="776"/>
      <c r="L108" s="776"/>
      <c r="M108" s="776"/>
      <c r="N108" s="11"/>
      <c r="O108" s="11"/>
      <c r="P108" s="11"/>
      <c r="Q108" s="11"/>
      <c r="R108" s="11"/>
      <c r="S108" s="11"/>
      <c r="T108" s="11"/>
      <c r="U108" s="776"/>
      <c r="V108" s="776"/>
      <c r="W108" s="776"/>
    </row>
    <row r="109" spans="1:23">
      <c r="A109" s="776"/>
      <c r="B109" s="44"/>
      <c r="C109" s="776"/>
      <c r="E109" s="776"/>
      <c r="F109" s="776"/>
      <c r="G109" s="776"/>
      <c r="H109" s="776"/>
      <c r="I109" s="11"/>
      <c r="J109" s="776"/>
      <c r="K109" s="776"/>
      <c r="L109" s="776"/>
      <c r="M109" s="776"/>
      <c r="N109" s="11"/>
      <c r="O109" s="11"/>
      <c r="P109" s="11"/>
      <c r="Q109" s="11"/>
      <c r="R109" s="11"/>
      <c r="S109" s="11"/>
      <c r="T109" s="11"/>
      <c r="U109" s="776"/>
      <c r="V109" s="776"/>
      <c r="W109" s="776"/>
    </row>
    <row r="110" spans="1:23">
      <c r="A110" s="776"/>
      <c r="B110" s="776"/>
      <c r="C110" s="776"/>
      <c r="E110" s="776"/>
      <c r="F110" s="776"/>
      <c r="G110" s="776"/>
      <c r="H110" s="776"/>
      <c r="I110" s="11"/>
      <c r="J110" s="776"/>
      <c r="K110" s="776"/>
      <c r="L110" s="776"/>
      <c r="M110" s="776"/>
      <c r="N110" s="11"/>
      <c r="O110" s="11"/>
      <c r="P110" s="11"/>
      <c r="Q110" s="11"/>
      <c r="R110" s="11"/>
      <c r="S110" s="11"/>
      <c r="T110" s="11"/>
      <c r="U110" s="776"/>
      <c r="V110" s="776"/>
      <c r="W110" s="776"/>
    </row>
    <row r="111" spans="1:23">
      <c r="A111" s="776"/>
      <c r="B111" s="776"/>
      <c r="C111" s="776"/>
      <c r="E111" s="776"/>
      <c r="F111" s="776"/>
      <c r="G111" s="776"/>
      <c r="H111" s="776"/>
      <c r="I111" s="776"/>
      <c r="J111" s="776"/>
      <c r="K111" s="776"/>
      <c r="L111" s="776"/>
      <c r="M111" s="776"/>
      <c r="N111" s="776"/>
      <c r="O111" s="776"/>
      <c r="P111" s="776"/>
      <c r="Q111" s="776"/>
      <c r="R111" s="776"/>
      <c r="S111" s="776"/>
      <c r="T111" s="776"/>
      <c r="U111" s="776"/>
      <c r="V111" s="776"/>
      <c r="W111" s="776"/>
    </row>
    <row r="112" spans="1:23">
      <c r="A112" s="776"/>
      <c r="B112" s="776"/>
      <c r="C112" s="776"/>
      <c r="E112" s="776"/>
      <c r="F112" s="776"/>
      <c r="G112" s="776"/>
      <c r="H112" s="776"/>
      <c r="I112" s="776"/>
      <c r="J112" s="776"/>
      <c r="K112" s="776"/>
      <c r="L112" s="776"/>
      <c r="M112" s="776"/>
      <c r="N112" s="776"/>
      <c r="O112" s="776"/>
      <c r="P112" s="776"/>
      <c r="Q112" s="776"/>
      <c r="R112" s="776"/>
      <c r="S112" s="776"/>
      <c r="T112" s="776"/>
      <c r="U112" s="776"/>
      <c r="V112" s="776"/>
      <c r="W112" s="776"/>
    </row>
    <row r="113" spans="17:23">
      <c r="Q113" s="776"/>
      <c r="R113" s="776"/>
      <c r="S113" s="776"/>
      <c r="T113" s="776"/>
      <c r="U113" s="776"/>
      <c r="V113" s="776"/>
      <c r="W113" s="776"/>
    </row>
    <row r="114" spans="17:23">
      <c r="Q114" s="776"/>
      <c r="R114" s="776"/>
      <c r="S114" s="776"/>
      <c r="T114" s="776"/>
      <c r="U114" s="776"/>
      <c r="V114" s="776"/>
      <c r="W114" s="776"/>
    </row>
    <row r="115" spans="17:23">
      <c r="Q115" s="776"/>
      <c r="R115" s="776"/>
      <c r="S115" s="776"/>
      <c r="T115" s="776"/>
      <c r="U115" s="776"/>
      <c r="V115" s="776"/>
      <c r="W115" s="776"/>
    </row>
    <row r="116" spans="17:23">
      <c r="Q116" s="776"/>
      <c r="R116" s="776"/>
      <c r="S116" s="776"/>
      <c r="T116" s="776"/>
      <c r="U116" s="776"/>
      <c r="V116" s="776"/>
      <c r="W116" s="776"/>
    </row>
    <row r="117" spans="17:23">
      <c r="Q117" s="776"/>
      <c r="R117" s="776"/>
      <c r="S117" s="776"/>
      <c r="T117" s="776"/>
      <c r="U117" s="776"/>
      <c r="V117" s="776"/>
      <c r="W117" s="776"/>
    </row>
    <row r="118" spans="17:23">
      <c r="Q118" s="776"/>
      <c r="R118" s="776"/>
      <c r="S118" s="776"/>
      <c r="T118" s="776"/>
      <c r="U118" s="776"/>
      <c r="V118" s="776"/>
      <c r="W118" s="776"/>
    </row>
    <row r="119" spans="17:23">
      <c r="Q119" s="776"/>
      <c r="R119" s="776"/>
      <c r="S119" s="776"/>
      <c r="T119" s="776"/>
      <c r="U119" s="776"/>
      <c r="V119" s="776"/>
      <c r="W119" s="776"/>
    </row>
    <row r="120" spans="17:23">
      <c r="Q120" s="776"/>
      <c r="R120" s="776"/>
      <c r="S120" s="776"/>
      <c r="T120" s="776"/>
      <c r="U120" s="776"/>
      <c r="V120" s="776"/>
      <c r="W120" s="776"/>
    </row>
    <row r="121" spans="17:23">
      <c r="Q121" s="776"/>
      <c r="R121" s="776"/>
      <c r="S121" s="776"/>
      <c r="T121" s="776"/>
      <c r="U121" s="776"/>
      <c r="V121" s="776"/>
      <c r="W121" s="776"/>
    </row>
    <row r="122" spans="17:23">
      <c r="Q122" s="776"/>
      <c r="R122" s="776"/>
      <c r="S122" s="776"/>
      <c r="T122" s="776"/>
      <c r="U122" s="776"/>
      <c r="V122" s="776"/>
      <c r="W122" s="776"/>
    </row>
    <row r="123" spans="17:23">
      <c r="Q123" s="776"/>
      <c r="R123" s="776"/>
      <c r="S123" s="776"/>
      <c r="T123" s="776"/>
      <c r="U123" s="776"/>
      <c r="V123" s="776"/>
      <c r="W123" s="776"/>
    </row>
    <row r="124" spans="17:23">
      <c r="Q124" s="776"/>
      <c r="R124" s="776"/>
      <c r="S124" s="776"/>
      <c r="T124" s="776"/>
      <c r="U124" s="776"/>
      <c r="V124" s="776"/>
      <c r="W124" s="776"/>
    </row>
    <row r="125" spans="17:23">
      <c r="Q125" s="776"/>
      <c r="R125" s="776"/>
      <c r="S125" s="776"/>
      <c r="T125" s="776"/>
      <c r="U125" s="776"/>
      <c r="V125" s="776"/>
      <c r="W125" s="776"/>
    </row>
  </sheetData>
  <customSheetViews>
    <customSheetView guid="{5826E3E6-173D-429F-ABE1-D868EE9E034B}" fitToPage="1" hiddenColumns="1" topLeftCell="M13">
      <selection activeCell="T25" sqref="T25"/>
      <pageMargins left="0" right="0" top="0" bottom="0" header="0" footer="0"/>
      <pageSetup paperSize="9" scale="54" orientation="landscape" horizontalDpi="1200" verticalDpi="1200" r:id="rId1"/>
    </customSheetView>
  </customSheetViews>
  <mergeCells count="4">
    <mergeCell ref="F1:G1"/>
    <mergeCell ref="A1:D1"/>
    <mergeCell ref="I1:K1"/>
    <mergeCell ref="L1:N1"/>
  </mergeCells>
  <printOptions headings="1" gridLines="1"/>
  <pageMargins left="0.70866141732283472" right="0.70866141732283472" top="0.74803149606299213" bottom="0.74803149606299213" header="0.31496062992125984" footer="0.31496062992125984"/>
  <pageSetup paperSize="9" scale="52" fitToHeight="0" orientation="landscape" horizontalDpi="1200" verticalDpi="1200" r:id="rId2"/>
  <headerFooter>
    <oddHeader>&amp;L&amp;8&amp;D&amp;C&amp;8DRAFT&amp;R&amp;8&amp;A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249977111117893"/>
    <pageSetUpPr fitToPage="1"/>
  </sheetPr>
  <dimension ref="A1:AA80"/>
  <sheetViews>
    <sheetView workbookViewId="0">
      <selection sqref="A1:D1"/>
    </sheetView>
  </sheetViews>
  <sheetFormatPr defaultRowHeight="12.75"/>
  <cols>
    <col min="1" max="1" width="2.85546875" customWidth="1"/>
    <col min="2" max="2" width="12.85546875" customWidth="1"/>
    <col min="3" max="3" width="10" customWidth="1"/>
    <col min="4" max="4" width="5.85546875" style="776" customWidth="1"/>
    <col min="5" max="5" width="7.28515625" customWidth="1"/>
    <col min="6" max="15" width="9.5703125" customWidth="1"/>
    <col min="16" max="17" width="9.5703125" style="592" customWidth="1"/>
    <col min="18" max="25" width="9.5703125" customWidth="1"/>
  </cols>
  <sheetData>
    <row r="1" spans="1:27" s="776" customFormat="1" ht="23.65" customHeight="1" thickBot="1">
      <c r="A1" s="1486" t="s">
        <v>0</v>
      </c>
      <c r="B1" s="1487"/>
      <c r="C1" s="1487"/>
      <c r="D1" s="1487"/>
      <c r="E1" s="1044" t="e">
        <f>'1_Contents'!#REF!</f>
        <v>#REF!</v>
      </c>
      <c r="F1" s="1476" t="e">
        <f>'1_Contents'!#REF!</f>
        <v>#REF!</v>
      </c>
      <c r="G1" s="1476"/>
      <c r="H1" s="1477">
        <f ca="1">NOW()</f>
        <v>44487.543585879626</v>
      </c>
      <c r="I1" s="1477"/>
      <c r="J1" s="1477"/>
      <c r="K1" s="1047"/>
      <c r="L1" s="1047"/>
      <c r="M1" s="1048"/>
      <c r="N1" s="968"/>
      <c r="O1" s="968"/>
      <c r="P1" s="967"/>
      <c r="Q1" s="967"/>
      <c r="R1" s="967"/>
      <c r="S1" s="967"/>
      <c r="T1" s="967"/>
      <c r="U1" s="967"/>
      <c r="V1" s="967"/>
      <c r="W1" s="967"/>
      <c r="X1" s="967"/>
      <c r="Y1" s="968"/>
      <c r="Z1" s="968"/>
      <c r="AA1" s="968" t="e">
        <f>'1_Contents'!#REF!</f>
        <v>#REF!</v>
      </c>
    </row>
    <row r="2" spans="1:27" s="776" customFormat="1">
      <c r="A2" s="1040" t="s">
        <v>168</v>
      </c>
      <c r="B2" s="321"/>
      <c r="C2" s="636"/>
      <c r="D2" s="636"/>
      <c r="E2" s="322">
        <v>2</v>
      </c>
      <c r="F2" s="69">
        <v>0</v>
      </c>
      <c r="G2" s="69">
        <f>F2+1</f>
        <v>1</v>
      </c>
      <c r="H2" s="69">
        <f t="shared" ref="H2:W3" si="0">G2+1</f>
        <v>2</v>
      </c>
      <c r="I2" s="69">
        <f t="shared" si="0"/>
        <v>3</v>
      </c>
      <c r="J2" s="69">
        <f t="shared" si="0"/>
        <v>4</v>
      </c>
      <c r="K2" s="69">
        <f t="shared" si="0"/>
        <v>5</v>
      </c>
      <c r="L2" s="69">
        <f t="shared" si="0"/>
        <v>6</v>
      </c>
      <c r="M2" s="69">
        <f t="shared" si="0"/>
        <v>7</v>
      </c>
      <c r="N2" s="69">
        <f t="shared" si="0"/>
        <v>8</v>
      </c>
      <c r="O2" s="69">
        <f t="shared" si="0"/>
        <v>9</v>
      </c>
      <c r="P2" s="69">
        <f t="shared" si="0"/>
        <v>10</v>
      </c>
      <c r="Q2" s="69">
        <f t="shared" si="0"/>
        <v>11</v>
      </c>
      <c r="R2" s="69">
        <f t="shared" si="0"/>
        <v>12</v>
      </c>
      <c r="S2" s="69">
        <f t="shared" si="0"/>
        <v>13</v>
      </c>
      <c r="T2" s="69">
        <f t="shared" si="0"/>
        <v>14</v>
      </c>
      <c r="U2" s="69">
        <f t="shared" si="0"/>
        <v>15</v>
      </c>
      <c r="V2" s="69">
        <f t="shared" si="0"/>
        <v>16</v>
      </c>
      <c r="W2" s="69">
        <f t="shared" si="0"/>
        <v>17</v>
      </c>
      <c r="X2" s="69">
        <f t="shared" ref="X2:AA3" si="1">W2+1</f>
        <v>18</v>
      </c>
      <c r="Y2" s="69">
        <f t="shared" si="1"/>
        <v>19</v>
      </c>
      <c r="Z2" s="69">
        <f t="shared" si="1"/>
        <v>20</v>
      </c>
      <c r="AA2" s="69">
        <f t="shared" si="1"/>
        <v>21</v>
      </c>
    </row>
    <row r="3" spans="1:27" s="776" customFormat="1">
      <c r="A3" s="52"/>
      <c r="B3" s="52"/>
      <c r="C3" s="52"/>
      <c r="D3" s="52"/>
      <c r="E3" s="1266" t="s">
        <v>3</v>
      </c>
      <c r="F3" s="953">
        <v>1999</v>
      </c>
      <c r="G3" s="953">
        <f t="shared" ref="G3:M3" si="2">F3+1</f>
        <v>2000</v>
      </c>
      <c r="H3" s="953">
        <f t="shared" si="2"/>
        <v>2001</v>
      </c>
      <c r="I3" s="953">
        <f t="shared" si="2"/>
        <v>2002</v>
      </c>
      <c r="J3" s="953">
        <f t="shared" si="2"/>
        <v>2003</v>
      </c>
      <c r="K3" s="953">
        <f t="shared" si="2"/>
        <v>2004</v>
      </c>
      <c r="L3" s="953">
        <f t="shared" si="2"/>
        <v>2005</v>
      </c>
      <c r="M3" s="953">
        <f t="shared" si="2"/>
        <v>2006</v>
      </c>
      <c r="N3" s="953">
        <v>2007</v>
      </c>
      <c r="O3" s="953">
        <f>N3+1</f>
        <v>2008</v>
      </c>
      <c r="P3" s="953">
        <f t="shared" si="0"/>
        <v>2009</v>
      </c>
      <c r="Q3" s="953">
        <f t="shared" si="0"/>
        <v>2010</v>
      </c>
      <c r="R3" s="953">
        <f t="shared" si="0"/>
        <v>2011</v>
      </c>
      <c r="S3" s="953">
        <f t="shared" si="0"/>
        <v>2012</v>
      </c>
      <c r="T3" s="953">
        <f t="shared" si="0"/>
        <v>2013</v>
      </c>
      <c r="U3" s="953">
        <f t="shared" si="0"/>
        <v>2014</v>
      </c>
      <c r="V3" s="953">
        <f t="shared" si="0"/>
        <v>2015</v>
      </c>
      <c r="W3" s="953">
        <f t="shared" si="0"/>
        <v>2016</v>
      </c>
      <c r="X3" s="953">
        <f t="shared" si="1"/>
        <v>2017</v>
      </c>
      <c r="Y3" s="953">
        <f t="shared" si="1"/>
        <v>2018</v>
      </c>
      <c r="Z3" s="953">
        <f t="shared" si="1"/>
        <v>2019</v>
      </c>
      <c r="AA3" s="953">
        <f t="shared" si="1"/>
        <v>2020</v>
      </c>
    </row>
    <row r="4" spans="1:27">
      <c r="A4" s="929">
        <v>1</v>
      </c>
      <c r="B4" s="918" t="s">
        <v>751</v>
      </c>
      <c r="C4" s="67"/>
      <c r="D4" s="67"/>
      <c r="E4" s="884"/>
      <c r="F4" s="241"/>
      <c r="G4" s="241"/>
      <c r="H4" s="241"/>
      <c r="I4" s="242"/>
      <c r="J4" s="242"/>
      <c r="K4" s="242"/>
      <c r="L4" s="242"/>
      <c r="M4" s="242"/>
      <c r="N4" s="241"/>
      <c r="O4" s="241"/>
      <c r="P4" s="241"/>
      <c r="Q4" s="241"/>
      <c r="R4" s="241"/>
      <c r="S4" s="241"/>
      <c r="T4" s="241"/>
      <c r="U4" s="242"/>
      <c r="V4" s="242"/>
      <c r="W4" s="242"/>
      <c r="X4" s="242"/>
      <c r="Y4" s="242"/>
      <c r="Z4" s="52"/>
      <c r="AA4" s="52"/>
    </row>
    <row r="5" spans="1:27" s="275" customFormat="1">
      <c r="A5" s="929"/>
      <c r="B5" s="69" t="s">
        <v>657</v>
      </c>
      <c r="C5" s="69"/>
      <c r="D5" s="69"/>
      <c r="E5" s="71"/>
      <c r="F5" s="241"/>
      <c r="G5" s="241"/>
      <c r="H5" s="241"/>
      <c r="I5" s="242"/>
      <c r="J5" s="242"/>
      <c r="K5" s="242"/>
      <c r="L5" s="242"/>
      <c r="M5" s="242"/>
      <c r="N5" s="173" t="e">
        <f>#REF!</f>
        <v>#REF!</v>
      </c>
      <c r="O5" s="173" t="e">
        <f>#REF!</f>
        <v>#REF!</v>
      </c>
      <c r="P5" s="173" t="e">
        <f>#REF!</f>
        <v>#REF!</v>
      </c>
      <c r="Q5" s="173" t="e">
        <f>#REF!</f>
        <v>#REF!</v>
      </c>
      <c r="R5" s="173" t="e">
        <f>#REF!</f>
        <v>#REF!</v>
      </c>
      <c r="S5" s="173" t="e">
        <f>#REF!</f>
        <v>#REF!</v>
      </c>
      <c r="T5" s="173" t="e">
        <f>#REF!</f>
        <v>#REF!</v>
      </c>
      <c r="U5" s="173" t="e">
        <f>#REF!</f>
        <v>#REF!</v>
      </c>
      <c r="V5" s="173" t="e">
        <f>#REF!</f>
        <v>#REF!</v>
      </c>
      <c r="W5" s="173" t="e">
        <f>#REF!</f>
        <v>#REF!</v>
      </c>
      <c r="X5" s="173" t="e">
        <f>#REF!</f>
        <v>#REF!</v>
      </c>
      <c r="Y5" s="173" t="e">
        <f>#REF!</f>
        <v>#REF!</v>
      </c>
      <c r="Z5" s="52"/>
      <c r="AA5" s="52"/>
    </row>
    <row r="6" spans="1:27" s="275" customFormat="1">
      <c r="A6" s="929"/>
      <c r="B6" s="242" t="s">
        <v>635</v>
      </c>
      <c r="C6" s="69"/>
      <c r="D6" s="69"/>
      <c r="E6" s="71"/>
      <c r="F6" s="745"/>
      <c r="G6" s="745"/>
      <c r="H6" s="745"/>
      <c r="I6" s="74"/>
      <c r="J6" s="74"/>
      <c r="K6" s="74"/>
      <c r="L6" s="74"/>
      <c r="M6" s="74"/>
      <c r="N6" s="745"/>
      <c r="O6" s="745" t="e">
        <f>#REF!</f>
        <v>#REF!</v>
      </c>
      <c r="P6" s="745" t="e">
        <f>#REF!</f>
        <v>#REF!</v>
      </c>
      <c r="Q6" s="745" t="e">
        <f>#REF!</f>
        <v>#REF!</v>
      </c>
      <c r="R6" s="745" t="e">
        <f>#REF!</f>
        <v>#REF!</v>
      </c>
      <c r="S6" s="745" t="e">
        <f>#REF!</f>
        <v>#REF!</v>
      </c>
      <c r="T6" s="745" t="e">
        <f>#REF!</f>
        <v>#REF!</v>
      </c>
      <c r="U6" s="745" t="e">
        <f>#REF!</f>
        <v>#REF!</v>
      </c>
      <c r="V6" s="745" t="e">
        <f>#REF!</f>
        <v>#REF!</v>
      </c>
      <c r="W6" s="745" t="e">
        <f>#REF!</f>
        <v>#REF!</v>
      </c>
      <c r="X6" s="745" t="e">
        <f>#REF!</f>
        <v>#REF!</v>
      </c>
      <c r="Y6" s="745" t="e">
        <f>#REF!</f>
        <v>#REF!</v>
      </c>
      <c r="Z6" s="52"/>
      <c r="AA6" s="52"/>
    </row>
    <row r="7" spans="1:27" s="275" customFormat="1">
      <c r="A7" s="929"/>
      <c r="B7" s="242" t="s">
        <v>752</v>
      </c>
      <c r="C7" s="70"/>
      <c r="D7" s="70"/>
      <c r="E7" s="71"/>
      <c r="F7" s="242"/>
      <c r="G7" s="241"/>
      <c r="H7" s="241"/>
      <c r="I7" s="242"/>
      <c r="J7" s="242"/>
      <c r="K7" s="242"/>
      <c r="L7" s="242"/>
      <c r="M7" s="242"/>
      <c r="N7" s="173"/>
      <c r="O7" s="173" t="e">
        <f>O6+O5</f>
        <v>#REF!</v>
      </c>
      <c r="P7" s="173" t="e">
        <f t="shared" ref="P7:T7" si="3">P6+P5</f>
        <v>#REF!</v>
      </c>
      <c r="Q7" s="173" t="e">
        <f t="shared" si="3"/>
        <v>#REF!</v>
      </c>
      <c r="R7" s="173" t="e">
        <f t="shared" si="3"/>
        <v>#REF!</v>
      </c>
      <c r="S7" s="173" t="e">
        <f t="shared" si="3"/>
        <v>#REF!</v>
      </c>
      <c r="T7" s="173" t="e">
        <f t="shared" si="3"/>
        <v>#REF!</v>
      </c>
      <c r="U7" s="173" t="e">
        <f t="shared" ref="U7:Y7" si="4">U6+U5</f>
        <v>#REF!</v>
      </c>
      <c r="V7" s="173" t="e">
        <f t="shared" si="4"/>
        <v>#REF!</v>
      </c>
      <c r="W7" s="173" t="e">
        <f t="shared" si="4"/>
        <v>#REF!</v>
      </c>
      <c r="X7" s="173" t="e">
        <f t="shared" si="4"/>
        <v>#REF!</v>
      </c>
      <c r="Y7" s="173" t="e">
        <f t="shared" si="4"/>
        <v>#REF!</v>
      </c>
      <c r="Z7" s="52"/>
      <c r="AA7" s="52"/>
    </row>
    <row r="8" spans="1:27" s="280" customFormat="1">
      <c r="A8" s="929"/>
      <c r="B8" s="52"/>
      <c r="C8" s="52"/>
      <c r="D8" s="52"/>
      <c r="E8" s="52"/>
      <c r="F8" s="242"/>
      <c r="G8" s="242"/>
      <c r="H8" s="242"/>
      <c r="I8" s="242"/>
      <c r="J8" s="242"/>
      <c r="K8" s="242"/>
      <c r="L8" s="242"/>
      <c r="M8" s="242"/>
      <c r="N8" s="242"/>
      <c r="O8" s="241"/>
      <c r="P8" s="241"/>
      <c r="Q8" s="241"/>
      <c r="R8" s="241"/>
      <c r="S8" s="241"/>
      <c r="T8" s="241"/>
      <c r="U8" s="241"/>
      <c r="V8" s="241"/>
      <c r="W8" s="241"/>
      <c r="X8" s="241"/>
      <c r="Y8" s="241"/>
      <c r="Z8" s="52"/>
      <c r="AA8" s="52"/>
    </row>
    <row r="9" spans="1:27" s="275" customFormat="1">
      <c r="A9" s="929">
        <v>2</v>
      </c>
      <c r="B9" s="918" t="s">
        <v>753</v>
      </c>
      <c r="C9" s="74"/>
      <c r="D9" s="74"/>
      <c r="E9" s="745"/>
      <c r="F9" s="241"/>
      <c r="G9" s="241"/>
      <c r="H9" s="241"/>
      <c r="I9" s="242"/>
      <c r="J9" s="242"/>
      <c r="K9" s="242"/>
      <c r="L9" s="242"/>
      <c r="M9" s="242"/>
      <c r="N9" s="241"/>
      <c r="O9" s="241"/>
      <c r="P9" s="241"/>
      <c r="Q9" s="241"/>
      <c r="R9" s="241"/>
      <c r="S9" s="241"/>
      <c r="T9" s="241"/>
      <c r="U9" s="241"/>
      <c r="V9" s="241"/>
      <c r="W9" s="241"/>
      <c r="X9" s="241"/>
      <c r="Y9" s="241"/>
      <c r="Z9" s="52"/>
      <c r="AA9" s="52"/>
    </row>
    <row r="10" spans="1:27" s="275" customFormat="1">
      <c r="A10" s="929"/>
      <c r="B10" s="242" t="s">
        <v>634</v>
      </c>
      <c r="C10" s="242"/>
      <c r="D10" s="242"/>
      <c r="E10" s="241"/>
      <c r="F10" s="241"/>
      <c r="G10" s="241"/>
      <c r="H10" s="241"/>
      <c r="I10" s="242"/>
      <c r="J10" s="242"/>
      <c r="K10" s="242"/>
      <c r="L10" s="242"/>
      <c r="M10" s="242"/>
      <c r="N10" s="241"/>
      <c r="O10" s="241" t="e">
        <f>#REF!</f>
        <v>#REF!</v>
      </c>
      <c r="P10" s="241" t="e">
        <f>#REF!</f>
        <v>#REF!</v>
      </c>
      <c r="Q10" s="241" t="e">
        <f>#REF!</f>
        <v>#REF!</v>
      </c>
      <c r="R10" s="241" t="e">
        <f>#REF!</f>
        <v>#REF!</v>
      </c>
      <c r="S10" s="241" t="e">
        <f>#REF!</f>
        <v>#REF!</v>
      </c>
      <c r="T10" s="241" t="e">
        <f>#REF!</f>
        <v>#REF!</v>
      </c>
      <c r="U10" s="241" t="e">
        <f>#REF!</f>
        <v>#REF!</v>
      </c>
      <c r="V10" s="241" t="e">
        <f>#REF!</f>
        <v>#REF!</v>
      </c>
      <c r="W10" s="241" t="e">
        <f>#REF!</f>
        <v>#REF!</v>
      </c>
      <c r="X10" s="241" t="e">
        <f>#REF!</f>
        <v>#REF!</v>
      </c>
      <c r="Y10" s="241" t="e">
        <f>#REF!</f>
        <v>#REF!</v>
      </c>
      <c r="Z10" s="52"/>
      <c r="AA10" s="52"/>
    </row>
    <row r="11" spans="1:27" s="275" customFormat="1">
      <c r="A11" s="929"/>
      <c r="B11" s="242" t="s">
        <v>754</v>
      </c>
      <c r="C11" s="242"/>
      <c r="D11" s="242"/>
      <c r="E11" s="241"/>
      <c r="F11" s="745"/>
      <c r="G11" s="745"/>
      <c r="H11" s="745"/>
      <c r="I11" s="74"/>
      <c r="J11" s="74"/>
      <c r="K11" s="74"/>
      <c r="L11" s="74"/>
      <c r="M11" s="74"/>
      <c r="N11" s="745"/>
      <c r="O11" s="745" t="e">
        <f t="shared" ref="O11:T11" si="5">O6</f>
        <v>#REF!</v>
      </c>
      <c r="P11" s="745" t="e">
        <f t="shared" si="5"/>
        <v>#REF!</v>
      </c>
      <c r="Q11" s="745" t="e">
        <f t="shared" si="5"/>
        <v>#REF!</v>
      </c>
      <c r="R11" s="745" t="e">
        <f t="shared" si="5"/>
        <v>#REF!</v>
      </c>
      <c r="S11" s="745" t="e">
        <f t="shared" si="5"/>
        <v>#REF!</v>
      </c>
      <c r="T11" s="745" t="e">
        <f t="shared" si="5"/>
        <v>#REF!</v>
      </c>
      <c r="U11" s="745" t="e">
        <f t="shared" ref="U11:Y11" si="6">U6</f>
        <v>#REF!</v>
      </c>
      <c r="V11" s="745" t="e">
        <f t="shared" si="6"/>
        <v>#REF!</v>
      </c>
      <c r="W11" s="745" t="e">
        <f t="shared" si="6"/>
        <v>#REF!</v>
      </c>
      <c r="X11" s="745" t="e">
        <f t="shared" si="6"/>
        <v>#REF!</v>
      </c>
      <c r="Y11" s="745" t="e">
        <f t="shared" si="6"/>
        <v>#REF!</v>
      </c>
      <c r="Z11" s="52"/>
      <c r="AA11" s="52"/>
    </row>
    <row r="12" spans="1:27" s="275" customFormat="1">
      <c r="A12" s="929"/>
      <c r="B12" s="791" t="s">
        <v>755</v>
      </c>
      <c r="C12" s="242"/>
      <c r="D12" s="242"/>
      <c r="E12" s="241"/>
      <c r="F12" s="241"/>
      <c r="G12" s="241"/>
      <c r="H12" s="241"/>
      <c r="I12" s="242"/>
      <c r="J12" s="242"/>
      <c r="K12" s="242"/>
      <c r="L12" s="242"/>
      <c r="M12" s="242"/>
      <c r="N12" s="173"/>
      <c r="O12" s="241" t="e">
        <f t="shared" ref="O12:S12" si="7">SUM(O10:O11)</f>
        <v>#REF!</v>
      </c>
      <c r="P12" s="241" t="e">
        <f t="shared" si="7"/>
        <v>#REF!</v>
      </c>
      <c r="Q12" s="241" t="e">
        <f t="shared" si="7"/>
        <v>#REF!</v>
      </c>
      <c r="R12" s="241" t="e">
        <f t="shared" si="7"/>
        <v>#REF!</v>
      </c>
      <c r="S12" s="241" t="e">
        <f t="shared" si="7"/>
        <v>#REF!</v>
      </c>
      <c r="T12" s="241" t="e">
        <f>SUM(T10:T11)</f>
        <v>#REF!</v>
      </c>
      <c r="U12" s="241" t="e">
        <f t="shared" ref="U12:Y12" si="8">SUM(U10:U11)</f>
        <v>#REF!</v>
      </c>
      <c r="V12" s="241" t="e">
        <f t="shared" si="8"/>
        <v>#REF!</v>
      </c>
      <c r="W12" s="241" t="e">
        <f t="shared" si="8"/>
        <v>#REF!</v>
      </c>
      <c r="X12" s="241" t="e">
        <f t="shared" si="8"/>
        <v>#REF!</v>
      </c>
      <c r="Y12" s="241" t="e">
        <f t="shared" si="8"/>
        <v>#REF!</v>
      </c>
      <c r="Z12" s="52"/>
      <c r="AA12" s="52"/>
    </row>
    <row r="13" spans="1:27" s="275" customFormat="1">
      <c r="A13" s="929"/>
      <c r="B13" s="1024" t="s">
        <v>756</v>
      </c>
      <c r="C13" s="242"/>
      <c r="D13" s="242"/>
      <c r="E13" s="241"/>
      <c r="F13" s="241"/>
      <c r="G13" s="241"/>
      <c r="H13" s="241"/>
      <c r="I13" s="242"/>
      <c r="J13" s="242"/>
      <c r="K13" s="242"/>
      <c r="L13" s="242"/>
      <c r="M13" s="242"/>
      <c r="N13" s="241"/>
      <c r="O13" s="241" t="e">
        <f>-#REF!</f>
        <v>#REF!</v>
      </c>
      <c r="P13" s="241" t="e">
        <f>-#REF!</f>
        <v>#REF!</v>
      </c>
      <c r="Q13" s="241" t="e">
        <f>-#REF!</f>
        <v>#REF!</v>
      </c>
      <c r="R13" s="241" t="e">
        <f>-#REF!</f>
        <v>#REF!</v>
      </c>
      <c r="S13" s="241" t="e">
        <f>-#REF!</f>
        <v>#REF!</v>
      </c>
      <c r="T13" s="241" t="e">
        <f>-#REF!</f>
        <v>#REF!</v>
      </c>
      <c r="U13" s="241" t="e">
        <f>-#REF!</f>
        <v>#REF!</v>
      </c>
      <c r="V13" s="241" t="e">
        <f>-#REF!</f>
        <v>#REF!</v>
      </c>
      <c r="W13" s="241" t="e">
        <f>-#REF!</f>
        <v>#REF!</v>
      </c>
      <c r="X13" s="241" t="e">
        <f>-#REF!</f>
        <v>#REF!</v>
      </c>
      <c r="Y13" s="241" t="e">
        <f>-#REF!</f>
        <v>#REF!</v>
      </c>
      <c r="Z13" s="52"/>
      <c r="AA13" s="52"/>
    </row>
    <row r="14" spans="1:27" s="592" customFormat="1">
      <c r="A14" s="929"/>
      <c r="B14" s="1024" t="s">
        <v>757</v>
      </c>
      <c r="C14" s="242"/>
      <c r="D14" s="242"/>
      <c r="E14" s="241"/>
      <c r="F14" s="745"/>
      <c r="G14" s="745"/>
      <c r="H14" s="745"/>
      <c r="I14" s="74"/>
      <c r="J14" s="74"/>
      <c r="K14" s="74"/>
      <c r="L14" s="74"/>
      <c r="M14" s="74"/>
      <c r="N14" s="745"/>
      <c r="O14" s="745" t="e">
        <f>-#REF!</f>
        <v>#REF!</v>
      </c>
      <c r="P14" s="745" t="e">
        <f>-#REF!</f>
        <v>#REF!</v>
      </c>
      <c r="Q14" s="745" t="e">
        <f>-#REF!</f>
        <v>#REF!</v>
      </c>
      <c r="R14" s="745" t="e">
        <f>-#REF!</f>
        <v>#REF!</v>
      </c>
      <c r="S14" s="745" t="e">
        <f>-#REF!</f>
        <v>#REF!</v>
      </c>
      <c r="T14" s="745" t="e">
        <f>-#REF!</f>
        <v>#REF!</v>
      </c>
      <c r="U14" s="745" t="e">
        <f>-#REF!</f>
        <v>#REF!</v>
      </c>
      <c r="V14" s="745" t="e">
        <f>-#REF!</f>
        <v>#REF!</v>
      </c>
      <c r="W14" s="745" t="e">
        <f>-#REF!</f>
        <v>#REF!</v>
      </c>
      <c r="X14" s="745" t="e">
        <f>-#REF!</f>
        <v>#REF!</v>
      </c>
      <c r="Y14" s="745" t="e">
        <f>-#REF!</f>
        <v>#REF!</v>
      </c>
      <c r="Z14" s="52"/>
      <c r="AA14" s="52"/>
    </row>
    <row r="15" spans="1:27" s="592" customFormat="1">
      <c r="A15" s="929"/>
      <c r="B15" s="791" t="s">
        <v>758</v>
      </c>
      <c r="C15" s="242"/>
      <c r="D15" s="242"/>
      <c r="E15" s="241"/>
      <c r="F15" s="241"/>
      <c r="G15" s="241"/>
      <c r="H15" s="241"/>
      <c r="I15" s="242"/>
      <c r="J15" s="242"/>
      <c r="K15" s="242"/>
      <c r="L15" s="242"/>
      <c r="M15" s="242"/>
      <c r="N15" s="241"/>
      <c r="O15" s="241" t="e">
        <f>O12+O13+O14</f>
        <v>#REF!</v>
      </c>
      <c r="P15" s="241" t="e">
        <f t="shared" ref="P15:T15" si="9">P12+P13+P14</f>
        <v>#REF!</v>
      </c>
      <c r="Q15" s="241" t="e">
        <f t="shared" si="9"/>
        <v>#REF!</v>
      </c>
      <c r="R15" s="241" t="e">
        <f t="shared" si="9"/>
        <v>#REF!</v>
      </c>
      <c r="S15" s="241" t="e">
        <f t="shared" si="9"/>
        <v>#REF!</v>
      </c>
      <c r="T15" s="241" t="e">
        <f t="shared" si="9"/>
        <v>#REF!</v>
      </c>
      <c r="U15" s="241" t="e">
        <f t="shared" ref="U15:Y15" si="10">U12+U13+U14</f>
        <v>#REF!</v>
      </c>
      <c r="V15" s="241" t="e">
        <f t="shared" si="10"/>
        <v>#REF!</v>
      </c>
      <c r="W15" s="241" t="e">
        <f t="shared" si="10"/>
        <v>#REF!</v>
      </c>
      <c r="X15" s="241" t="e">
        <f t="shared" si="10"/>
        <v>#REF!</v>
      </c>
      <c r="Y15" s="241" t="e">
        <f t="shared" si="10"/>
        <v>#REF!</v>
      </c>
      <c r="Z15" s="52"/>
      <c r="AA15" s="52"/>
    </row>
    <row r="16" spans="1:27" s="275" customFormat="1">
      <c r="A16" s="52"/>
      <c r="B16" s="52"/>
      <c r="C16" s="52"/>
      <c r="D16" s="52"/>
      <c r="E16" s="52"/>
      <c r="F16" s="242"/>
      <c r="G16" s="242"/>
      <c r="H16" s="242"/>
      <c r="I16" s="242"/>
      <c r="J16" s="242"/>
      <c r="K16" s="242"/>
      <c r="L16" s="242"/>
      <c r="M16" s="242"/>
      <c r="N16" s="242"/>
      <c r="O16" s="242"/>
      <c r="P16" s="242"/>
      <c r="Q16" s="242"/>
      <c r="R16" s="242"/>
      <c r="S16" s="242"/>
      <c r="T16" s="242"/>
      <c r="U16" s="242"/>
      <c r="V16" s="242"/>
      <c r="W16" s="242"/>
      <c r="X16" s="242"/>
      <c r="Y16" s="242"/>
      <c r="Z16" s="52"/>
      <c r="AA16" s="52"/>
    </row>
    <row r="17" spans="1:27" s="275" customFormat="1">
      <c r="A17" s="929">
        <v>3</v>
      </c>
      <c r="B17" s="918" t="s">
        <v>657</v>
      </c>
      <c r="C17" s="74"/>
      <c r="D17" s="74"/>
      <c r="E17" s="884"/>
      <c r="F17" s="241"/>
      <c r="G17" s="241"/>
      <c r="H17" s="241"/>
      <c r="I17" s="242"/>
      <c r="J17" s="242"/>
      <c r="K17" s="242"/>
      <c r="L17" s="242"/>
      <c r="M17" s="242"/>
      <c r="N17" s="241"/>
      <c r="O17" s="241"/>
      <c r="P17" s="241"/>
      <c r="Q17" s="241"/>
      <c r="R17" s="241"/>
      <c r="S17" s="241"/>
      <c r="T17" s="241"/>
      <c r="U17" s="241"/>
      <c r="V17" s="241"/>
      <c r="W17" s="241"/>
      <c r="X17" s="241"/>
      <c r="Y17" s="241"/>
      <c r="Z17" s="52"/>
      <c r="AA17" s="52"/>
    </row>
    <row r="18" spans="1:27" s="275" customFormat="1">
      <c r="A18" s="791"/>
      <c r="B18" s="242" t="s">
        <v>634</v>
      </c>
      <c r="C18" s="242"/>
      <c r="D18" s="242"/>
      <c r="E18" s="241"/>
      <c r="F18" s="241"/>
      <c r="G18" s="241"/>
      <c r="H18" s="241"/>
      <c r="I18" s="242"/>
      <c r="J18" s="242"/>
      <c r="K18" s="242"/>
      <c r="L18" s="242"/>
      <c r="M18" s="242"/>
      <c r="N18" s="241"/>
      <c r="O18" s="241" t="e">
        <f>O10</f>
        <v>#REF!</v>
      </c>
      <c r="P18" s="241" t="e">
        <f t="shared" ref="P18:T18" si="11">P10</f>
        <v>#REF!</v>
      </c>
      <c r="Q18" s="241" t="e">
        <f t="shared" si="11"/>
        <v>#REF!</v>
      </c>
      <c r="R18" s="241" t="e">
        <f t="shared" si="11"/>
        <v>#REF!</v>
      </c>
      <c r="S18" s="241" t="e">
        <f t="shared" si="11"/>
        <v>#REF!</v>
      </c>
      <c r="T18" s="241" t="e">
        <f t="shared" si="11"/>
        <v>#REF!</v>
      </c>
      <c r="U18" s="241" t="e">
        <f t="shared" ref="U18:Y18" si="12">U10</f>
        <v>#REF!</v>
      </c>
      <c r="V18" s="241" t="e">
        <f t="shared" si="12"/>
        <v>#REF!</v>
      </c>
      <c r="W18" s="241" t="e">
        <f t="shared" si="12"/>
        <v>#REF!</v>
      </c>
      <c r="X18" s="241" t="e">
        <f t="shared" si="12"/>
        <v>#REF!</v>
      </c>
      <c r="Y18" s="241" t="e">
        <f t="shared" si="12"/>
        <v>#REF!</v>
      </c>
      <c r="Z18" s="52"/>
      <c r="AA18" s="52"/>
    </row>
    <row r="19" spans="1:27" s="275" customFormat="1">
      <c r="A19" s="791"/>
      <c r="B19" s="1024" t="s">
        <v>756</v>
      </c>
      <c r="C19" s="242"/>
      <c r="D19" s="242"/>
      <c r="E19" s="241"/>
      <c r="F19" s="241"/>
      <c r="G19" s="241"/>
      <c r="H19" s="241"/>
      <c r="I19" s="242"/>
      <c r="J19" s="242"/>
      <c r="K19" s="242"/>
      <c r="L19" s="242"/>
      <c r="M19" s="242"/>
      <c r="N19" s="241"/>
      <c r="O19" s="241" t="e">
        <f>O13</f>
        <v>#REF!</v>
      </c>
      <c r="P19" s="241" t="e">
        <f t="shared" ref="P19:T19" si="13">P13</f>
        <v>#REF!</v>
      </c>
      <c r="Q19" s="241" t="e">
        <f t="shared" si="13"/>
        <v>#REF!</v>
      </c>
      <c r="R19" s="241" t="e">
        <f t="shared" si="13"/>
        <v>#REF!</v>
      </c>
      <c r="S19" s="241" t="e">
        <f t="shared" si="13"/>
        <v>#REF!</v>
      </c>
      <c r="T19" s="241" t="e">
        <f t="shared" si="13"/>
        <v>#REF!</v>
      </c>
      <c r="U19" s="241" t="e">
        <f t="shared" ref="U19:Y19" si="14">U13</f>
        <v>#REF!</v>
      </c>
      <c r="V19" s="241" t="e">
        <f t="shared" si="14"/>
        <v>#REF!</v>
      </c>
      <c r="W19" s="241" t="e">
        <f t="shared" si="14"/>
        <v>#REF!</v>
      </c>
      <c r="X19" s="241" t="e">
        <f t="shared" si="14"/>
        <v>#REF!</v>
      </c>
      <c r="Y19" s="241" t="e">
        <f t="shared" si="14"/>
        <v>#REF!</v>
      </c>
      <c r="Z19" s="52"/>
      <c r="AA19" s="52"/>
    </row>
    <row r="20" spans="1:27" s="592" customFormat="1">
      <c r="A20" s="791"/>
      <c r="B20" s="1024" t="s">
        <v>757</v>
      </c>
      <c r="C20" s="242"/>
      <c r="D20" s="242"/>
      <c r="E20" s="241"/>
      <c r="F20" s="745"/>
      <c r="G20" s="745"/>
      <c r="H20" s="745"/>
      <c r="I20" s="74"/>
      <c r="J20" s="74"/>
      <c r="K20" s="74"/>
      <c r="L20" s="74"/>
      <c r="M20" s="74"/>
      <c r="N20" s="745"/>
      <c r="O20" s="745" t="e">
        <f>O14</f>
        <v>#REF!</v>
      </c>
      <c r="P20" s="745" t="e">
        <f t="shared" ref="P20:T20" si="15">P14</f>
        <v>#REF!</v>
      </c>
      <c r="Q20" s="745" t="e">
        <f t="shared" si="15"/>
        <v>#REF!</v>
      </c>
      <c r="R20" s="745" t="e">
        <f t="shared" si="15"/>
        <v>#REF!</v>
      </c>
      <c r="S20" s="745" t="e">
        <f t="shared" si="15"/>
        <v>#REF!</v>
      </c>
      <c r="T20" s="745" t="e">
        <f t="shared" si="15"/>
        <v>#REF!</v>
      </c>
      <c r="U20" s="745" t="e">
        <f t="shared" ref="U20:Y20" si="16">U14</f>
        <v>#REF!</v>
      </c>
      <c r="V20" s="745" t="e">
        <f t="shared" si="16"/>
        <v>#REF!</v>
      </c>
      <c r="W20" s="745" t="e">
        <f t="shared" si="16"/>
        <v>#REF!</v>
      </c>
      <c r="X20" s="745" t="e">
        <f t="shared" si="16"/>
        <v>#REF!</v>
      </c>
      <c r="Y20" s="745" t="e">
        <f t="shared" si="16"/>
        <v>#REF!</v>
      </c>
      <c r="Z20" s="52"/>
      <c r="AA20" s="52"/>
    </row>
    <row r="21" spans="1:27" s="592" customFormat="1">
      <c r="A21" s="791"/>
      <c r="B21" s="242" t="s">
        <v>657</v>
      </c>
      <c r="C21" s="242"/>
      <c r="D21" s="242"/>
      <c r="E21" s="241"/>
      <c r="F21" s="241"/>
      <c r="G21" s="241"/>
      <c r="H21" s="241"/>
      <c r="I21" s="242"/>
      <c r="J21" s="242"/>
      <c r="K21" s="242"/>
      <c r="L21" s="242"/>
      <c r="M21" s="242"/>
      <c r="N21" s="241"/>
      <c r="O21" s="241" t="e">
        <f>SUM(O18:O20)</f>
        <v>#REF!</v>
      </c>
      <c r="P21" s="241" t="e">
        <f t="shared" ref="P21:T21" si="17">SUM(P18:P20)</f>
        <v>#REF!</v>
      </c>
      <c r="Q21" s="241" t="e">
        <f t="shared" si="17"/>
        <v>#REF!</v>
      </c>
      <c r="R21" s="241" t="e">
        <f t="shared" si="17"/>
        <v>#REF!</v>
      </c>
      <c r="S21" s="241" t="e">
        <f t="shared" si="17"/>
        <v>#REF!</v>
      </c>
      <c r="T21" s="241" t="e">
        <f t="shared" si="17"/>
        <v>#REF!</v>
      </c>
      <c r="U21" s="241" t="e">
        <f t="shared" ref="U21:Y21" si="18">SUM(U18:U20)</f>
        <v>#REF!</v>
      </c>
      <c r="V21" s="241" t="e">
        <f t="shared" si="18"/>
        <v>#REF!</v>
      </c>
      <c r="W21" s="241" t="e">
        <f t="shared" si="18"/>
        <v>#REF!</v>
      </c>
      <c r="X21" s="241" t="e">
        <f t="shared" si="18"/>
        <v>#REF!</v>
      </c>
      <c r="Y21" s="241" t="e">
        <f t="shared" si="18"/>
        <v>#REF!</v>
      </c>
      <c r="Z21" s="52"/>
      <c r="AA21" s="52"/>
    </row>
    <row r="22" spans="1:27" s="275" customFormat="1">
      <c r="A22" s="52"/>
      <c r="B22" s="52"/>
      <c r="C22" s="52"/>
      <c r="D22" s="52"/>
      <c r="E22" s="52"/>
      <c r="F22" s="242"/>
      <c r="G22" s="242"/>
      <c r="H22" s="242"/>
      <c r="I22" s="242"/>
      <c r="J22" s="242"/>
      <c r="K22" s="242"/>
      <c r="L22" s="242"/>
      <c r="M22" s="242"/>
      <c r="N22" s="242"/>
      <c r="O22" s="242"/>
      <c r="P22" s="241"/>
      <c r="Q22" s="242"/>
      <c r="R22" s="242"/>
      <c r="S22" s="242"/>
      <c r="T22" s="242"/>
      <c r="U22" s="242"/>
      <c r="V22" s="242"/>
      <c r="W22" s="242"/>
      <c r="X22" s="242"/>
      <c r="Y22" s="242"/>
      <c r="Z22" s="52"/>
      <c r="AA22" s="52"/>
    </row>
    <row r="23" spans="1:27" s="275" customFormat="1">
      <c r="A23" s="920">
        <v>4</v>
      </c>
      <c r="B23" s="922" t="s">
        <v>759</v>
      </c>
      <c r="C23" s="73"/>
      <c r="D23" s="73"/>
      <c r="E23" s="173"/>
      <c r="F23" s="173"/>
      <c r="G23" s="173"/>
      <c r="H23" s="173"/>
      <c r="I23" s="73"/>
      <c r="J23" s="73"/>
      <c r="K23" s="73"/>
      <c r="L23" s="73"/>
      <c r="M23" s="73"/>
      <c r="N23" s="173"/>
      <c r="O23" s="173" t="e">
        <f>AVERAGE(N5:O5)</f>
        <v>#REF!</v>
      </c>
      <c r="P23" s="173" t="e">
        <f t="shared" ref="P23:T23" si="19">AVERAGE(O5:P5)</f>
        <v>#REF!</v>
      </c>
      <c r="Q23" s="173" t="e">
        <f t="shared" si="19"/>
        <v>#REF!</v>
      </c>
      <c r="R23" s="173" t="e">
        <f t="shared" si="19"/>
        <v>#REF!</v>
      </c>
      <c r="S23" s="173" t="e">
        <f t="shared" si="19"/>
        <v>#REF!</v>
      </c>
      <c r="T23" s="173" t="e">
        <f t="shared" si="19"/>
        <v>#REF!</v>
      </c>
      <c r="U23" s="173" t="e">
        <f t="shared" ref="U23" si="20">AVERAGE(T5:U5)</f>
        <v>#REF!</v>
      </c>
      <c r="V23" s="173" t="e">
        <f t="shared" ref="V23" si="21">AVERAGE(U5:V5)</f>
        <v>#REF!</v>
      </c>
      <c r="W23" s="173" t="e">
        <f t="shared" ref="W23" si="22">AVERAGE(V5:W5)</f>
        <v>#REF!</v>
      </c>
      <c r="X23" s="173" t="e">
        <f t="shared" ref="X23" si="23">AVERAGE(W5:X5)</f>
        <v>#REF!</v>
      </c>
      <c r="Y23" s="173" t="e">
        <f t="shared" ref="Y23" si="24">AVERAGE(X5:Y5)</f>
        <v>#REF!</v>
      </c>
      <c r="Z23" s="52"/>
      <c r="AA23" s="52"/>
    </row>
    <row r="24" spans="1:27" s="275" customFormat="1">
      <c r="A24" s="920"/>
      <c r="B24" s="73"/>
      <c r="C24" s="73"/>
      <c r="D24" s="73"/>
      <c r="E24" s="173"/>
      <c r="F24" s="173"/>
      <c r="G24" s="173"/>
      <c r="H24" s="173"/>
      <c r="I24" s="73"/>
      <c r="J24" s="73"/>
      <c r="K24" s="73"/>
      <c r="L24" s="73"/>
      <c r="M24" s="73"/>
      <c r="N24" s="173"/>
      <c r="O24" s="173"/>
      <c r="P24" s="173"/>
      <c r="Q24" s="173"/>
      <c r="R24" s="173"/>
      <c r="S24" s="173"/>
      <c r="T24" s="173"/>
      <c r="U24" s="242"/>
      <c r="V24" s="242"/>
      <c r="W24" s="242"/>
      <c r="X24" s="242"/>
      <c r="Y24" s="242"/>
      <c r="Z24" s="52"/>
      <c r="AA24" s="52"/>
    </row>
    <row r="25" spans="1:27" s="275" customFormat="1" ht="13.5">
      <c r="A25" s="929">
        <v>5</v>
      </c>
      <c r="B25" s="921" t="s">
        <v>760</v>
      </c>
      <c r="C25" s="67"/>
      <c r="D25" s="67"/>
      <c r="E25" s="884"/>
      <c r="F25" s="241"/>
      <c r="G25" s="241"/>
      <c r="H25" s="241"/>
      <c r="I25" s="242"/>
      <c r="J25" s="242"/>
      <c r="K25" s="242"/>
      <c r="L25" s="242"/>
      <c r="M25" s="242"/>
      <c r="N25" s="241"/>
      <c r="O25" s="241"/>
      <c r="P25" s="241"/>
      <c r="Q25" s="241"/>
      <c r="R25" s="241"/>
      <c r="S25" s="241"/>
      <c r="T25" s="648"/>
      <c r="U25" s="242"/>
      <c r="V25" s="242"/>
      <c r="W25" s="242"/>
      <c r="X25" s="242"/>
      <c r="Y25" s="242"/>
      <c r="Z25" s="52"/>
      <c r="AA25" s="52"/>
    </row>
    <row r="26" spans="1:27" s="275" customFormat="1">
      <c r="A26" s="929"/>
      <c r="B26" s="52" t="s">
        <v>654</v>
      </c>
      <c r="C26" s="52"/>
      <c r="D26" s="52"/>
      <c r="E26" s="70"/>
      <c r="F26" s="744" t="s">
        <v>631</v>
      </c>
      <c r="G26" s="241"/>
      <c r="H26" s="1067"/>
      <c r="I26" s="242"/>
      <c r="J26" s="242"/>
      <c r="K26" s="242"/>
      <c r="L26" s="242"/>
      <c r="M26" s="242"/>
      <c r="N26" s="1067"/>
      <c r="O26" s="1067" t="e">
        <f>#REF!</f>
        <v>#REF!</v>
      </c>
      <c r="P26" s="1067" t="e">
        <f>#REF!</f>
        <v>#REF!</v>
      </c>
      <c r="Q26" s="1067" t="e">
        <f>#REF!</f>
        <v>#REF!</v>
      </c>
      <c r="R26" s="1067" t="e">
        <f>#REF!</f>
        <v>#REF!</v>
      </c>
      <c r="S26" s="1067" t="e">
        <f>#REF!</f>
        <v>#REF!</v>
      </c>
      <c r="T26" s="1067" t="e">
        <f>#REF!</f>
        <v>#REF!</v>
      </c>
      <c r="U26" s="242"/>
      <c r="V26" s="242"/>
      <c r="W26" s="242"/>
      <c r="X26" s="242"/>
      <c r="Y26" s="242"/>
      <c r="Z26" s="52"/>
      <c r="AA26" s="52"/>
    </row>
    <row r="27" spans="1:27" s="275" customFormat="1">
      <c r="A27" s="929"/>
      <c r="B27" s="52" t="s">
        <v>761</v>
      </c>
      <c r="C27" s="52"/>
      <c r="D27" s="52"/>
      <c r="E27" s="70"/>
      <c r="F27" s="784" t="s">
        <v>631</v>
      </c>
      <c r="G27" s="745"/>
      <c r="H27" s="1068"/>
      <c r="I27" s="1068"/>
      <c r="J27" s="1068"/>
      <c r="K27" s="1068"/>
      <c r="L27" s="1068"/>
      <c r="M27" s="1068"/>
      <c r="N27" s="1068"/>
      <c r="O27" s="1068"/>
      <c r="P27" s="1068"/>
      <c r="Q27" s="1068"/>
      <c r="R27" s="1068"/>
      <c r="S27" s="1068"/>
      <c r="T27" s="1068"/>
      <c r="U27" s="242"/>
      <c r="V27" s="242"/>
      <c r="W27" s="242"/>
      <c r="X27" s="242"/>
      <c r="Y27" s="242"/>
      <c r="Z27" s="52"/>
      <c r="AA27" s="52"/>
    </row>
    <row r="28" spans="1:27" s="275" customFormat="1">
      <c r="A28" s="929"/>
      <c r="B28" s="52" t="s">
        <v>762</v>
      </c>
      <c r="C28" s="52"/>
      <c r="D28" s="52"/>
      <c r="E28" s="70"/>
      <c r="F28" s="744" t="s">
        <v>631</v>
      </c>
      <c r="G28" s="241"/>
      <c r="H28" s="1067"/>
      <c r="I28" s="242"/>
      <c r="J28" s="242"/>
      <c r="K28" s="242"/>
      <c r="L28" s="242"/>
      <c r="M28" s="242"/>
      <c r="N28" s="1067"/>
      <c r="O28" s="1067" t="e">
        <f t="shared" ref="O28:T28" si="25">O26-O27</f>
        <v>#REF!</v>
      </c>
      <c r="P28" s="1067" t="e">
        <f t="shared" si="25"/>
        <v>#REF!</v>
      </c>
      <c r="Q28" s="1067" t="e">
        <f t="shared" si="25"/>
        <v>#REF!</v>
      </c>
      <c r="R28" s="1067" t="e">
        <f t="shared" si="25"/>
        <v>#REF!</v>
      </c>
      <c r="S28" s="1067" t="e">
        <f t="shared" si="25"/>
        <v>#REF!</v>
      </c>
      <c r="T28" s="1067" t="e">
        <f t="shared" si="25"/>
        <v>#REF!</v>
      </c>
      <c r="U28" s="242"/>
      <c r="V28" s="242"/>
      <c r="W28" s="242"/>
      <c r="X28" s="242"/>
      <c r="Y28" s="242"/>
      <c r="Z28" s="52"/>
      <c r="AA28" s="52"/>
    </row>
    <row r="29" spans="1:27" s="381" customFormat="1">
      <c r="A29" s="929"/>
      <c r="B29" s="52" t="s">
        <v>763</v>
      </c>
      <c r="C29" s="52"/>
      <c r="D29" s="52"/>
      <c r="E29" s="70"/>
      <c r="F29" s="745"/>
      <c r="G29" s="745"/>
      <c r="H29" s="745"/>
      <c r="I29" s="74"/>
      <c r="J29" s="74"/>
      <c r="K29" s="74"/>
      <c r="L29" s="74"/>
      <c r="M29" s="74"/>
      <c r="N29" s="745"/>
      <c r="O29" s="745" t="e">
        <f>#REF!</f>
        <v>#REF!</v>
      </c>
      <c r="P29" s="745" t="e">
        <f>#REF!</f>
        <v>#REF!</v>
      </c>
      <c r="Q29" s="745" t="e">
        <f>#REF!</f>
        <v>#REF!</v>
      </c>
      <c r="R29" s="745" t="e">
        <f>#REF!</f>
        <v>#REF!</v>
      </c>
      <c r="S29" s="745" t="e">
        <f>#REF!</f>
        <v>#REF!</v>
      </c>
      <c r="T29" s="745" t="e">
        <f>#REF!</f>
        <v>#REF!</v>
      </c>
      <c r="U29" s="242"/>
      <c r="V29" s="242"/>
      <c r="W29" s="242"/>
      <c r="X29" s="242"/>
      <c r="Y29" s="242"/>
      <c r="Z29" s="52"/>
      <c r="AA29" s="52"/>
    </row>
    <row r="30" spans="1:27" s="381" customFormat="1">
      <c r="A30" s="929"/>
      <c r="B30" s="791" t="s">
        <v>635</v>
      </c>
      <c r="C30" s="242"/>
      <c r="D30" s="242"/>
      <c r="E30" s="241"/>
      <c r="F30" s="744" t="s">
        <v>32</v>
      </c>
      <c r="G30" s="241"/>
      <c r="H30" s="241"/>
      <c r="I30" s="242"/>
      <c r="J30" s="242"/>
      <c r="K30" s="242"/>
      <c r="L30" s="242"/>
      <c r="M30" s="242"/>
      <c r="N30" s="241"/>
      <c r="O30" s="241" t="e">
        <f t="shared" ref="O30:S30" si="26">O28*O29/1000</f>
        <v>#REF!</v>
      </c>
      <c r="P30" s="241" t="e">
        <f t="shared" si="26"/>
        <v>#REF!</v>
      </c>
      <c r="Q30" s="241" t="e">
        <f t="shared" si="26"/>
        <v>#REF!</v>
      </c>
      <c r="R30" s="241" t="e">
        <f t="shared" si="26"/>
        <v>#REF!</v>
      </c>
      <c r="S30" s="241" t="e">
        <f t="shared" si="26"/>
        <v>#REF!</v>
      </c>
      <c r="T30" s="241" t="e">
        <f>T28*T29/1000</f>
        <v>#REF!</v>
      </c>
      <c r="U30" s="242"/>
      <c r="V30" s="242"/>
      <c r="W30" s="242"/>
      <c r="X30" s="242"/>
      <c r="Y30" s="242"/>
      <c r="Z30" s="52"/>
      <c r="AA30" s="52"/>
    </row>
    <row r="31" spans="1:27" s="275" customFormat="1">
      <c r="A31" s="920"/>
      <c r="B31" s="73"/>
      <c r="C31" s="73"/>
      <c r="D31" s="73"/>
      <c r="E31" s="173"/>
      <c r="F31" s="173"/>
      <c r="G31" s="173"/>
      <c r="H31" s="173"/>
      <c r="I31" s="242"/>
      <c r="J31" s="242"/>
      <c r="K31" s="242"/>
      <c r="L31" s="242"/>
      <c r="M31" s="242"/>
      <c r="N31" s="173"/>
      <c r="O31" s="173"/>
      <c r="P31" s="173"/>
      <c r="Q31" s="173"/>
      <c r="R31" s="173"/>
      <c r="S31" s="173"/>
      <c r="T31" s="173"/>
      <c r="U31" s="242"/>
      <c r="V31" s="242"/>
      <c r="W31" s="242"/>
      <c r="X31" s="242"/>
      <c r="Y31" s="242"/>
      <c r="Z31" s="52"/>
      <c r="AA31" s="52"/>
    </row>
    <row r="32" spans="1:27" s="275" customFormat="1">
      <c r="A32" s="929">
        <v>6</v>
      </c>
      <c r="B32" s="921" t="s">
        <v>764</v>
      </c>
      <c r="C32" s="74"/>
      <c r="D32" s="74"/>
      <c r="E32" s="745"/>
      <c r="F32" s="241"/>
      <c r="G32" s="241"/>
      <c r="H32" s="241"/>
      <c r="I32" s="242"/>
      <c r="J32" s="242"/>
      <c r="K32" s="242"/>
      <c r="L32" s="242"/>
      <c r="M32" s="242"/>
      <c r="N32" s="241"/>
      <c r="O32" s="241"/>
      <c r="P32" s="241"/>
      <c r="Q32" s="241"/>
      <c r="R32" s="241"/>
      <c r="S32" s="241"/>
      <c r="T32" s="173"/>
      <c r="U32" s="242"/>
      <c r="V32" s="242"/>
      <c r="W32" s="242"/>
      <c r="X32" s="242"/>
      <c r="Y32" s="242"/>
      <c r="Z32" s="52"/>
      <c r="AA32" s="52"/>
    </row>
    <row r="33" spans="1:27">
      <c r="A33" s="929"/>
      <c r="B33" s="791" t="s">
        <v>765</v>
      </c>
      <c r="C33" s="242"/>
      <c r="D33" s="242"/>
      <c r="E33" s="241" t="s">
        <v>766</v>
      </c>
      <c r="F33" s="241"/>
      <c r="G33" s="241"/>
      <c r="H33" s="241"/>
      <c r="I33" s="242"/>
      <c r="J33" s="242"/>
      <c r="K33" s="242"/>
      <c r="L33" s="242"/>
      <c r="M33" s="242"/>
      <c r="N33" s="241"/>
      <c r="O33" s="241" t="e">
        <f>O35/O36</f>
        <v>#REF!</v>
      </c>
      <c r="P33" s="241" t="e">
        <f t="shared" ref="P33:R33" si="27">P35/P36</f>
        <v>#REF!</v>
      </c>
      <c r="Q33" s="241" t="e">
        <f t="shared" si="27"/>
        <v>#REF!</v>
      </c>
      <c r="R33" s="241" t="e">
        <f t="shared" si="27"/>
        <v>#REF!</v>
      </c>
      <c r="S33" s="241" t="e">
        <f>S35/S36</f>
        <v>#REF!</v>
      </c>
      <c r="T33" s="241" t="e">
        <f>T35/T36</f>
        <v>#REF!</v>
      </c>
      <c r="U33" s="242"/>
      <c r="V33" s="242"/>
      <c r="W33" s="242"/>
      <c r="X33" s="242"/>
      <c r="Y33" s="242"/>
      <c r="Z33" s="52"/>
      <c r="AA33" s="52"/>
    </row>
    <row r="34" spans="1:27">
      <c r="A34" s="929"/>
      <c r="B34" s="791"/>
      <c r="C34" s="242"/>
      <c r="D34" s="242"/>
      <c r="E34" s="241"/>
      <c r="F34" s="241"/>
      <c r="G34" s="241"/>
      <c r="H34" s="241"/>
      <c r="I34" s="242"/>
      <c r="J34" s="242"/>
      <c r="K34" s="242"/>
      <c r="L34" s="242"/>
      <c r="M34" s="242"/>
      <c r="N34" s="241"/>
      <c r="O34" s="241"/>
      <c r="P34" s="241"/>
      <c r="Q34" s="241"/>
      <c r="R34" s="241"/>
      <c r="S34" s="241"/>
      <c r="T34" s="241"/>
      <c r="U34" s="242"/>
      <c r="V34" s="242"/>
      <c r="W34" s="242"/>
      <c r="X34" s="242"/>
      <c r="Y34" s="242"/>
      <c r="Z34" s="52"/>
      <c r="AA34" s="52"/>
    </row>
    <row r="35" spans="1:27">
      <c r="A35" s="929"/>
      <c r="B35" s="791"/>
      <c r="C35" s="242" t="s">
        <v>767</v>
      </c>
      <c r="D35" s="242"/>
      <c r="E35" s="241"/>
      <c r="F35" s="241"/>
      <c r="G35" s="241"/>
      <c r="H35" s="241"/>
      <c r="I35" s="242"/>
      <c r="J35" s="242"/>
      <c r="K35" s="242"/>
      <c r="L35" s="242"/>
      <c r="M35" s="242"/>
      <c r="N35" s="241"/>
      <c r="O35" s="241" t="e">
        <f>#REF!</f>
        <v>#REF!</v>
      </c>
      <c r="P35" s="241" t="e">
        <f>#REF!</f>
        <v>#REF!</v>
      </c>
      <c r="Q35" s="241" t="e">
        <f>#REF!</f>
        <v>#REF!</v>
      </c>
      <c r="R35" s="241" t="e">
        <f>#REF!</f>
        <v>#REF!</v>
      </c>
      <c r="S35" s="241" t="e">
        <f>#REF!</f>
        <v>#REF!</v>
      </c>
      <c r="T35" s="241" t="e">
        <f>#REF!</f>
        <v>#REF!</v>
      </c>
      <c r="U35" s="242"/>
      <c r="V35" s="242"/>
      <c r="W35" s="242"/>
      <c r="X35" s="242"/>
      <c r="Y35" s="242"/>
      <c r="Z35" s="52"/>
      <c r="AA35" s="52"/>
    </row>
    <row r="36" spans="1:27">
      <c r="A36" s="929"/>
      <c r="B36" s="791"/>
      <c r="C36" s="242" t="s">
        <v>768</v>
      </c>
      <c r="D36" s="242"/>
      <c r="E36" s="241"/>
      <c r="F36" s="241"/>
      <c r="G36" s="241"/>
      <c r="H36" s="241"/>
      <c r="I36" s="242"/>
      <c r="J36" s="242"/>
      <c r="K36" s="242"/>
      <c r="L36" s="242"/>
      <c r="M36" s="242"/>
      <c r="N36" s="256"/>
      <c r="O36" s="256" t="e">
        <f>#REF!</f>
        <v>#REF!</v>
      </c>
      <c r="P36" s="256" t="e">
        <f>#REF!</f>
        <v>#REF!</v>
      </c>
      <c r="Q36" s="256" t="e">
        <f>#REF!</f>
        <v>#REF!</v>
      </c>
      <c r="R36" s="256" t="e">
        <f>#REF!</f>
        <v>#REF!</v>
      </c>
      <c r="S36" s="256" t="e">
        <f>#REF!</f>
        <v>#REF!</v>
      </c>
      <c r="T36" s="256" t="e">
        <f>#REF!</f>
        <v>#REF!</v>
      </c>
      <c r="U36" s="242"/>
      <c r="V36" s="242"/>
      <c r="W36" s="242"/>
      <c r="X36" s="242"/>
      <c r="Y36" s="242"/>
      <c r="Z36" s="52"/>
      <c r="AA36" s="52"/>
    </row>
    <row r="37" spans="1:27">
      <c r="A37" s="929"/>
      <c r="B37" s="791"/>
      <c r="C37" s="242"/>
      <c r="D37" s="242"/>
      <c r="E37" s="241"/>
      <c r="F37" s="241"/>
      <c r="G37" s="241"/>
      <c r="H37" s="241"/>
      <c r="I37" s="242"/>
      <c r="J37" s="242"/>
      <c r="K37" s="242"/>
      <c r="L37" s="242"/>
      <c r="M37" s="242"/>
      <c r="N37" s="241"/>
      <c r="O37" s="241"/>
      <c r="P37" s="241"/>
      <c r="Q37" s="241"/>
      <c r="R37" s="241"/>
      <c r="S37" s="241"/>
      <c r="T37" s="241"/>
      <c r="U37" s="242"/>
      <c r="V37" s="242"/>
      <c r="W37" s="242"/>
      <c r="X37" s="242"/>
      <c r="Y37" s="242"/>
      <c r="Z37" s="52"/>
      <c r="AA37" s="52"/>
    </row>
    <row r="38" spans="1:27">
      <c r="A38" s="929"/>
      <c r="B38" s="791" t="s">
        <v>769</v>
      </c>
      <c r="C38" s="242"/>
      <c r="D38" s="242"/>
      <c r="E38" s="241"/>
      <c r="F38" s="241"/>
      <c r="G38" s="241"/>
      <c r="H38" s="241"/>
      <c r="I38" s="242"/>
      <c r="J38" s="242"/>
      <c r="K38" s="242"/>
      <c r="L38" s="242"/>
      <c r="M38" s="242"/>
      <c r="N38" s="241"/>
      <c r="O38" s="241" t="e">
        <f t="shared" ref="O38:T38" si="28">O6-O33</f>
        <v>#REF!</v>
      </c>
      <c r="P38" s="241" t="e">
        <f t="shared" si="28"/>
        <v>#REF!</v>
      </c>
      <c r="Q38" s="241" t="e">
        <f t="shared" si="28"/>
        <v>#REF!</v>
      </c>
      <c r="R38" s="241" t="e">
        <f t="shared" si="28"/>
        <v>#REF!</v>
      </c>
      <c r="S38" s="241" t="e">
        <f t="shared" si="28"/>
        <v>#REF!</v>
      </c>
      <c r="T38" s="241" t="e">
        <f t="shared" si="28"/>
        <v>#REF!</v>
      </c>
      <c r="U38" s="242"/>
      <c r="V38" s="242"/>
      <c r="W38" s="242"/>
      <c r="X38" s="242"/>
      <c r="Y38" s="242"/>
      <c r="Z38" s="52"/>
      <c r="AA38" s="52"/>
    </row>
    <row r="39" spans="1:27">
      <c r="A39" s="929"/>
      <c r="B39" s="791"/>
      <c r="C39" s="242"/>
      <c r="D39" s="242"/>
      <c r="E39" s="241"/>
      <c r="F39" s="241"/>
      <c r="G39" s="241"/>
      <c r="H39" s="173"/>
      <c r="I39" s="242"/>
      <c r="J39" s="242"/>
      <c r="K39" s="242"/>
      <c r="L39" s="242"/>
      <c r="M39" s="242"/>
      <c r="N39" s="173"/>
      <c r="O39" s="173"/>
      <c r="P39" s="173"/>
      <c r="Q39" s="173"/>
      <c r="R39" s="173"/>
      <c r="S39" s="241"/>
      <c r="T39" s="241"/>
      <c r="U39" s="242"/>
      <c r="V39" s="242"/>
      <c r="W39" s="242"/>
      <c r="X39" s="242"/>
      <c r="Y39" s="242"/>
      <c r="Z39" s="52"/>
      <c r="AA39" s="52"/>
    </row>
    <row r="40" spans="1:27">
      <c r="A40" s="929"/>
      <c r="B40" s="791" t="s">
        <v>657</v>
      </c>
      <c r="C40" s="242"/>
      <c r="D40" s="242"/>
      <c r="E40" s="241"/>
      <c r="F40" s="745"/>
      <c r="G40" s="745"/>
      <c r="H40" s="745"/>
      <c r="I40" s="74"/>
      <c r="J40" s="74"/>
      <c r="K40" s="74"/>
      <c r="L40" s="74"/>
      <c r="M40" s="74"/>
      <c r="N40" s="745"/>
      <c r="O40" s="745" t="e">
        <f t="shared" ref="O40:T40" si="29">O5</f>
        <v>#REF!</v>
      </c>
      <c r="P40" s="745" t="e">
        <f t="shared" si="29"/>
        <v>#REF!</v>
      </c>
      <c r="Q40" s="745" t="e">
        <f t="shared" si="29"/>
        <v>#REF!</v>
      </c>
      <c r="R40" s="745" t="e">
        <f t="shared" si="29"/>
        <v>#REF!</v>
      </c>
      <c r="S40" s="745" t="e">
        <f t="shared" si="29"/>
        <v>#REF!</v>
      </c>
      <c r="T40" s="745" t="e">
        <f t="shared" si="29"/>
        <v>#REF!</v>
      </c>
      <c r="U40" s="242"/>
      <c r="V40" s="242"/>
      <c r="W40" s="242"/>
      <c r="X40" s="242"/>
      <c r="Y40" s="242"/>
      <c r="Z40" s="52"/>
      <c r="AA40" s="52"/>
    </row>
    <row r="41" spans="1:27" s="592" customFormat="1">
      <c r="A41" s="929"/>
      <c r="B41" s="791" t="s">
        <v>753</v>
      </c>
      <c r="C41" s="242"/>
      <c r="D41" s="242"/>
      <c r="E41" s="241"/>
      <c r="F41" s="241"/>
      <c r="G41" s="241"/>
      <c r="H41" s="241"/>
      <c r="I41" s="242"/>
      <c r="J41" s="242"/>
      <c r="K41" s="242"/>
      <c r="L41" s="242"/>
      <c r="M41" s="242"/>
      <c r="N41" s="241"/>
      <c r="O41" s="241" t="e">
        <f t="shared" ref="O41:T41" si="30">O33+O38+O40</f>
        <v>#REF!</v>
      </c>
      <c r="P41" s="241" t="e">
        <f t="shared" si="30"/>
        <v>#REF!</v>
      </c>
      <c r="Q41" s="241" t="e">
        <f t="shared" si="30"/>
        <v>#REF!</v>
      </c>
      <c r="R41" s="241" t="e">
        <f t="shared" si="30"/>
        <v>#REF!</v>
      </c>
      <c r="S41" s="241" t="e">
        <f t="shared" si="30"/>
        <v>#REF!</v>
      </c>
      <c r="T41" s="241" t="e">
        <f t="shared" si="30"/>
        <v>#REF!</v>
      </c>
      <c r="U41" s="242"/>
      <c r="V41" s="242"/>
      <c r="W41" s="242"/>
      <c r="X41" s="242"/>
      <c r="Y41" s="242"/>
      <c r="Z41" s="52"/>
      <c r="AA41" s="52"/>
    </row>
    <row r="42" spans="1:27" s="132" customFormat="1">
      <c r="A42" s="929"/>
      <c r="B42" s="791"/>
      <c r="C42" s="242"/>
      <c r="D42" s="242"/>
      <c r="E42" s="241"/>
      <c r="F42" s="241"/>
      <c r="G42" s="241"/>
      <c r="H42" s="241"/>
      <c r="I42" s="242"/>
      <c r="J42" s="242"/>
      <c r="K42" s="242"/>
      <c r="L42" s="242"/>
      <c r="M42" s="242"/>
      <c r="N42" s="241"/>
      <c r="O42" s="241"/>
      <c r="P42" s="241"/>
      <c r="Q42" s="241"/>
      <c r="R42" s="241"/>
      <c r="S42" s="241"/>
      <c r="T42" s="241"/>
      <c r="U42" s="242"/>
      <c r="V42" s="242"/>
      <c r="W42" s="242"/>
      <c r="X42" s="242"/>
      <c r="Y42" s="242"/>
      <c r="Z42" s="52"/>
      <c r="AA42" s="52"/>
    </row>
    <row r="43" spans="1:27" s="132" customFormat="1">
      <c r="A43" s="929"/>
      <c r="B43" s="242" t="s">
        <v>770</v>
      </c>
      <c r="C43" s="242"/>
      <c r="D43" s="242"/>
      <c r="E43" s="242"/>
      <c r="F43" s="242"/>
      <c r="G43" s="242"/>
      <c r="H43" s="242"/>
      <c r="I43" s="242"/>
      <c r="J43" s="242"/>
      <c r="K43" s="242"/>
      <c r="L43" s="242"/>
      <c r="M43" s="242"/>
      <c r="N43" s="256"/>
      <c r="O43" s="256"/>
      <c r="P43" s="256" t="e">
        <f t="shared" ref="P43:T43" si="31">P38/P41</f>
        <v>#REF!</v>
      </c>
      <c r="Q43" s="256" t="e">
        <f t="shared" si="31"/>
        <v>#REF!</v>
      </c>
      <c r="R43" s="256" t="e">
        <f t="shared" si="31"/>
        <v>#REF!</v>
      </c>
      <c r="S43" s="256" t="e">
        <f t="shared" si="31"/>
        <v>#REF!</v>
      </c>
      <c r="T43" s="256" t="e">
        <f t="shared" si="31"/>
        <v>#REF!</v>
      </c>
      <c r="U43" s="242"/>
      <c r="V43" s="242"/>
      <c r="W43" s="242"/>
      <c r="X43" s="242"/>
      <c r="Y43" s="242"/>
      <c r="Z43" s="52"/>
      <c r="AA43" s="52"/>
    </row>
    <row r="44" spans="1:27">
      <c r="A44" s="929"/>
      <c r="B44" s="242" t="s">
        <v>771</v>
      </c>
      <c r="C44" s="242"/>
      <c r="D44" s="242"/>
      <c r="E44" s="242"/>
      <c r="F44" s="242"/>
      <c r="G44" s="242"/>
      <c r="H44" s="242"/>
      <c r="I44" s="242"/>
      <c r="J44" s="242"/>
      <c r="K44" s="242"/>
      <c r="L44" s="242"/>
      <c r="M44" s="242"/>
      <c r="N44" s="256"/>
      <c r="O44" s="256"/>
      <c r="P44" s="256" t="e">
        <f t="shared" ref="P44:T44" si="32">P33/P41</f>
        <v>#REF!</v>
      </c>
      <c r="Q44" s="256" t="e">
        <f t="shared" si="32"/>
        <v>#REF!</v>
      </c>
      <c r="R44" s="256" t="e">
        <f t="shared" si="32"/>
        <v>#REF!</v>
      </c>
      <c r="S44" s="256" t="e">
        <f t="shared" si="32"/>
        <v>#REF!</v>
      </c>
      <c r="T44" s="256" t="e">
        <f t="shared" si="32"/>
        <v>#REF!</v>
      </c>
      <c r="U44" s="242"/>
      <c r="V44" s="242"/>
      <c r="W44" s="242"/>
      <c r="X44" s="242"/>
      <c r="Y44" s="242"/>
      <c r="Z44" s="52"/>
      <c r="AA44" s="52"/>
    </row>
    <row r="45" spans="1:27">
      <c r="A45" s="929"/>
      <c r="B45" s="242" t="s">
        <v>657</v>
      </c>
      <c r="C45" s="242"/>
      <c r="D45" s="242"/>
      <c r="E45" s="242"/>
      <c r="F45" s="74"/>
      <c r="G45" s="74"/>
      <c r="H45" s="74"/>
      <c r="I45" s="74"/>
      <c r="J45" s="74"/>
      <c r="K45" s="74"/>
      <c r="L45" s="74"/>
      <c r="M45" s="74"/>
      <c r="N45" s="1069"/>
      <c r="O45" s="1069"/>
      <c r="P45" s="1069" t="e">
        <f t="shared" ref="P45:S45" si="33">P40/P41</f>
        <v>#REF!</v>
      </c>
      <c r="Q45" s="1069" t="e">
        <f t="shared" si="33"/>
        <v>#REF!</v>
      </c>
      <c r="R45" s="1069" t="e">
        <f t="shared" si="33"/>
        <v>#REF!</v>
      </c>
      <c r="S45" s="1069" t="e">
        <f t="shared" si="33"/>
        <v>#REF!</v>
      </c>
      <c r="T45" s="1069" t="e">
        <f>T40/T41</f>
        <v>#REF!</v>
      </c>
      <c r="U45" s="242"/>
      <c r="V45" s="242"/>
      <c r="W45" s="242"/>
      <c r="X45" s="242"/>
      <c r="Y45" s="242"/>
      <c r="Z45" s="52"/>
      <c r="AA45" s="52"/>
    </row>
    <row r="46" spans="1:27" s="132" customFormat="1">
      <c r="A46" s="929"/>
      <c r="B46" s="242"/>
      <c r="C46" s="242"/>
      <c r="D46" s="242"/>
      <c r="E46" s="242"/>
      <c r="F46" s="242"/>
      <c r="G46" s="242"/>
      <c r="H46" s="242"/>
      <c r="I46" s="242"/>
      <c r="J46" s="242"/>
      <c r="K46" s="242"/>
      <c r="L46" s="242"/>
      <c r="M46" s="242"/>
      <c r="N46" s="1070"/>
      <c r="O46" s="1070">
        <f t="shared" ref="O46:S46" si="34">SUM(O43:O45)</f>
        <v>0</v>
      </c>
      <c r="P46" s="1070" t="e">
        <f t="shared" si="34"/>
        <v>#REF!</v>
      </c>
      <c r="Q46" s="1070" t="e">
        <f t="shared" si="34"/>
        <v>#REF!</v>
      </c>
      <c r="R46" s="1070" t="e">
        <f t="shared" si="34"/>
        <v>#REF!</v>
      </c>
      <c r="S46" s="1070" t="e">
        <f t="shared" si="34"/>
        <v>#REF!</v>
      </c>
      <c r="T46" s="1070" t="e">
        <f>SUM(T43:T45)</f>
        <v>#REF!</v>
      </c>
      <c r="U46" s="242"/>
      <c r="V46" s="242"/>
      <c r="W46" s="242"/>
      <c r="X46" s="242"/>
      <c r="Y46" s="242"/>
      <c r="Z46" s="52"/>
      <c r="AA46" s="52"/>
    </row>
    <row r="47" spans="1:27" s="132" customFormat="1">
      <c r="A47" s="929">
        <v>7</v>
      </c>
      <c r="B47" s="921" t="s">
        <v>772</v>
      </c>
      <c r="C47" s="74"/>
      <c r="D47" s="74"/>
      <c r="E47" s="74"/>
      <c r="F47" s="242"/>
      <c r="G47" s="242"/>
      <c r="H47" s="242"/>
      <c r="I47" s="242"/>
      <c r="J47" s="242"/>
      <c r="K47" s="242"/>
      <c r="L47" s="242"/>
      <c r="M47" s="242"/>
      <c r="N47" s="242"/>
      <c r="O47" s="242"/>
      <c r="P47" s="242"/>
      <c r="Q47" s="242"/>
      <c r="R47" s="242"/>
      <c r="S47" s="242"/>
      <c r="T47" s="241"/>
      <c r="U47" s="242"/>
      <c r="V47" s="242"/>
      <c r="W47" s="242"/>
      <c r="X47" s="242"/>
      <c r="Y47" s="242"/>
      <c r="Z47" s="52"/>
      <c r="AA47" s="52"/>
    </row>
    <row r="48" spans="1:27" s="132" customFormat="1">
      <c r="A48" s="929"/>
      <c r="B48" s="242" t="s">
        <v>773</v>
      </c>
      <c r="C48" s="242"/>
      <c r="D48" s="242"/>
      <c r="E48" s="242"/>
      <c r="F48" s="242"/>
      <c r="G48" s="242"/>
      <c r="H48" s="242"/>
      <c r="I48" s="242"/>
      <c r="J48" s="242"/>
      <c r="K48" s="242"/>
      <c r="L48" s="242"/>
      <c r="M48" s="242"/>
      <c r="N48" s="242"/>
      <c r="O48" s="242"/>
      <c r="P48" s="242"/>
      <c r="Q48" s="242"/>
      <c r="R48" s="242"/>
      <c r="S48" s="242">
        <f>' 11-BU Perf'!S8</f>
        <v>0</v>
      </c>
      <c r="T48" s="242">
        <f>' 11-BU Perf'!T8</f>
        <v>0</v>
      </c>
      <c r="U48" s="242"/>
      <c r="V48" s="242"/>
      <c r="W48" s="242"/>
      <c r="X48" s="242"/>
      <c r="Y48" s="242"/>
      <c r="Z48" s="52"/>
      <c r="AA48" s="52"/>
    </row>
    <row r="49" spans="1:27" s="252" customFormat="1">
      <c r="A49" s="929"/>
      <c r="B49" s="242"/>
      <c r="C49" s="242"/>
      <c r="D49" s="242"/>
      <c r="E49" s="242"/>
      <c r="F49" s="242"/>
      <c r="G49" s="242"/>
      <c r="H49" s="242"/>
      <c r="I49" s="242"/>
      <c r="J49" s="242"/>
      <c r="K49" s="242"/>
      <c r="L49" s="242"/>
      <c r="M49" s="242"/>
      <c r="N49" s="241"/>
      <c r="O49" s="241"/>
      <c r="P49" s="241"/>
      <c r="Q49" s="241"/>
      <c r="R49" s="241"/>
      <c r="S49" s="241"/>
      <c r="T49" s="241"/>
      <c r="U49" s="242"/>
      <c r="V49" s="242"/>
      <c r="W49" s="242"/>
      <c r="X49" s="242"/>
      <c r="Y49" s="242"/>
      <c r="Z49" s="52"/>
      <c r="AA49" s="52"/>
    </row>
    <row r="50" spans="1:27" s="252" customFormat="1">
      <c r="A50" s="929"/>
      <c r="B50" s="242" t="s">
        <v>770</v>
      </c>
      <c r="C50" s="242"/>
      <c r="D50" s="242"/>
      <c r="E50" s="242" t="s">
        <v>774</v>
      </c>
      <c r="F50" s="242"/>
      <c r="G50" s="242"/>
      <c r="H50" s="242"/>
      <c r="I50" s="242"/>
      <c r="J50" s="242"/>
      <c r="K50" s="242"/>
      <c r="L50" s="242"/>
      <c r="M50" s="242"/>
      <c r="N50" s="241"/>
      <c r="O50" s="241"/>
      <c r="P50" s="241"/>
      <c r="Q50" s="241"/>
      <c r="R50" s="241"/>
      <c r="S50" s="1067" t="e">
        <f>S38/S48</f>
        <v>#REF!</v>
      </c>
      <c r="T50" s="1067" t="e">
        <f>T38/T48</f>
        <v>#REF!</v>
      </c>
      <c r="U50" s="242"/>
      <c r="V50" s="242"/>
      <c r="W50" s="242"/>
      <c r="X50" s="242"/>
      <c r="Y50" s="242"/>
      <c r="Z50" s="52"/>
      <c r="AA50" s="52"/>
    </row>
    <row r="51" spans="1:27" s="252" customFormat="1">
      <c r="A51" s="929"/>
      <c r="B51" s="242" t="s">
        <v>771</v>
      </c>
      <c r="C51" s="242"/>
      <c r="D51" s="242"/>
      <c r="E51" s="242" t="s">
        <v>774</v>
      </c>
      <c r="F51" s="242"/>
      <c r="G51" s="242"/>
      <c r="H51" s="242"/>
      <c r="I51" s="242"/>
      <c r="J51" s="242"/>
      <c r="K51" s="242"/>
      <c r="L51" s="242"/>
      <c r="M51" s="242"/>
      <c r="N51" s="241"/>
      <c r="O51" s="241"/>
      <c r="P51" s="241"/>
      <c r="Q51" s="241"/>
      <c r="R51" s="241"/>
      <c r="S51" s="1071" t="e">
        <f>S33/S48</f>
        <v>#REF!</v>
      </c>
      <c r="T51" s="1071" t="e">
        <f>T33/T48</f>
        <v>#REF!</v>
      </c>
      <c r="U51" s="242"/>
      <c r="V51" s="242"/>
      <c r="W51" s="242"/>
      <c r="X51" s="242"/>
      <c r="Y51" s="242"/>
      <c r="Z51" s="52"/>
      <c r="AA51" s="52"/>
    </row>
    <row r="52" spans="1:27" s="252" customFormat="1">
      <c r="A52" s="929"/>
      <c r="B52" s="242" t="s">
        <v>657</v>
      </c>
      <c r="C52" s="242"/>
      <c r="D52" s="242"/>
      <c r="E52" s="242" t="s">
        <v>774</v>
      </c>
      <c r="F52" s="242"/>
      <c r="G52" s="242"/>
      <c r="H52" s="242"/>
      <c r="I52" s="242"/>
      <c r="J52" s="242"/>
      <c r="K52" s="242"/>
      <c r="L52" s="242"/>
      <c r="M52" s="242"/>
      <c r="N52" s="241"/>
      <c r="O52" s="241"/>
      <c r="P52" s="241"/>
      <c r="Q52" s="241"/>
      <c r="R52" s="241"/>
      <c r="S52" s="1072" t="e">
        <f>S40/S48</f>
        <v>#REF!</v>
      </c>
      <c r="T52" s="1072" t="e">
        <f>T40/T48</f>
        <v>#REF!</v>
      </c>
      <c r="U52" s="242"/>
      <c r="V52" s="242"/>
      <c r="W52" s="242"/>
      <c r="X52" s="242"/>
      <c r="Y52" s="242"/>
      <c r="Z52" s="52"/>
      <c r="AA52" s="52"/>
    </row>
    <row r="53" spans="1:27" s="252" customFormat="1">
      <c r="A53" s="929"/>
      <c r="B53" s="242" t="s">
        <v>723</v>
      </c>
      <c r="C53" s="242"/>
      <c r="D53" s="242"/>
      <c r="E53" s="242" t="s">
        <v>774</v>
      </c>
      <c r="F53" s="242"/>
      <c r="G53" s="242"/>
      <c r="H53" s="242"/>
      <c r="I53" s="242"/>
      <c r="J53" s="242"/>
      <c r="K53" s="242"/>
      <c r="L53" s="242"/>
      <c r="M53" s="242"/>
      <c r="N53" s="241"/>
      <c r="O53" s="241"/>
      <c r="P53" s="241"/>
      <c r="Q53" s="241"/>
      <c r="R53" s="241"/>
      <c r="S53" s="1067" t="e">
        <f>SUM(S50:S52)</f>
        <v>#REF!</v>
      </c>
      <c r="T53" s="1067" t="e">
        <f>SUM(T50:T52)</f>
        <v>#REF!</v>
      </c>
      <c r="U53" s="242"/>
      <c r="V53" s="242"/>
      <c r="W53" s="242"/>
      <c r="X53" s="242"/>
      <c r="Y53" s="242"/>
      <c r="Z53" s="52"/>
      <c r="AA53" s="52"/>
    </row>
    <row r="54" spans="1:27" s="252" customFormat="1">
      <c r="A54" s="929"/>
      <c r="B54" s="791"/>
      <c r="C54" s="242"/>
      <c r="D54" s="242"/>
      <c r="E54" s="241"/>
      <c r="F54" s="241"/>
      <c r="G54" s="241"/>
      <c r="H54" s="241"/>
      <c r="I54" s="242"/>
      <c r="J54" s="242"/>
      <c r="K54" s="242"/>
      <c r="L54" s="242"/>
      <c r="M54" s="242"/>
      <c r="N54" s="241"/>
      <c r="O54" s="241"/>
      <c r="P54" s="241"/>
      <c r="Q54" s="241"/>
      <c r="R54" s="241"/>
      <c r="S54" s="241"/>
      <c r="T54" s="241"/>
      <c r="U54" s="242"/>
      <c r="V54" s="242"/>
      <c r="W54" s="242"/>
      <c r="X54" s="242"/>
      <c r="Y54" s="242"/>
      <c r="Z54" s="52"/>
      <c r="AA54" s="52"/>
    </row>
    <row r="55" spans="1:27" s="252" customFormat="1">
      <c r="A55" s="929">
        <v>8</v>
      </c>
      <c r="B55" s="921" t="s">
        <v>775</v>
      </c>
      <c r="C55" s="74"/>
      <c r="D55" s="74"/>
      <c r="E55" s="74"/>
      <c r="F55" s="241" t="s">
        <v>776</v>
      </c>
      <c r="G55" s="241"/>
      <c r="H55" s="241"/>
      <c r="I55" s="242"/>
      <c r="J55" s="242"/>
      <c r="K55" s="242"/>
      <c r="L55" s="242"/>
      <c r="M55" s="242"/>
      <c r="N55" s="594"/>
      <c r="O55" s="594"/>
      <c r="P55" s="594" t="e">
        <f t="shared" ref="P55:S55" si="35">P38/P41</f>
        <v>#REF!</v>
      </c>
      <c r="Q55" s="594" t="e">
        <f t="shared" si="35"/>
        <v>#REF!</v>
      </c>
      <c r="R55" s="594" t="e">
        <f t="shared" si="35"/>
        <v>#REF!</v>
      </c>
      <c r="S55" s="594" t="e">
        <f t="shared" si="35"/>
        <v>#REF!</v>
      </c>
      <c r="T55" s="594" t="e">
        <f>T38/T41</f>
        <v>#REF!</v>
      </c>
      <c r="U55" s="242"/>
      <c r="V55" s="242"/>
      <c r="W55" s="242"/>
      <c r="X55" s="242"/>
      <c r="Y55" s="242"/>
      <c r="Z55" s="52"/>
      <c r="AA55" s="52"/>
    </row>
    <row r="56" spans="1:27" s="252" customFormat="1">
      <c r="A56" s="929"/>
      <c r="B56" s="922"/>
      <c r="C56" s="73"/>
      <c r="D56" s="73"/>
      <c r="E56" s="173"/>
      <c r="F56" s="241"/>
      <c r="G56" s="241"/>
      <c r="H56" s="241"/>
      <c r="I56" s="242"/>
      <c r="J56" s="242"/>
      <c r="K56" s="242"/>
      <c r="L56" s="242"/>
      <c r="M56" s="242"/>
      <c r="N56" s="594"/>
      <c r="O56" s="594"/>
      <c r="P56" s="594"/>
      <c r="Q56" s="594"/>
      <c r="R56" s="594"/>
      <c r="S56" s="1073"/>
      <c r="T56" s="241"/>
      <c r="U56" s="242"/>
      <c r="V56" s="242"/>
      <c r="W56" s="242"/>
      <c r="X56" s="242"/>
      <c r="Y56" s="242"/>
      <c r="Z56" s="52"/>
      <c r="AA56" s="52"/>
    </row>
    <row r="57" spans="1:27" s="252" customFormat="1">
      <c r="A57" s="929">
        <v>9</v>
      </c>
      <c r="B57" s="921" t="s">
        <v>777</v>
      </c>
      <c r="C57" s="74"/>
      <c r="D57" s="74"/>
      <c r="E57" s="74"/>
      <c r="F57" s="242"/>
      <c r="G57" s="242"/>
      <c r="H57" s="242"/>
      <c r="I57" s="242"/>
      <c r="J57" s="242"/>
      <c r="K57" s="242"/>
      <c r="L57" s="242"/>
      <c r="M57" s="242"/>
      <c r="N57" s="1074"/>
      <c r="O57" s="1074" t="e">
        <f>O41/O40</f>
        <v>#REF!</v>
      </c>
      <c r="P57" s="1074" t="e">
        <f t="shared" ref="P57:S57" si="36">P41/P40</f>
        <v>#REF!</v>
      </c>
      <c r="Q57" s="1074" t="e">
        <f t="shared" si="36"/>
        <v>#REF!</v>
      </c>
      <c r="R57" s="1074" t="e">
        <f t="shared" si="36"/>
        <v>#REF!</v>
      </c>
      <c r="S57" s="1074" t="e">
        <f t="shared" si="36"/>
        <v>#REF!</v>
      </c>
      <c r="T57" s="1074" t="e">
        <f>T41/T40</f>
        <v>#REF!</v>
      </c>
      <c r="U57" s="242"/>
      <c r="V57" s="242"/>
      <c r="W57" s="242"/>
      <c r="X57" s="242"/>
      <c r="Y57" s="242"/>
      <c r="Z57" s="52"/>
      <c r="AA57" s="52"/>
    </row>
    <row r="58" spans="1:27" s="252" customFormat="1">
      <c r="A58" s="929"/>
      <c r="B58" s="922"/>
      <c r="C58" s="73"/>
      <c r="D58" s="73"/>
      <c r="E58" s="73"/>
      <c r="F58" s="242"/>
      <c r="G58" s="242"/>
      <c r="H58" s="242"/>
      <c r="I58" s="242"/>
      <c r="J58" s="242"/>
      <c r="K58" s="242"/>
      <c r="L58" s="242"/>
      <c r="M58" s="242"/>
      <c r="N58" s="1075"/>
      <c r="O58" s="1075"/>
      <c r="P58" s="1075"/>
      <c r="Q58" s="1075"/>
      <c r="R58" s="1075"/>
      <c r="S58" s="1075"/>
      <c r="T58" s="1055"/>
      <c r="U58" s="242"/>
      <c r="V58" s="242"/>
      <c r="W58" s="242"/>
      <c r="X58" s="242"/>
      <c r="Y58" s="242"/>
      <c r="Z58" s="52"/>
      <c r="AA58" s="52"/>
    </row>
    <row r="59" spans="1:27" s="252" customFormat="1">
      <c r="A59" s="929">
        <v>10</v>
      </c>
      <c r="B59" s="921" t="s">
        <v>778</v>
      </c>
      <c r="C59" s="74"/>
      <c r="D59" s="74"/>
      <c r="E59" s="74"/>
      <c r="F59" s="242"/>
      <c r="G59" s="242"/>
      <c r="H59" s="242"/>
      <c r="I59" s="242"/>
      <c r="J59" s="242"/>
      <c r="K59" s="242"/>
      <c r="L59" s="242"/>
      <c r="M59" s="242"/>
      <c r="N59" s="594"/>
      <c r="O59" s="594"/>
      <c r="P59" s="594" t="e">
        <f>P30/'2_Inc-Stat'!O7</f>
        <v>#REF!</v>
      </c>
      <c r="Q59" s="594" t="e">
        <f>Q30/'2_Inc-Stat'!P7</f>
        <v>#REF!</v>
      </c>
      <c r="R59" s="594" t="e">
        <f>R30/'2_Inc-Stat'!Q7</f>
        <v>#REF!</v>
      </c>
      <c r="S59" s="594" t="e">
        <f>S30/'2_Inc-Stat'!R7</f>
        <v>#REF!</v>
      </c>
      <c r="T59" s="594" t="e">
        <f>T30/'2_Inc-Stat'!S7</f>
        <v>#REF!</v>
      </c>
      <c r="U59" s="242"/>
      <c r="V59" s="242"/>
      <c r="W59" s="242"/>
      <c r="X59" s="242"/>
      <c r="Y59" s="242"/>
      <c r="Z59" s="52"/>
      <c r="AA59" s="52"/>
    </row>
    <row r="60" spans="1:27" s="252" customFormat="1">
      <c r="A60" s="918"/>
      <c r="B60" s="67"/>
      <c r="C60" s="67"/>
      <c r="D60" s="67"/>
      <c r="E60" s="67"/>
      <c r="F60" s="74"/>
      <c r="G60" s="74"/>
      <c r="H60" s="74"/>
      <c r="I60" s="74"/>
      <c r="J60" s="74"/>
      <c r="K60" s="74"/>
      <c r="L60" s="74"/>
      <c r="M60" s="74"/>
      <c r="N60" s="1076"/>
      <c r="O60" s="1076"/>
      <c r="P60" s="1076"/>
      <c r="Q60" s="1076"/>
      <c r="R60" s="1076"/>
      <c r="S60" s="1076"/>
      <c r="T60" s="1076"/>
      <c r="U60" s="242"/>
      <c r="V60" s="242"/>
      <c r="W60" s="242"/>
      <c r="X60" s="242"/>
      <c r="Y60" s="242"/>
      <c r="Z60" s="52"/>
      <c r="AA60" s="52"/>
    </row>
    <row r="61" spans="1:27" s="252" customFormat="1">
      <c r="A61" s="52"/>
      <c r="B61" s="52"/>
      <c r="C61" s="52"/>
      <c r="D61" s="52"/>
      <c r="E61" s="52"/>
      <c r="F61" s="242"/>
      <c r="G61" s="242"/>
      <c r="H61" s="242"/>
      <c r="I61" s="242"/>
      <c r="J61" s="242"/>
      <c r="K61" s="242"/>
      <c r="L61" s="242"/>
      <c r="M61" s="242"/>
      <c r="N61" s="242"/>
      <c r="O61" s="242"/>
      <c r="P61" s="242"/>
      <c r="Q61" s="242"/>
      <c r="R61" s="242"/>
      <c r="S61" s="242"/>
      <c r="T61" s="1055"/>
      <c r="U61" s="242"/>
      <c r="V61" s="242"/>
      <c r="W61" s="242"/>
      <c r="X61" s="242"/>
      <c r="Y61" s="242"/>
      <c r="Z61" s="52"/>
      <c r="AA61" s="52"/>
    </row>
    <row r="62" spans="1:27" s="132" customFormat="1">
      <c r="A62" s="52"/>
      <c r="B62" s="52" t="s">
        <v>607</v>
      </c>
      <c r="C62" s="52"/>
      <c r="D62" s="52"/>
      <c r="E62" s="52"/>
      <c r="F62" s="242"/>
      <c r="G62" s="242"/>
      <c r="H62" s="242"/>
      <c r="I62" s="242"/>
      <c r="J62" s="242"/>
      <c r="K62" s="242"/>
      <c r="L62" s="242"/>
      <c r="M62" s="242"/>
      <c r="N62" s="1055"/>
      <c r="O62" s="1055" t="e">
        <f>#REF!</f>
        <v>#REF!</v>
      </c>
      <c r="P62" s="1055" t="e">
        <f>#REF!</f>
        <v>#REF!</v>
      </c>
      <c r="Q62" s="1055" t="e">
        <f>#REF!</f>
        <v>#REF!</v>
      </c>
      <c r="R62" s="1055" t="e">
        <f>#REF!</f>
        <v>#REF!</v>
      </c>
      <c r="S62" s="1055" t="e">
        <f>#REF!</f>
        <v>#REF!</v>
      </c>
      <c r="T62" s="1055" t="e">
        <f>#REF!</f>
        <v>#REF!</v>
      </c>
      <c r="U62" s="242"/>
      <c r="V62" s="242"/>
      <c r="W62" s="242"/>
      <c r="X62" s="242"/>
      <c r="Y62" s="242"/>
      <c r="Z62" s="52"/>
      <c r="AA62" s="52"/>
    </row>
    <row r="63" spans="1:27" s="252" customFormat="1">
      <c r="A63" s="52"/>
      <c r="B63" s="52" t="s">
        <v>758</v>
      </c>
      <c r="C63" s="52"/>
      <c r="D63" s="52"/>
      <c r="E63" s="52"/>
      <c r="F63" s="242"/>
      <c r="G63" s="242"/>
      <c r="H63" s="242"/>
      <c r="I63" s="242"/>
      <c r="J63" s="242"/>
      <c r="K63" s="242"/>
      <c r="L63" s="242"/>
      <c r="M63" s="242"/>
      <c r="N63" s="1055"/>
      <c r="O63" s="1055" t="e">
        <f t="shared" ref="O63:T63" si="37">O7</f>
        <v>#REF!</v>
      </c>
      <c r="P63" s="1055" t="e">
        <f t="shared" si="37"/>
        <v>#REF!</v>
      </c>
      <c r="Q63" s="1055" t="e">
        <f t="shared" si="37"/>
        <v>#REF!</v>
      </c>
      <c r="R63" s="1055" t="e">
        <f t="shared" si="37"/>
        <v>#REF!</v>
      </c>
      <c r="S63" s="1055" t="e">
        <f t="shared" si="37"/>
        <v>#REF!</v>
      </c>
      <c r="T63" s="1055" t="e">
        <f t="shared" si="37"/>
        <v>#REF!</v>
      </c>
      <c r="U63" s="242"/>
      <c r="V63" s="242"/>
      <c r="W63" s="242"/>
      <c r="X63" s="242"/>
      <c r="Y63" s="242"/>
      <c r="Z63" s="52"/>
      <c r="AA63" s="52"/>
    </row>
    <row r="64" spans="1:27">
      <c r="A64" s="52"/>
      <c r="B64" s="52"/>
      <c r="C64" s="52"/>
      <c r="D64" s="52"/>
      <c r="E64" s="52"/>
      <c r="F64" s="242"/>
      <c r="G64" s="242"/>
      <c r="H64" s="242"/>
      <c r="I64" s="242"/>
      <c r="J64" s="242"/>
      <c r="K64" s="242"/>
      <c r="L64" s="242"/>
      <c r="M64" s="242"/>
      <c r="N64" s="1055"/>
      <c r="O64" s="1055"/>
      <c r="P64" s="1055"/>
      <c r="Q64" s="1055"/>
      <c r="R64" s="1055"/>
      <c r="S64" s="1055"/>
      <c r="T64" s="1055"/>
      <c r="U64" s="1055"/>
      <c r="V64" s="242"/>
      <c r="W64" s="242"/>
      <c r="X64" s="242"/>
      <c r="Y64" s="242"/>
      <c r="Z64" s="52"/>
      <c r="AA64" s="52"/>
    </row>
    <row r="65" spans="1:27" s="280" customFormat="1">
      <c r="A65" s="52"/>
      <c r="B65" s="52" t="s">
        <v>746</v>
      </c>
      <c r="C65" s="52"/>
      <c r="D65" s="52"/>
      <c r="E65" s="52"/>
      <c r="F65" s="242"/>
      <c r="G65" s="242"/>
      <c r="H65" s="242"/>
      <c r="I65" s="242"/>
      <c r="J65" s="242"/>
      <c r="K65" s="242"/>
      <c r="L65" s="242"/>
      <c r="M65" s="242"/>
      <c r="N65" s="1055"/>
      <c r="O65" s="1075" t="e">
        <f>O63/O62</f>
        <v>#REF!</v>
      </c>
      <c r="P65" s="1075" t="e">
        <f t="shared" ref="P65:T65" si="38">P63/P62</f>
        <v>#REF!</v>
      </c>
      <c r="Q65" s="1075" t="e">
        <f t="shared" si="38"/>
        <v>#REF!</v>
      </c>
      <c r="R65" s="1075" t="e">
        <f t="shared" si="38"/>
        <v>#REF!</v>
      </c>
      <c r="S65" s="1075" t="e">
        <f t="shared" si="38"/>
        <v>#REF!</v>
      </c>
      <c r="T65" s="1075" t="e">
        <f t="shared" si="38"/>
        <v>#REF!</v>
      </c>
      <c r="U65" s="1055"/>
      <c r="V65" s="242"/>
      <c r="W65" s="242"/>
      <c r="X65" s="242"/>
      <c r="Y65" s="242"/>
      <c r="Z65" s="52"/>
      <c r="AA65" s="52"/>
    </row>
    <row r="66" spans="1:27" s="280" customFormat="1">
      <c r="A66" s="52"/>
      <c r="B66" s="52"/>
      <c r="C66" s="52"/>
      <c r="D66" s="52"/>
      <c r="E66" s="52"/>
      <c r="F66" s="242"/>
      <c r="G66" s="242"/>
      <c r="H66" s="242"/>
      <c r="I66" s="242"/>
      <c r="J66" s="242"/>
      <c r="K66" s="242"/>
      <c r="L66" s="242"/>
      <c r="M66" s="242"/>
      <c r="N66" s="1055"/>
      <c r="O66" s="1055"/>
      <c r="P66" s="1055"/>
      <c r="Q66" s="1055"/>
      <c r="R66" s="1055"/>
      <c r="S66" s="1055"/>
      <c r="T66" s="1055"/>
      <c r="U66" s="1055"/>
      <c r="V66" s="242"/>
      <c r="W66" s="242"/>
      <c r="X66" s="242"/>
      <c r="Y66" s="242"/>
      <c r="Z66" s="52"/>
      <c r="AA66" s="52"/>
    </row>
    <row r="67" spans="1:27">
      <c r="A67" s="52"/>
      <c r="B67" s="52" t="s">
        <v>779</v>
      </c>
      <c r="C67" s="52"/>
      <c r="D67" s="52"/>
      <c r="E67" s="52"/>
      <c r="F67" s="242"/>
      <c r="G67" s="242"/>
      <c r="H67" s="242"/>
      <c r="I67" s="242"/>
      <c r="J67" s="242"/>
      <c r="K67" s="242"/>
      <c r="L67" s="242"/>
      <c r="M67" s="242"/>
      <c r="N67" s="256"/>
      <c r="O67" s="256"/>
      <c r="P67" s="256" t="e">
        <f t="shared" ref="P67:T67" si="39">P62/P63</f>
        <v>#REF!</v>
      </c>
      <c r="Q67" s="256" t="e">
        <f t="shared" si="39"/>
        <v>#REF!</v>
      </c>
      <c r="R67" s="256" t="e">
        <f t="shared" si="39"/>
        <v>#REF!</v>
      </c>
      <c r="S67" s="256" t="e">
        <f t="shared" si="39"/>
        <v>#REF!</v>
      </c>
      <c r="T67" s="256" t="e">
        <f t="shared" si="39"/>
        <v>#REF!</v>
      </c>
      <c r="U67" s="1055"/>
      <c r="V67" s="242"/>
      <c r="W67" s="242"/>
      <c r="X67" s="242"/>
      <c r="Y67" s="242"/>
      <c r="Z67" s="52"/>
      <c r="AA67" s="52"/>
    </row>
    <row r="68" spans="1:27">
      <c r="A68" s="67"/>
      <c r="B68" s="67"/>
      <c r="C68" s="67"/>
      <c r="D68" s="67"/>
      <c r="E68" s="67"/>
      <c r="F68" s="74"/>
      <c r="G68" s="74"/>
      <c r="H68" s="74"/>
      <c r="I68" s="74"/>
      <c r="J68" s="74"/>
      <c r="K68" s="74"/>
      <c r="L68" s="74"/>
      <c r="M68" s="74"/>
      <c r="N68" s="74"/>
      <c r="O68" s="74"/>
      <c r="P68" s="74"/>
      <c r="Q68" s="74"/>
      <c r="R68" s="74"/>
      <c r="S68" s="74"/>
      <c r="T68" s="74"/>
      <c r="U68" s="1055"/>
      <c r="V68" s="242"/>
      <c r="W68" s="242"/>
      <c r="X68" s="242"/>
      <c r="Y68" s="242"/>
      <c r="Z68" s="52"/>
      <c r="AA68" s="52"/>
    </row>
    <row r="69" spans="1:27">
      <c r="A69" s="52"/>
      <c r="B69" s="52"/>
      <c r="C69" s="52"/>
      <c r="D69" s="52"/>
      <c r="E69" s="52"/>
      <c r="F69" s="242"/>
      <c r="G69" s="242"/>
      <c r="H69" s="242"/>
      <c r="I69" s="242"/>
      <c r="J69" s="242"/>
      <c r="K69" s="242"/>
      <c r="L69" s="242"/>
      <c r="M69" s="242"/>
      <c r="N69" s="242"/>
      <c r="O69" s="242"/>
      <c r="P69" s="242"/>
      <c r="Q69" s="242"/>
      <c r="R69" s="242"/>
      <c r="S69" s="242"/>
      <c r="T69" s="242"/>
      <c r="U69" s="1055"/>
      <c r="V69" s="242"/>
      <c r="W69" s="242"/>
      <c r="X69" s="242"/>
      <c r="Y69" s="242"/>
      <c r="Z69" s="52"/>
      <c r="AA69" s="52"/>
    </row>
    <row r="70" spans="1:27">
      <c r="A70" s="52"/>
      <c r="B70" s="52"/>
      <c r="C70" s="52"/>
      <c r="D70" s="52"/>
      <c r="E70" s="52"/>
      <c r="F70" s="52"/>
      <c r="G70" s="52"/>
      <c r="H70" s="52"/>
      <c r="I70" s="52"/>
      <c r="J70" s="52"/>
      <c r="K70" s="52"/>
      <c r="L70" s="52"/>
      <c r="M70" s="52"/>
      <c r="N70" s="52"/>
      <c r="O70" s="52"/>
      <c r="P70" s="52"/>
      <c r="Q70" s="52"/>
      <c r="R70" s="52"/>
      <c r="S70" s="52"/>
      <c r="T70" s="52"/>
      <c r="U70" s="1077"/>
      <c r="V70" s="52"/>
      <c r="W70" s="52"/>
      <c r="X70" s="52"/>
      <c r="Y70" s="52"/>
      <c r="Z70" s="52"/>
      <c r="AA70" s="52"/>
    </row>
    <row r="71" spans="1:27">
      <c r="A71" s="52"/>
      <c r="B71" s="52"/>
      <c r="C71" s="52"/>
      <c r="D71" s="52"/>
      <c r="E71" s="52"/>
      <c r="F71" s="52"/>
      <c r="G71" s="52"/>
      <c r="H71" s="52"/>
      <c r="I71" s="52"/>
      <c r="J71" s="52"/>
      <c r="K71" s="52"/>
      <c r="L71" s="52"/>
      <c r="M71" s="52"/>
      <c r="N71" s="52"/>
      <c r="O71" s="52"/>
      <c r="P71" s="52"/>
      <c r="Q71" s="52"/>
      <c r="R71" s="52"/>
      <c r="S71" s="52"/>
      <c r="T71" s="52"/>
      <c r="U71" s="1077"/>
      <c r="V71" s="52"/>
      <c r="W71" s="52"/>
      <c r="X71" s="52"/>
      <c r="Y71" s="52"/>
      <c r="Z71" s="52"/>
      <c r="AA71" s="52"/>
    </row>
    <row r="72" spans="1:27">
      <c r="A72" s="52"/>
      <c r="B72" s="52"/>
      <c r="C72" s="52"/>
      <c r="D72" s="52"/>
      <c r="E72" s="52"/>
      <c r="F72" s="52"/>
      <c r="G72" s="52"/>
      <c r="H72" s="52"/>
      <c r="I72" s="52"/>
      <c r="J72" s="52"/>
      <c r="K72" s="52"/>
      <c r="L72" s="52"/>
      <c r="M72" s="52"/>
      <c r="N72" s="52"/>
      <c r="O72" s="52"/>
      <c r="P72" s="52"/>
      <c r="Q72" s="52"/>
      <c r="R72" s="52"/>
      <c r="S72" s="52"/>
      <c r="T72" s="52"/>
      <c r="U72" s="1077"/>
      <c r="V72" s="52"/>
      <c r="W72" s="52"/>
      <c r="X72" s="52"/>
      <c r="Y72" s="52"/>
      <c r="Z72" s="52"/>
      <c r="AA72" s="52"/>
    </row>
    <row r="73" spans="1:27">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row>
    <row r="74" spans="1:27">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row>
    <row r="75" spans="1:27">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row>
    <row r="76" spans="1:27">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row>
    <row r="77" spans="1:27">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row>
    <row r="78" spans="1:27">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row>
    <row r="79" spans="1:27">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row>
    <row r="80" spans="1:27">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row>
  </sheetData>
  <customSheetViews>
    <customSheetView guid="{5826E3E6-173D-429F-ABE1-D868EE9E034B}" scale="98" fitToPage="1" hiddenColumns="1" topLeftCell="I1">
      <selection activeCell="Q58" sqref="Q58"/>
      <pageMargins left="0" right="0" top="0" bottom="0" header="0" footer="0"/>
      <pageSetup paperSize="9" scale="59" orientation="landscape" horizontalDpi="1200" verticalDpi="1200" r:id="rId1"/>
    </customSheetView>
  </customSheetViews>
  <mergeCells count="3">
    <mergeCell ref="H1:J1"/>
    <mergeCell ref="F1:G1"/>
    <mergeCell ref="A1:D1"/>
  </mergeCells>
  <printOptions headings="1" gridLines="1"/>
  <pageMargins left="0.70866141732283472" right="0.70866141732283472" top="0.74803149606299213" bottom="0.74803149606299213" header="0.31496062992125984" footer="0.31496062992125984"/>
  <pageSetup paperSize="9" scale="52" orientation="landscape" horizontalDpi="1200" verticalDpi="1200" r:id="rId2"/>
  <headerFooter>
    <oddHeader>&amp;L&amp;8&amp;D&amp;C&amp;8DRAFT&amp;R&amp;8&amp;A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pageSetUpPr fitToPage="1"/>
  </sheetPr>
  <dimension ref="A1:AC169"/>
  <sheetViews>
    <sheetView workbookViewId="0">
      <selection sqref="A1:D1"/>
    </sheetView>
  </sheetViews>
  <sheetFormatPr defaultRowHeight="12.75"/>
  <cols>
    <col min="1" max="1" width="3.5703125" customWidth="1"/>
    <col min="3" max="3" width="12.85546875" customWidth="1"/>
    <col min="4" max="4" width="12.85546875" style="776" customWidth="1"/>
    <col min="5" max="5" width="10.5703125" customWidth="1"/>
    <col min="6" max="6" width="11.28515625" customWidth="1"/>
    <col min="7" max="7" width="0" hidden="1" customWidth="1"/>
    <col min="8" max="8" width="10" customWidth="1"/>
    <col min="19" max="20" width="9" style="592"/>
    <col min="21" max="21" width="7.85546875" bestFit="1" customWidth="1"/>
    <col min="22" max="22" width="8.85546875" bestFit="1" customWidth="1"/>
  </cols>
  <sheetData>
    <row r="1" spans="1:29" s="776" customFormat="1" ht="24" customHeight="1" thickBot="1">
      <c r="A1" s="1486" t="s">
        <v>0</v>
      </c>
      <c r="B1" s="1487"/>
      <c r="C1" s="1487"/>
      <c r="D1" s="1487"/>
      <c r="E1" s="1044" t="e">
        <f>'1_Contents'!#REF!</f>
        <v>#REF!</v>
      </c>
      <c r="F1" s="1476" t="e">
        <f>'1_Contents'!#REF!</f>
        <v>#REF!</v>
      </c>
      <c r="G1" s="1476"/>
      <c r="H1" s="1048"/>
      <c r="I1" s="1477">
        <f ca="1">NOW()</f>
        <v>44487.543585879626</v>
      </c>
      <c r="J1" s="1477"/>
      <c r="K1" s="1477"/>
      <c r="L1" s="1047"/>
      <c r="M1" s="1048"/>
      <c r="N1" s="968"/>
      <c r="O1" s="968"/>
      <c r="P1" s="967"/>
      <c r="Q1" s="967"/>
      <c r="R1" s="967"/>
      <c r="S1" s="967"/>
      <c r="T1" s="967"/>
      <c r="U1" s="967"/>
      <c r="V1" s="967"/>
      <c r="W1" s="967"/>
      <c r="X1" s="967"/>
      <c r="Y1" s="968"/>
      <c r="Z1" s="968"/>
      <c r="AA1" s="968" t="e">
        <f>'1_Contents'!#REF!</f>
        <v>#REF!</v>
      </c>
      <c r="AB1" s="710"/>
    </row>
    <row r="2" spans="1:29" s="776" customFormat="1">
      <c r="A2" s="1040" t="s">
        <v>168</v>
      </c>
      <c r="B2" s="321"/>
      <c r="C2" s="636"/>
      <c r="D2" s="636"/>
      <c r="E2" s="801"/>
      <c r="F2" s="69">
        <v>0</v>
      </c>
      <c r="G2" s="69">
        <f>F2+1</f>
        <v>1</v>
      </c>
      <c r="H2" s="69">
        <f t="shared" ref="H2:W3" si="0">G2+1</f>
        <v>2</v>
      </c>
      <c r="I2" s="69">
        <f t="shared" si="0"/>
        <v>3</v>
      </c>
      <c r="J2" s="69">
        <f t="shared" si="0"/>
        <v>4</v>
      </c>
      <c r="K2" s="69">
        <f t="shared" si="0"/>
        <v>5</v>
      </c>
      <c r="L2" s="69">
        <f t="shared" si="0"/>
        <v>6</v>
      </c>
      <c r="M2" s="69">
        <f t="shared" si="0"/>
        <v>7</v>
      </c>
      <c r="N2" s="69">
        <f t="shared" si="0"/>
        <v>8</v>
      </c>
      <c r="O2" s="69">
        <f t="shared" si="0"/>
        <v>9</v>
      </c>
      <c r="P2" s="69">
        <f t="shared" si="0"/>
        <v>10</v>
      </c>
      <c r="Q2" s="69">
        <f t="shared" si="0"/>
        <v>11</v>
      </c>
      <c r="R2" s="69">
        <f t="shared" si="0"/>
        <v>12</v>
      </c>
      <c r="S2" s="69">
        <f t="shared" si="0"/>
        <v>13</v>
      </c>
      <c r="T2" s="69">
        <f t="shared" si="0"/>
        <v>14</v>
      </c>
      <c r="U2" s="69">
        <f t="shared" si="0"/>
        <v>15</v>
      </c>
      <c r="V2" s="69">
        <f t="shared" si="0"/>
        <v>16</v>
      </c>
      <c r="W2" s="69">
        <f t="shared" si="0"/>
        <v>17</v>
      </c>
      <c r="X2" s="69">
        <f t="shared" ref="X2:AA3" si="1">W2+1</f>
        <v>18</v>
      </c>
      <c r="Y2" s="69">
        <f t="shared" si="1"/>
        <v>19</v>
      </c>
      <c r="Z2" s="69">
        <f t="shared" si="1"/>
        <v>20</v>
      </c>
      <c r="AA2" s="69">
        <f t="shared" si="1"/>
        <v>21</v>
      </c>
      <c r="AB2" s="710"/>
    </row>
    <row r="3" spans="1:29" s="776" customFormat="1">
      <c r="A3" s="52"/>
      <c r="B3" s="52"/>
      <c r="C3" s="52"/>
      <c r="D3" s="52"/>
      <c r="E3" s="1266" t="s">
        <v>3</v>
      </c>
      <c r="F3" s="953">
        <v>1999</v>
      </c>
      <c r="G3" s="953">
        <f t="shared" ref="G3:M3" si="2">F3+1</f>
        <v>2000</v>
      </c>
      <c r="H3" s="953">
        <f t="shared" si="2"/>
        <v>2001</v>
      </c>
      <c r="I3" s="953">
        <f t="shared" si="2"/>
        <v>2002</v>
      </c>
      <c r="J3" s="953">
        <f t="shared" si="2"/>
        <v>2003</v>
      </c>
      <c r="K3" s="953">
        <f t="shared" si="2"/>
        <v>2004</v>
      </c>
      <c r="L3" s="953">
        <f t="shared" si="2"/>
        <v>2005</v>
      </c>
      <c r="M3" s="953">
        <f t="shared" si="2"/>
        <v>2006</v>
      </c>
      <c r="N3" s="953">
        <v>2007</v>
      </c>
      <c r="O3" s="953">
        <f>N3+1</f>
        <v>2008</v>
      </c>
      <c r="P3" s="953">
        <f t="shared" si="0"/>
        <v>2009</v>
      </c>
      <c r="Q3" s="953">
        <f t="shared" si="0"/>
        <v>2010</v>
      </c>
      <c r="R3" s="953">
        <f t="shared" si="0"/>
        <v>2011</v>
      </c>
      <c r="S3" s="953">
        <f t="shared" si="0"/>
        <v>2012</v>
      </c>
      <c r="T3" s="953">
        <f t="shared" si="0"/>
        <v>2013</v>
      </c>
      <c r="U3" s="953">
        <f t="shared" si="0"/>
        <v>2014</v>
      </c>
      <c r="V3" s="953">
        <f t="shared" si="0"/>
        <v>2015</v>
      </c>
      <c r="W3" s="953">
        <f t="shared" si="0"/>
        <v>2016</v>
      </c>
      <c r="X3" s="953">
        <f t="shared" si="1"/>
        <v>2017</v>
      </c>
      <c r="Y3" s="953">
        <f t="shared" si="1"/>
        <v>2018</v>
      </c>
      <c r="Z3" s="953">
        <f t="shared" si="1"/>
        <v>2019</v>
      </c>
      <c r="AA3" s="953">
        <f t="shared" si="1"/>
        <v>2020</v>
      </c>
      <c r="AB3" s="910"/>
      <c r="AC3" s="52"/>
    </row>
    <row r="4" spans="1:29">
      <c r="A4" s="929">
        <v>1</v>
      </c>
      <c r="B4" s="929" t="s">
        <v>780</v>
      </c>
      <c r="C4" s="52"/>
      <c r="D4" s="52"/>
      <c r="E4" s="1266" t="s">
        <v>781</v>
      </c>
      <c r="F4" s="1078" t="e">
        <f>#REF!</f>
        <v>#REF!</v>
      </c>
      <c r="G4" s="1079"/>
      <c r="H4" s="1080" t="e">
        <f>#REF!</f>
        <v>#REF!</v>
      </c>
      <c r="I4" s="1079" t="e">
        <f>#REF!</f>
        <v>#REF!</v>
      </c>
      <c r="J4" s="1079" t="e">
        <f>#REF!</f>
        <v>#REF!</v>
      </c>
      <c r="K4" s="1079" t="e">
        <f>#REF!</f>
        <v>#REF!</v>
      </c>
      <c r="L4" s="1079" t="e">
        <f>#REF!</f>
        <v>#REF!</v>
      </c>
      <c r="M4" s="1079" t="e">
        <f>#REF!</f>
        <v>#REF!</v>
      </c>
      <c r="N4" s="1079" t="e">
        <f>#REF!</f>
        <v>#REF!</v>
      </c>
      <c r="O4" s="1079" t="e">
        <f>#REF!</f>
        <v>#REF!</v>
      </c>
      <c r="P4" s="1079" t="e">
        <f>#REF!</f>
        <v>#REF!</v>
      </c>
      <c r="Q4" s="1079" t="e">
        <f>#REF!</f>
        <v>#REF!</v>
      </c>
      <c r="R4" s="1079" t="e">
        <f>#REF!</f>
        <v>#REF!</v>
      </c>
      <c r="S4" s="1079"/>
      <c r="T4" s="1079"/>
      <c r="U4" s="1032"/>
      <c r="V4" s="52"/>
      <c r="W4" s="52"/>
      <c r="X4" s="52"/>
      <c r="Y4" s="52"/>
      <c r="Z4" s="52"/>
      <c r="AA4" s="52"/>
      <c r="AB4" s="52"/>
      <c r="AC4" s="52"/>
    </row>
    <row r="5" spans="1:29">
      <c r="A5" s="929"/>
      <c r="B5" s="52"/>
      <c r="C5" s="52"/>
      <c r="D5" s="52"/>
      <c r="E5" s="52"/>
      <c r="F5" s="52"/>
      <c r="G5" s="52"/>
      <c r="H5" s="1081"/>
      <c r="I5" s="52"/>
      <c r="J5" s="52"/>
      <c r="K5" s="52"/>
      <c r="L5" s="52"/>
      <c r="M5" s="52"/>
      <c r="N5" s="52"/>
      <c r="O5" s="52"/>
      <c r="P5" s="52"/>
      <c r="Q5" s="52"/>
      <c r="R5" s="52"/>
      <c r="S5" s="52"/>
      <c r="T5" s="52"/>
      <c r="U5" s="52"/>
      <c r="V5" s="52"/>
      <c r="W5" s="52"/>
      <c r="X5" s="52"/>
      <c r="Y5" s="52"/>
      <c r="Z5" s="52"/>
      <c r="AA5" s="52"/>
      <c r="AB5" s="52"/>
      <c r="AC5" s="52"/>
    </row>
    <row r="6" spans="1:29">
      <c r="A6" s="929">
        <v>2</v>
      </c>
      <c r="B6" s="929" t="s">
        <v>782</v>
      </c>
      <c r="C6" s="52"/>
      <c r="D6" s="52"/>
      <c r="E6" s="1266" t="s">
        <v>655</v>
      </c>
      <c r="F6" s="52"/>
      <c r="G6" s="190" t="e">
        <f>#REF!</f>
        <v>#REF!</v>
      </c>
      <c r="H6" s="1082" t="e">
        <f>#REF!</f>
        <v>#REF!</v>
      </c>
      <c r="I6" s="190" t="e">
        <f>#REF!</f>
        <v>#REF!</v>
      </c>
      <c r="J6" s="190" t="e">
        <f>#REF!</f>
        <v>#REF!</v>
      </c>
      <c r="K6" s="190" t="e">
        <f>#REF!</f>
        <v>#REF!</v>
      </c>
      <c r="L6" s="190" t="e">
        <f>#REF!</f>
        <v>#REF!</v>
      </c>
      <c r="M6" s="190" t="e">
        <f>#REF!</f>
        <v>#REF!</v>
      </c>
      <c r="N6" s="190" t="e">
        <f>#REF!</f>
        <v>#REF!</v>
      </c>
      <c r="O6" s="190" t="e">
        <f>#REF!</f>
        <v>#REF!</v>
      </c>
      <c r="P6" s="190" t="e">
        <f>#REF!</f>
        <v>#REF!</v>
      </c>
      <c r="Q6" s="190" t="e">
        <f>#REF!</f>
        <v>#REF!</v>
      </c>
      <c r="R6" s="190" t="e">
        <f>#REF!</f>
        <v>#REF!</v>
      </c>
      <c r="S6" s="190"/>
      <c r="T6" s="190"/>
      <c r="U6" s="877" t="e">
        <f>'Mark-Expect'!#REF!</f>
        <v>#REF!</v>
      </c>
      <c r="V6" s="52"/>
      <c r="W6" s="52"/>
      <c r="X6" s="52"/>
      <c r="Y6" s="52"/>
      <c r="Z6" s="52"/>
      <c r="AA6" s="52"/>
      <c r="AB6" s="52"/>
      <c r="AC6" s="52"/>
    </row>
    <row r="7" spans="1:29">
      <c r="A7" s="929"/>
      <c r="B7" s="1083"/>
      <c r="C7" s="52"/>
      <c r="D7" s="52"/>
      <c r="E7" s="809"/>
      <c r="F7" s="71"/>
      <c r="G7" s="71"/>
      <c r="H7" s="1084"/>
      <c r="I7" s="173"/>
      <c r="J7" s="173"/>
      <c r="K7" s="173"/>
      <c r="L7" s="173"/>
      <c r="M7" s="173"/>
      <c r="N7" s="173"/>
      <c r="O7" s="173"/>
      <c r="P7" s="173"/>
      <c r="Q7" s="190"/>
      <c r="R7" s="173"/>
      <c r="S7" s="173"/>
      <c r="T7" s="173"/>
      <c r="U7" s="52"/>
      <c r="V7" s="52"/>
      <c r="W7" s="52"/>
      <c r="X7" s="52"/>
      <c r="Y7" s="52"/>
      <c r="Z7" s="52"/>
      <c r="AA7" s="52"/>
      <c r="AB7" s="52"/>
      <c r="AC7" s="52"/>
    </row>
    <row r="8" spans="1:29">
      <c r="A8" s="929">
        <v>3</v>
      </c>
      <c r="B8" s="1085" t="s">
        <v>218</v>
      </c>
      <c r="C8" s="52"/>
      <c r="D8" s="52"/>
      <c r="E8" s="809" t="s">
        <v>631</v>
      </c>
      <c r="F8" s="71"/>
      <c r="G8" s="71"/>
      <c r="H8" s="1082" t="e">
        <f>#REF!</f>
        <v>#REF!</v>
      </c>
      <c r="I8" s="190" t="e">
        <f>#REF!</f>
        <v>#REF!</v>
      </c>
      <c r="J8" s="190" t="e">
        <f>#REF!</f>
        <v>#REF!</v>
      </c>
      <c r="K8" s="190" t="e">
        <f>#REF!</f>
        <v>#REF!</v>
      </c>
      <c r="L8" s="190" t="e">
        <f>#REF!</f>
        <v>#REF!</v>
      </c>
      <c r="M8" s="190" t="e">
        <f>#REF!</f>
        <v>#REF!</v>
      </c>
      <c r="N8" s="190" t="e">
        <f>#REF!</f>
        <v>#REF!</v>
      </c>
      <c r="O8" s="190" t="e">
        <f>#REF!</f>
        <v>#REF!</v>
      </c>
      <c r="P8" s="190" t="e">
        <f>#REF!</f>
        <v>#REF!</v>
      </c>
      <c r="Q8" s="190" t="e">
        <f>#REF!</f>
        <v>#REF!</v>
      </c>
      <c r="R8" s="190" t="e">
        <f>#REF!</f>
        <v>#REF!</v>
      </c>
      <c r="S8" s="190"/>
      <c r="T8" s="190"/>
      <c r="U8" s="242"/>
      <c r="V8" s="52"/>
      <c r="W8" s="52"/>
      <c r="X8" s="52"/>
      <c r="Y8" s="52"/>
      <c r="Z8" s="52"/>
      <c r="AA8" s="52"/>
      <c r="AB8" s="52"/>
      <c r="AC8" s="52"/>
    </row>
    <row r="9" spans="1:29">
      <c r="A9" s="929"/>
      <c r="B9" s="1086"/>
      <c r="C9" s="52"/>
      <c r="D9" s="52"/>
      <c r="E9" s="809"/>
      <c r="F9" s="71"/>
      <c r="G9" s="71"/>
      <c r="H9" s="1082"/>
      <c r="I9" s="190"/>
      <c r="J9" s="190"/>
      <c r="K9" s="190"/>
      <c r="L9" s="190"/>
      <c r="M9" s="190"/>
      <c r="N9" s="190"/>
      <c r="O9" s="190"/>
      <c r="P9" s="190"/>
      <c r="Q9" s="190"/>
      <c r="R9" s="173"/>
      <c r="S9" s="173"/>
      <c r="T9" s="173"/>
      <c r="U9" s="242"/>
      <c r="V9" s="52"/>
      <c r="W9" s="52"/>
      <c r="X9" s="52"/>
      <c r="Y9" s="52"/>
      <c r="Z9" s="52"/>
      <c r="AA9" s="52"/>
      <c r="AB9" s="52"/>
      <c r="AC9" s="52"/>
    </row>
    <row r="10" spans="1:29">
      <c r="A10" s="929">
        <v>4</v>
      </c>
      <c r="B10" s="1085" t="s">
        <v>20</v>
      </c>
      <c r="C10" s="52"/>
      <c r="D10" s="52"/>
      <c r="E10" s="809" t="s">
        <v>783</v>
      </c>
      <c r="F10" s="71"/>
      <c r="G10" s="185"/>
      <c r="H10" s="1087" t="e">
        <f t="shared" ref="H10:R10" si="3">(((H6-G6)+H8)/G6)</f>
        <v>#REF!</v>
      </c>
      <c r="I10" s="1088" t="e">
        <f t="shared" si="3"/>
        <v>#REF!</v>
      </c>
      <c r="J10" s="1088" t="e">
        <f t="shared" si="3"/>
        <v>#REF!</v>
      </c>
      <c r="K10" s="1088" t="e">
        <f t="shared" si="3"/>
        <v>#REF!</v>
      </c>
      <c r="L10" s="1088" t="e">
        <f t="shared" si="3"/>
        <v>#REF!</v>
      </c>
      <c r="M10" s="1088" t="e">
        <f t="shared" si="3"/>
        <v>#REF!</v>
      </c>
      <c r="N10" s="1088" t="e">
        <f t="shared" si="3"/>
        <v>#REF!</v>
      </c>
      <c r="O10" s="1088" t="e">
        <f t="shared" si="3"/>
        <v>#REF!</v>
      </c>
      <c r="P10" s="1088" t="e">
        <f t="shared" si="3"/>
        <v>#REF!</v>
      </c>
      <c r="Q10" s="1088" t="e">
        <f t="shared" si="3"/>
        <v>#REF!</v>
      </c>
      <c r="R10" s="1088" t="e">
        <f t="shared" si="3"/>
        <v>#REF!</v>
      </c>
      <c r="S10" s="1088"/>
      <c r="T10" s="1088"/>
      <c r="U10" s="173" t="s">
        <v>784</v>
      </c>
      <c r="V10" s="52"/>
      <c r="W10" s="52"/>
      <c r="X10" s="52"/>
      <c r="Y10" s="52"/>
      <c r="Z10" s="52"/>
      <c r="AA10" s="52"/>
      <c r="AB10" s="52"/>
      <c r="AC10" s="52"/>
    </row>
    <row r="11" spans="1:29">
      <c r="A11" s="1086"/>
      <c r="B11" s="71"/>
      <c r="C11" s="52"/>
      <c r="D11" s="52"/>
      <c r="E11" s="809"/>
      <c r="F11" s="71"/>
      <c r="G11" s="71"/>
      <c r="H11" s="263"/>
      <c r="I11" s="188"/>
      <c r="J11" s="188"/>
      <c r="K11" s="188"/>
      <c r="L11" s="188"/>
      <c r="M11" s="188"/>
      <c r="N11" s="188"/>
      <c r="O11" s="188"/>
      <c r="P11" s="188"/>
      <c r="Q11" s="188"/>
      <c r="R11" s="242"/>
      <c r="S11" s="242"/>
      <c r="T11" s="242"/>
      <c r="U11" s="173"/>
      <c r="V11" s="52"/>
      <c r="W11" s="52"/>
      <c r="X11" s="52"/>
      <c r="Y11" s="52"/>
      <c r="Z11" s="52"/>
      <c r="AA11" s="52"/>
      <c r="AB11" s="52"/>
      <c r="AC11" s="52"/>
    </row>
    <row r="12" spans="1:29">
      <c r="A12" s="1086"/>
      <c r="B12" s="71"/>
      <c r="C12" s="52"/>
      <c r="D12" s="52"/>
      <c r="E12" s="809"/>
      <c r="F12" s="173" t="s">
        <v>558</v>
      </c>
      <c r="G12" s="52"/>
      <c r="H12" s="1089"/>
      <c r="I12" s="188"/>
      <c r="J12" s="188"/>
      <c r="K12" s="188"/>
      <c r="L12" s="188"/>
      <c r="M12" s="188"/>
      <c r="N12" s="188"/>
      <c r="O12" s="188"/>
      <c r="P12" s="188"/>
      <c r="Q12" s="188"/>
      <c r="R12" s="190" t="e">
        <f>R8</f>
        <v>#REF!</v>
      </c>
      <c r="S12" s="190"/>
      <c r="T12" s="190"/>
      <c r="U12" s="173"/>
      <c r="V12" s="1266" t="s">
        <v>785</v>
      </c>
      <c r="W12" s="52"/>
      <c r="X12" s="52"/>
      <c r="Y12" s="52"/>
      <c r="Z12" s="52"/>
      <c r="AA12" s="52"/>
      <c r="AB12" s="52"/>
      <c r="AC12" s="52"/>
    </row>
    <row r="13" spans="1:29">
      <c r="A13" s="1086"/>
      <c r="B13" s="71"/>
      <c r="C13" s="52"/>
      <c r="D13" s="52"/>
      <c r="E13" s="809"/>
      <c r="F13" s="173" t="s">
        <v>786</v>
      </c>
      <c r="G13" s="52"/>
      <c r="H13" s="1089"/>
      <c r="I13" s="188"/>
      <c r="J13" s="188"/>
      <c r="K13" s="188"/>
      <c r="L13" s="188"/>
      <c r="M13" s="188"/>
      <c r="N13" s="188"/>
      <c r="O13" s="188"/>
      <c r="P13" s="188"/>
      <c r="Q13" s="188"/>
      <c r="R13" s="190" t="e">
        <f>#REF!-#REF!</f>
        <v>#REF!</v>
      </c>
      <c r="S13" s="190"/>
      <c r="T13" s="190"/>
      <c r="U13" s="173"/>
      <c r="V13" s="1266" t="s">
        <v>787</v>
      </c>
      <c r="W13" s="52"/>
      <c r="X13" s="52"/>
      <c r="Y13" s="52"/>
      <c r="Z13" s="52"/>
      <c r="AA13" s="52"/>
      <c r="AB13" s="52"/>
      <c r="AC13" s="52"/>
    </row>
    <row r="14" spans="1:29">
      <c r="A14" s="1086"/>
      <c r="B14" s="71"/>
      <c r="C14" s="52"/>
      <c r="D14" s="52"/>
      <c r="E14" s="809" t="s">
        <v>788</v>
      </c>
      <c r="F14" s="186" t="s">
        <v>20</v>
      </c>
      <c r="G14" s="52"/>
      <c r="H14" s="1089"/>
      <c r="I14" s="188"/>
      <c r="J14" s="188"/>
      <c r="K14" s="188"/>
      <c r="L14" s="188"/>
      <c r="M14" s="188"/>
      <c r="N14" s="188"/>
      <c r="O14" s="188"/>
      <c r="P14" s="188"/>
      <c r="Q14" s="276" t="e">
        <f>#REF!</f>
        <v>#REF!</v>
      </c>
      <c r="R14" s="350" t="e">
        <f>(R12+R13)/#REF!</f>
        <v>#REF!</v>
      </c>
      <c r="S14" s="350"/>
      <c r="T14" s="350"/>
      <c r="U14" s="173" t="s">
        <v>788</v>
      </c>
      <c r="V14" s="346" t="e">
        <f>R14</f>
        <v>#REF!</v>
      </c>
      <c r="W14" s="52"/>
      <c r="X14" s="52"/>
      <c r="Y14" s="52"/>
      <c r="Z14" s="52"/>
      <c r="AA14" s="52"/>
      <c r="AB14" s="52"/>
      <c r="AC14" s="52"/>
    </row>
    <row r="15" spans="1:29">
      <c r="A15" s="1086"/>
      <c r="B15" s="71"/>
      <c r="C15" s="52"/>
      <c r="D15" s="52"/>
      <c r="E15" s="52"/>
      <c r="F15" s="173" t="s">
        <v>558</v>
      </c>
      <c r="G15" s="52"/>
      <c r="H15" s="1089"/>
      <c r="I15" s="188"/>
      <c r="J15" s="188"/>
      <c r="K15" s="188"/>
      <c r="L15" s="188"/>
      <c r="M15" s="188"/>
      <c r="N15" s="188"/>
      <c r="O15" s="188"/>
      <c r="P15" s="188"/>
      <c r="Q15" s="188"/>
      <c r="R15" s="190" t="e">
        <f>SUM(Q8:R8)</f>
        <v>#REF!</v>
      </c>
      <c r="S15" s="190"/>
      <c r="T15" s="190"/>
      <c r="U15" s="173"/>
      <c r="V15" s="52"/>
      <c r="W15" s="52"/>
      <c r="X15" s="52"/>
      <c r="Y15" s="52"/>
      <c r="Z15" s="52"/>
      <c r="AA15" s="52"/>
      <c r="AB15" s="52"/>
      <c r="AC15" s="52"/>
    </row>
    <row r="16" spans="1:29">
      <c r="A16" s="1086"/>
      <c r="B16" s="71"/>
      <c r="C16" s="52"/>
      <c r="D16" s="52"/>
      <c r="E16" s="809"/>
      <c r="F16" s="173" t="s">
        <v>786</v>
      </c>
      <c r="G16" s="52"/>
      <c r="H16" s="1089"/>
      <c r="I16" s="188"/>
      <c r="J16" s="188"/>
      <c r="K16" s="188"/>
      <c r="L16" s="188"/>
      <c r="M16" s="188"/>
      <c r="N16" s="188"/>
      <c r="O16" s="188"/>
      <c r="P16" s="188"/>
      <c r="Q16" s="188"/>
      <c r="R16" s="190" t="e">
        <f>#REF!-#REF!</f>
        <v>#REF!</v>
      </c>
      <c r="S16" s="190"/>
      <c r="T16" s="190"/>
      <c r="U16" s="173"/>
      <c r="V16" s="52"/>
      <c r="W16" s="52"/>
      <c r="X16" s="52"/>
      <c r="Y16" s="52"/>
      <c r="Z16" s="52"/>
      <c r="AA16" s="52"/>
      <c r="AB16" s="52"/>
      <c r="AC16" s="52"/>
    </row>
    <row r="17" spans="1:29">
      <c r="A17" s="1086"/>
      <c r="B17" s="71"/>
      <c r="C17" s="52"/>
      <c r="D17" s="52"/>
      <c r="E17" s="809" t="s">
        <v>789</v>
      </c>
      <c r="F17" s="186" t="s">
        <v>20</v>
      </c>
      <c r="G17" s="52"/>
      <c r="H17" s="1089"/>
      <c r="I17" s="188"/>
      <c r="J17" s="188"/>
      <c r="K17" s="188"/>
      <c r="L17" s="188"/>
      <c r="M17" s="188"/>
      <c r="N17" s="188"/>
      <c r="O17" s="188"/>
      <c r="P17" s="276" t="e">
        <f>#REF!</f>
        <v>#REF!</v>
      </c>
      <c r="Q17" s="350"/>
      <c r="R17" s="350" t="e">
        <f>+(R15+R16)/#REF!</f>
        <v>#REF!</v>
      </c>
      <c r="S17" s="350"/>
      <c r="T17" s="350"/>
      <c r="U17" s="173" t="s">
        <v>789</v>
      </c>
      <c r="V17" s="78" t="e">
        <f>R17/2</f>
        <v>#REF!</v>
      </c>
      <c r="W17" s="52"/>
      <c r="X17" s="52"/>
      <c r="Y17" s="52"/>
      <c r="Z17" s="52"/>
      <c r="AA17" s="52"/>
      <c r="AB17" s="52"/>
      <c r="AC17" s="52"/>
    </row>
    <row r="18" spans="1:29">
      <c r="A18" s="1086"/>
      <c r="B18" s="71"/>
      <c r="C18" s="52"/>
      <c r="D18" s="52"/>
      <c r="E18" s="52"/>
      <c r="F18" s="173" t="s">
        <v>558</v>
      </c>
      <c r="G18" s="52"/>
      <c r="H18" s="1089"/>
      <c r="I18" s="188"/>
      <c r="J18" s="188"/>
      <c r="K18" s="188"/>
      <c r="L18" s="188"/>
      <c r="M18" s="188"/>
      <c r="N18" s="188"/>
      <c r="O18" s="188"/>
      <c r="P18" s="188"/>
      <c r="Q18" s="188"/>
      <c r="R18" s="190" t="e">
        <f>SUM(P8:R8)</f>
        <v>#REF!</v>
      </c>
      <c r="S18" s="190"/>
      <c r="T18" s="190"/>
      <c r="U18" s="173"/>
      <c r="V18" s="78"/>
      <c r="W18" s="52"/>
      <c r="X18" s="52"/>
      <c r="Y18" s="52"/>
      <c r="Z18" s="52"/>
      <c r="AA18" s="52"/>
      <c r="AB18" s="52"/>
      <c r="AC18" s="52"/>
    </row>
    <row r="19" spans="1:29">
      <c r="A19" s="1086"/>
      <c r="B19" s="71"/>
      <c r="C19" s="52"/>
      <c r="D19" s="52"/>
      <c r="E19" s="809"/>
      <c r="F19" s="173" t="s">
        <v>786</v>
      </c>
      <c r="G19" s="52"/>
      <c r="H19" s="1089"/>
      <c r="I19" s="188"/>
      <c r="J19" s="188"/>
      <c r="K19" s="188"/>
      <c r="L19" s="188"/>
      <c r="M19" s="188"/>
      <c r="N19" s="188"/>
      <c r="O19" s="188"/>
      <c r="P19" s="188"/>
      <c r="Q19" s="188"/>
      <c r="R19" s="190" t="e">
        <f>#REF!-#REF!</f>
        <v>#REF!</v>
      </c>
      <c r="S19" s="190"/>
      <c r="T19" s="190"/>
      <c r="U19" s="173"/>
      <c r="V19" s="78"/>
      <c r="W19" s="52"/>
      <c r="X19" s="52"/>
      <c r="Y19" s="52"/>
      <c r="Z19" s="52"/>
      <c r="AA19" s="52"/>
      <c r="AB19" s="52"/>
      <c r="AC19" s="52"/>
    </row>
    <row r="20" spans="1:29">
      <c r="A20" s="1086"/>
      <c r="B20" s="71"/>
      <c r="C20" s="52"/>
      <c r="D20" s="52"/>
      <c r="E20" s="809" t="s">
        <v>790</v>
      </c>
      <c r="F20" s="186" t="s">
        <v>20</v>
      </c>
      <c r="G20" s="52"/>
      <c r="H20" s="1089"/>
      <c r="I20" s="188"/>
      <c r="J20" s="188"/>
      <c r="K20" s="188"/>
      <c r="L20" s="188"/>
      <c r="M20" s="188"/>
      <c r="N20" s="188"/>
      <c r="O20" s="276" t="e">
        <f>#REF!</f>
        <v>#REF!</v>
      </c>
      <c r="P20" s="350"/>
      <c r="Q20" s="350"/>
      <c r="R20" s="350" t="e">
        <f>+(R18+R19)/#REF!</f>
        <v>#REF!</v>
      </c>
      <c r="S20" s="350"/>
      <c r="T20" s="350"/>
      <c r="U20" s="173" t="s">
        <v>790</v>
      </c>
      <c r="V20" s="78" t="e">
        <f>R20/3</f>
        <v>#REF!</v>
      </c>
      <c r="W20" s="52"/>
      <c r="X20" s="52"/>
      <c r="Y20" s="52"/>
      <c r="Z20" s="52"/>
      <c r="AA20" s="52"/>
      <c r="AB20" s="52"/>
      <c r="AC20" s="52"/>
    </row>
    <row r="21" spans="1:29">
      <c r="A21" s="1086"/>
      <c r="B21" s="71"/>
      <c r="C21" s="52"/>
      <c r="D21" s="52"/>
      <c r="E21" s="809"/>
      <c r="F21" s="173" t="s">
        <v>558</v>
      </c>
      <c r="G21" s="52"/>
      <c r="H21" s="1089"/>
      <c r="I21" s="188"/>
      <c r="J21" s="188"/>
      <c r="K21" s="188"/>
      <c r="L21" s="188"/>
      <c r="M21" s="188"/>
      <c r="N21" s="188"/>
      <c r="O21" s="188"/>
      <c r="P21" s="188"/>
      <c r="Q21" s="188"/>
      <c r="R21" s="190" t="e">
        <f>SUM(O8:R8)</f>
        <v>#REF!</v>
      </c>
      <c r="S21" s="190"/>
      <c r="T21" s="190"/>
      <c r="U21" s="173"/>
      <c r="V21" s="78"/>
      <c r="W21" s="52"/>
      <c r="X21" s="52"/>
      <c r="Y21" s="52"/>
      <c r="Z21" s="52"/>
      <c r="AA21" s="52"/>
      <c r="AB21" s="52"/>
      <c r="AC21" s="52"/>
    </row>
    <row r="22" spans="1:29">
      <c r="A22" s="1086"/>
      <c r="B22" s="71"/>
      <c r="C22" s="52"/>
      <c r="D22" s="52"/>
      <c r="E22" s="809"/>
      <c r="F22" s="173" t="s">
        <v>786</v>
      </c>
      <c r="G22" s="52"/>
      <c r="H22" s="1089"/>
      <c r="I22" s="188"/>
      <c r="J22" s="188"/>
      <c r="K22" s="188"/>
      <c r="L22" s="188"/>
      <c r="M22" s="188"/>
      <c r="N22" s="188"/>
      <c r="O22" s="188"/>
      <c r="P22" s="188"/>
      <c r="Q22" s="188"/>
      <c r="R22" s="190" t="e">
        <f>#REF!-#REF!</f>
        <v>#REF!</v>
      </c>
      <c r="S22" s="190"/>
      <c r="T22" s="190"/>
      <c r="U22" s="173"/>
      <c r="V22" s="78"/>
      <c r="W22" s="52"/>
      <c r="X22" s="52"/>
      <c r="Y22" s="52"/>
      <c r="Z22" s="52"/>
      <c r="AA22" s="52"/>
      <c r="AB22" s="52"/>
      <c r="AC22" s="52"/>
    </row>
    <row r="23" spans="1:29">
      <c r="A23" s="1086"/>
      <c r="B23" s="71"/>
      <c r="C23" s="52"/>
      <c r="D23" s="52"/>
      <c r="E23" s="809" t="s">
        <v>791</v>
      </c>
      <c r="F23" s="186" t="s">
        <v>20</v>
      </c>
      <c r="G23" s="52"/>
      <c r="H23" s="1089"/>
      <c r="I23" s="173"/>
      <c r="J23" s="173"/>
      <c r="K23" s="173"/>
      <c r="L23" s="173"/>
      <c r="M23" s="173"/>
      <c r="N23" s="276" t="e">
        <f>#REF!</f>
        <v>#REF!</v>
      </c>
      <c r="O23" s="350"/>
      <c r="P23" s="350"/>
      <c r="Q23" s="350"/>
      <c r="R23" s="350" t="e">
        <f>+(R21+R22)/#REF!</f>
        <v>#REF!</v>
      </c>
      <c r="S23" s="350"/>
      <c r="T23" s="350"/>
      <c r="U23" s="173" t="s">
        <v>791</v>
      </c>
      <c r="V23" s="78" t="e">
        <f>R23/4</f>
        <v>#REF!</v>
      </c>
      <c r="W23" s="52"/>
      <c r="X23" s="52"/>
      <c r="Y23" s="52"/>
      <c r="Z23" s="52"/>
      <c r="AA23" s="52"/>
      <c r="AB23" s="52"/>
      <c r="AC23" s="52"/>
    </row>
    <row r="24" spans="1:29">
      <c r="A24" s="1086"/>
      <c r="B24" s="71"/>
      <c r="C24" s="52"/>
      <c r="D24" s="52"/>
      <c r="E24" s="809"/>
      <c r="F24" s="173" t="s">
        <v>558</v>
      </c>
      <c r="G24" s="52"/>
      <c r="H24" s="1089"/>
      <c r="I24" s="173"/>
      <c r="J24" s="173"/>
      <c r="K24" s="173"/>
      <c r="L24" s="173"/>
      <c r="M24" s="173"/>
      <c r="N24" s="173"/>
      <c r="O24" s="173"/>
      <c r="P24" s="173"/>
      <c r="Q24" s="173"/>
      <c r="R24" s="190" t="e">
        <f>SUM(N8:R8)</f>
        <v>#REF!</v>
      </c>
      <c r="S24" s="190"/>
      <c r="T24" s="190"/>
      <c r="U24" s="173"/>
      <c r="V24" s="78"/>
      <c r="W24" s="52"/>
      <c r="X24" s="52"/>
      <c r="Y24" s="52"/>
      <c r="Z24" s="52"/>
      <c r="AA24" s="52"/>
      <c r="AB24" s="52"/>
      <c r="AC24" s="52"/>
    </row>
    <row r="25" spans="1:29">
      <c r="A25" s="1086"/>
      <c r="B25" s="71"/>
      <c r="C25" s="52"/>
      <c r="D25" s="52"/>
      <c r="E25" s="809"/>
      <c r="F25" s="173" t="s">
        <v>786</v>
      </c>
      <c r="G25" s="52"/>
      <c r="H25" s="1089"/>
      <c r="I25" s="173"/>
      <c r="J25" s="173"/>
      <c r="K25" s="173"/>
      <c r="L25" s="173"/>
      <c r="M25" s="173"/>
      <c r="N25" s="173"/>
      <c r="O25" s="173"/>
      <c r="P25" s="173"/>
      <c r="Q25" s="173"/>
      <c r="R25" s="190" t="e">
        <f>#REF!-#REF!</f>
        <v>#REF!</v>
      </c>
      <c r="S25" s="190"/>
      <c r="T25" s="190"/>
      <c r="U25" s="173"/>
      <c r="V25" s="78"/>
      <c r="W25" s="52"/>
      <c r="X25" s="52"/>
      <c r="Y25" s="52"/>
      <c r="Z25" s="52"/>
      <c r="AA25" s="52"/>
      <c r="AB25" s="52"/>
      <c r="AC25" s="52"/>
    </row>
    <row r="26" spans="1:29">
      <c r="A26" s="1086"/>
      <c r="B26" s="71"/>
      <c r="C26" s="52"/>
      <c r="D26" s="52"/>
      <c r="E26" s="809" t="s">
        <v>792</v>
      </c>
      <c r="F26" s="186" t="s">
        <v>20</v>
      </c>
      <c r="G26" s="52"/>
      <c r="H26" s="1089"/>
      <c r="I26" s="173"/>
      <c r="J26" s="173"/>
      <c r="K26" s="173"/>
      <c r="L26" s="173"/>
      <c r="M26" s="276" t="e">
        <f>#REF!</f>
        <v>#REF!</v>
      </c>
      <c r="N26" s="350"/>
      <c r="O26" s="350"/>
      <c r="P26" s="350"/>
      <c r="Q26" s="350"/>
      <c r="R26" s="350" t="e">
        <f>+(R24+R25)/#REF!</f>
        <v>#REF!</v>
      </c>
      <c r="S26" s="350"/>
      <c r="T26" s="350"/>
      <c r="U26" s="173" t="s">
        <v>792</v>
      </c>
      <c r="V26" s="78" t="e">
        <f>R26/5</f>
        <v>#REF!</v>
      </c>
      <c r="W26" s="52"/>
      <c r="X26" s="52"/>
      <c r="Y26" s="52"/>
      <c r="Z26" s="52"/>
      <c r="AA26" s="52"/>
      <c r="AB26" s="52"/>
      <c r="AC26" s="52"/>
    </row>
    <row r="27" spans="1:29">
      <c r="A27" s="1086"/>
      <c r="B27" s="71"/>
      <c r="C27" s="52"/>
      <c r="D27" s="52"/>
      <c r="E27" s="809"/>
      <c r="F27" s="173" t="s">
        <v>558</v>
      </c>
      <c r="G27" s="52"/>
      <c r="H27" s="1089"/>
      <c r="I27" s="173"/>
      <c r="J27" s="173"/>
      <c r="K27" s="173"/>
      <c r="L27" s="173"/>
      <c r="M27" s="173"/>
      <c r="N27" s="173"/>
      <c r="O27" s="173"/>
      <c r="P27" s="173"/>
      <c r="Q27" s="173"/>
      <c r="R27" s="190" t="e">
        <f>SUM(M8:R8)</f>
        <v>#REF!</v>
      </c>
      <c r="S27" s="190"/>
      <c r="T27" s="190"/>
      <c r="U27" s="173"/>
      <c r="V27" s="78"/>
      <c r="W27" s="52"/>
      <c r="X27" s="52"/>
      <c r="Y27" s="52"/>
      <c r="Z27" s="52"/>
      <c r="AA27" s="52"/>
      <c r="AB27" s="52"/>
      <c r="AC27" s="52"/>
    </row>
    <row r="28" spans="1:29">
      <c r="A28" s="1086"/>
      <c r="B28" s="71"/>
      <c r="C28" s="52"/>
      <c r="D28" s="52"/>
      <c r="E28" s="809"/>
      <c r="F28" s="173" t="s">
        <v>786</v>
      </c>
      <c r="G28" s="52"/>
      <c r="H28" s="1089"/>
      <c r="I28" s="173"/>
      <c r="J28" s="173"/>
      <c r="K28" s="173"/>
      <c r="L28" s="173"/>
      <c r="M28" s="173"/>
      <c r="N28" s="173"/>
      <c r="O28" s="173"/>
      <c r="P28" s="173"/>
      <c r="Q28" s="173"/>
      <c r="R28" s="190" t="e">
        <f>#REF!-#REF!</f>
        <v>#REF!</v>
      </c>
      <c r="S28" s="190"/>
      <c r="T28" s="190"/>
      <c r="U28" s="173"/>
      <c r="V28" s="78"/>
      <c r="W28" s="52"/>
      <c r="X28" s="52"/>
      <c r="Y28" s="52"/>
      <c r="Z28" s="52"/>
      <c r="AA28" s="52"/>
      <c r="AB28" s="52"/>
      <c r="AC28" s="52"/>
    </row>
    <row r="29" spans="1:29">
      <c r="A29" s="1086"/>
      <c r="B29" s="71"/>
      <c r="C29" s="52"/>
      <c r="D29" s="52"/>
      <c r="E29" s="809" t="s">
        <v>793</v>
      </c>
      <c r="F29" s="186" t="s">
        <v>20</v>
      </c>
      <c r="G29" s="52"/>
      <c r="H29" s="1089"/>
      <c r="I29" s="173"/>
      <c r="J29" s="173"/>
      <c r="K29" s="173"/>
      <c r="L29" s="276" t="e">
        <f>#REF!</f>
        <v>#REF!</v>
      </c>
      <c r="M29" s="350"/>
      <c r="N29" s="350"/>
      <c r="O29" s="350"/>
      <c r="P29" s="350"/>
      <c r="Q29" s="350"/>
      <c r="R29" s="350" t="e">
        <f>+(R27+R28)/#REF!</f>
        <v>#REF!</v>
      </c>
      <c r="S29" s="350"/>
      <c r="T29" s="350"/>
      <c r="U29" s="173" t="s">
        <v>793</v>
      </c>
      <c r="V29" s="78" t="e">
        <f>R29/6</f>
        <v>#REF!</v>
      </c>
      <c r="W29" s="52"/>
      <c r="X29" s="52"/>
      <c r="Y29" s="52"/>
      <c r="Z29" s="52"/>
      <c r="AA29" s="52"/>
      <c r="AB29" s="52"/>
      <c r="AC29" s="52"/>
    </row>
    <row r="30" spans="1:29">
      <c r="A30" s="1086"/>
      <c r="B30" s="52"/>
      <c r="C30" s="52"/>
      <c r="D30" s="52"/>
      <c r="E30" s="52"/>
      <c r="F30" s="173" t="s">
        <v>558</v>
      </c>
      <c r="G30" s="52"/>
      <c r="H30" s="1089"/>
      <c r="I30" s="173"/>
      <c r="J30" s="173"/>
      <c r="K30" s="173"/>
      <c r="L30" s="173"/>
      <c r="M30" s="173"/>
      <c r="N30" s="173"/>
      <c r="O30" s="173"/>
      <c r="P30" s="173"/>
      <c r="Q30" s="173"/>
      <c r="R30" s="190" t="e">
        <f>SUM(L8:R8)</f>
        <v>#REF!</v>
      </c>
      <c r="S30" s="190"/>
      <c r="T30" s="190"/>
      <c r="U30" s="173"/>
      <c r="V30" s="78"/>
      <c r="W30" s="52"/>
      <c r="X30" s="52"/>
      <c r="Y30" s="52"/>
      <c r="Z30" s="52"/>
      <c r="AA30" s="52"/>
      <c r="AB30" s="52"/>
      <c r="AC30" s="52"/>
    </row>
    <row r="31" spans="1:29">
      <c r="A31" s="1086"/>
      <c r="B31" s="52"/>
      <c r="C31" s="52"/>
      <c r="D31" s="52"/>
      <c r="E31" s="52"/>
      <c r="F31" s="173" t="s">
        <v>786</v>
      </c>
      <c r="G31" s="52"/>
      <c r="H31" s="1089"/>
      <c r="I31" s="173"/>
      <c r="J31" s="173"/>
      <c r="K31" s="173"/>
      <c r="L31" s="173"/>
      <c r="M31" s="173"/>
      <c r="N31" s="173"/>
      <c r="O31" s="173"/>
      <c r="P31" s="173"/>
      <c r="Q31" s="173"/>
      <c r="R31" s="190" t="e">
        <f>#REF!-#REF!</f>
        <v>#REF!</v>
      </c>
      <c r="S31" s="190"/>
      <c r="T31" s="190"/>
      <c r="U31" s="173"/>
      <c r="V31" s="78"/>
      <c r="W31" s="52"/>
      <c r="X31" s="52"/>
      <c r="Y31" s="52"/>
      <c r="Z31" s="52"/>
      <c r="AA31" s="52"/>
      <c r="AB31" s="52"/>
      <c r="AC31" s="52"/>
    </row>
    <row r="32" spans="1:29">
      <c r="A32" s="1086"/>
      <c r="B32" s="52"/>
      <c r="C32" s="52"/>
      <c r="D32" s="52"/>
      <c r="E32" s="809" t="s">
        <v>794</v>
      </c>
      <c r="F32" s="186" t="s">
        <v>20</v>
      </c>
      <c r="G32" s="52"/>
      <c r="H32" s="1089"/>
      <c r="I32" s="173"/>
      <c r="J32" s="173"/>
      <c r="K32" s="276" t="e">
        <f>#REF!</f>
        <v>#REF!</v>
      </c>
      <c r="L32" s="350"/>
      <c r="M32" s="350"/>
      <c r="N32" s="350"/>
      <c r="O32" s="350"/>
      <c r="P32" s="350"/>
      <c r="Q32" s="350"/>
      <c r="R32" s="350" t="e">
        <f>+(R30+R31)/#REF!</f>
        <v>#REF!</v>
      </c>
      <c r="S32" s="350"/>
      <c r="T32" s="350"/>
      <c r="U32" s="173" t="s">
        <v>794</v>
      </c>
      <c r="V32" s="78" t="e">
        <f>R32/7</f>
        <v>#REF!</v>
      </c>
      <c r="W32" s="52"/>
      <c r="X32" s="52"/>
      <c r="Y32" s="52"/>
      <c r="Z32" s="52"/>
      <c r="AA32" s="52"/>
      <c r="AB32" s="52"/>
      <c r="AC32" s="52"/>
    </row>
    <row r="33" spans="1:29">
      <c r="A33" s="1086"/>
      <c r="B33" s="52"/>
      <c r="C33" s="52"/>
      <c r="D33" s="52"/>
      <c r="E33" s="52"/>
      <c r="F33" s="173" t="s">
        <v>558</v>
      </c>
      <c r="G33" s="52"/>
      <c r="H33" s="1089"/>
      <c r="I33" s="173"/>
      <c r="J33" s="173"/>
      <c r="K33" s="173"/>
      <c r="L33" s="173"/>
      <c r="M33" s="173"/>
      <c r="N33" s="173"/>
      <c r="O33" s="173"/>
      <c r="P33" s="173"/>
      <c r="Q33" s="173"/>
      <c r="R33" s="190" t="e">
        <f>SUM(K8:R8)</f>
        <v>#REF!</v>
      </c>
      <c r="S33" s="190"/>
      <c r="T33" s="190"/>
      <c r="U33" s="173"/>
      <c r="V33" s="78"/>
      <c r="W33" s="52"/>
      <c r="X33" s="52"/>
      <c r="Y33" s="52"/>
      <c r="Z33" s="52"/>
      <c r="AA33" s="52"/>
      <c r="AB33" s="52"/>
      <c r="AC33" s="52"/>
    </row>
    <row r="34" spans="1:29">
      <c r="A34" s="1086"/>
      <c r="B34" s="52"/>
      <c r="C34" s="52"/>
      <c r="D34" s="52"/>
      <c r="E34" s="52"/>
      <c r="F34" s="173" t="s">
        <v>786</v>
      </c>
      <c r="G34" s="52"/>
      <c r="H34" s="1089"/>
      <c r="I34" s="173"/>
      <c r="J34" s="173"/>
      <c r="K34" s="173"/>
      <c r="L34" s="173"/>
      <c r="M34" s="173"/>
      <c r="N34" s="173"/>
      <c r="O34" s="173"/>
      <c r="P34" s="173"/>
      <c r="Q34" s="173"/>
      <c r="R34" s="190" t="e">
        <f>#REF!-#REF!</f>
        <v>#REF!</v>
      </c>
      <c r="S34" s="190"/>
      <c r="T34" s="190"/>
      <c r="U34" s="173"/>
      <c r="V34" s="78"/>
      <c r="W34" s="52"/>
      <c r="X34" s="52"/>
      <c r="Y34" s="52"/>
      <c r="Z34" s="52"/>
      <c r="AA34" s="52"/>
      <c r="AB34" s="52"/>
      <c r="AC34" s="52"/>
    </row>
    <row r="35" spans="1:29">
      <c r="A35" s="1086"/>
      <c r="B35" s="52"/>
      <c r="C35" s="52"/>
      <c r="D35" s="52"/>
      <c r="E35" s="809" t="s">
        <v>795</v>
      </c>
      <c r="F35" s="186" t="s">
        <v>20</v>
      </c>
      <c r="G35" s="52"/>
      <c r="H35" s="1089"/>
      <c r="I35" s="173"/>
      <c r="J35" s="276" t="e">
        <f>#REF!</f>
        <v>#REF!</v>
      </c>
      <c r="K35" s="350"/>
      <c r="L35" s="350"/>
      <c r="M35" s="350"/>
      <c r="N35" s="350"/>
      <c r="O35" s="350"/>
      <c r="P35" s="350"/>
      <c r="Q35" s="350"/>
      <c r="R35" s="350" t="e">
        <f>+(R33+R34)/#REF!</f>
        <v>#REF!</v>
      </c>
      <c r="S35" s="350"/>
      <c r="T35" s="350"/>
      <c r="U35" s="173" t="s">
        <v>795</v>
      </c>
      <c r="V35" s="78" t="e">
        <f>R35/8</f>
        <v>#REF!</v>
      </c>
      <c r="W35" s="52"/>
      <c r="X35" s="52"/>
      <c r="Y35" s="52"/>
      <c r="Z35" s="52"/>
      <c r="AA35" s="52"/>
      <c r="AB35" s="52"/>
      <c r="AC35" s="52"/>
    </row>
    <row r="36" spans="1:29">
      <c r="A36" s="1086"/>
      <c r="B36" s="52"/>
      <c r="C36" s="52"/>
      <c r="D36" s="52"/>
      <c r="E36" s="52"/>
      <c r="F36" s="173" t="s">
        <v>558</v>
      </c>
      <c r="G36" s="52"/>
      <c r="H36" s="1089"/>
      <c r="I36" s="173"/>
      <c r="J36" s="173"/>
      <c r="K36" s="173"/>
      <c r="L36" s="173"/>
      <c r="M36" s="173"/>
      <c r="N36" s="173"/>
      <c r="O36" s="173"/>
      <c r="P36" s="173"/>
      <c r="Q36" s="173"/>
      <c r="R36" s="190" t="e">
        <f>SUM(J8:R8)</f>
        <v>#REF!</v>
      </c>
      <c r="S36" s="190"/>
      <c r="T36" s="190"/>
      <c r="U36" s="173"/>
      <c r="V36" s="78"/>
      <c r="W36" s="52"/>
      <c r="X36" s="52"/>
      <c r="Y36" s="52"/>
      <c r="Z36" s="52"/>
      <c r="AA36" s="52"/>
      <c r="AB36" s="52"/>
      <c r="AC36" s="52"/>
    </row>
    <row r="37" spans="1:29">
      <c r="A37" s="1086"/>
      <c r="B37" s="52"/>
      <c r="C37" s="52"/>
      <c r="D37" s="52"/>
      <c r="E37" s="52"/>
      <c r="F37" s="173" t="s">
        <v>786</v>
      </c>
      <c r="G37" s="52"/>
      <c r="H37" s="1089"/>
      <c r="I37" s="173"/>
      <c r="J37" s="173"/>
      <c r="K37" s="173"/>
      <c r="L37" s="173"/>
      <c r="M37" s="173"/>
      <c r="N37" s="173"/>
      <c r="O37" s="173"/>
      <c r="P37" s="173"/>
      <c r="Q37" s="173"/>
      <c r="R37" s="190" t="e">
        <f>#REF!-#REF!</f>
        <v>#REF!</v>
      </c>
      <c r="S37" s="190"/>
      <c r="T37" s="190"/>
      <c r="U37" s="173"/>
      <c r="V37" s="78"/>
      <c r="W37" s="52"/>
      <c r="X37" s="52"/>
      <c r="Y37" s="52"/>
      <c r="Z37" s="52"/>
      <c r="AA37" s="52"/>
      <c r="AB37" s="52"/>
      <c r="AC37" s="52"/>
    </row>
    <row r="38" spans="1:29">
      <c r="A38" s="1086"/>
      <c r="B38" s="52"/>
      <c r="C38" s="52"/>
      <c r="D38" s="52"/>
      <c r="E38" s="809" t="s">
        <v>796</v>
      </c>
      <c r="F38" s="173" t="s">
        <v>20</v>
      </c>
      <c r="G38" s="52"/>
      <c r="H38" s="1089"/>
      <c r="I38" s="276" t="e">
        <f>#REF!</f>
        <v>#REF!</v>
      </c>
      <c r="J38" s="350"/>
      <c r="K38" s="350"/>
      <c r="L38" s="350"/>
      <c r="M38" s="350"/>
      <c r="N38" s="350"/>
      <c r="O38" s="350"/>
      <c r="P38" s="350"/>
      <c r="Q38" s="350"/>
      <c r="R38" s="350" t="e">
        <f>+(R36+R37)/#REF!</f>
        <v>#REF!</v>
      </c>
      <c r="S38" s="350"/>
      <c r="T38" s="350"/>
      <c r="U38" s="173" t="s">
        <v>796</v>
      </c>
      <c r="V38" s="78" t="e">
        <f>R38/9</f>
        <v>#REF!</v>
      </c>
      <c r="W38" s="52"/>
      <c r="X38" s="52"/>
      <c r="Y38" s="52"/>
      <c r="Z38" s="52"/>
      <c r="AA38" s="52"/>
      <c r="AB38" s="52"/>
      <c r="AC38" s="52"/>
    </row>
    <row r="39" spans="1:29">
      <c r="A39" s="1086"/>
      <c r="B39" s="52"/>
      <c r="C39" s="52"/>
      <c r="D39" s="52"/>
      <c r="E39" s="52"/>
      <c r="F39" s="173" t="s">
        <v>558</v>
      </c>
      <c r="G39" s="52"/>
      <c r="H39" s="1089"/>
      <c r="I39" s="173"/>
      <c r="J39" s="173"/>
      <c r="K39" s="173"/>
      <c r="L39" s="173"/>
      <c r="M39" s="173"/>
      <c r="N39" s="173"/>
      <c r="O39" s="173"/>
      <c r="P39" s="173"/>
      <c r="Q39" s="173"/>
      <c r="R39" s="190" t="e">
        <f>SUM(I8:R8)</f>
        <v>#REF!</v>
      </c>
      <c r="S39" s="190"/>
      <c r="T39" s="190"/>
      <c r="U39" s="173"/>
      <c r="V39" s="78"/>
      <c r="W39" s="52"/>
      <c r="X39" s="52"/>
      <c r="Y39" s="52"/>
      <c r="Z39" s="52"/>
      <c r="AA39" s="52"/>
      <c r="AB39" s="52"/>
      <c r="AC39" s="52"/>
    </row>
    <row r="40" spans="1:29">
      <c r="A40" s="1086"/>
      <c r="B40" s="52"/>
      <c r="C40" s="52"/>
      <c r="D40" s="52"/>
      <c r="E40" s="52"/>
      <c r="F40" s="173" t="s">
        <v>786</v>
      </c>
      <c r="G40" s="52"/>
      <c r="H40" s="1089"/>
      <c r="I40" s="173"/>
      <c r="J40" s="173"/>
      <c r="K40" s="173"/>
      <c r="L40" s="173"/>
      <c r="M40" s="173"/>
      <c r="N40" s="173"/>
      <c r="O40" s="173"/>
      <c r="P40" s="173"/>
      <c r="Q40" s="173"/>
      <c r="R40" s="190" t="e">
        <f>#REF!-#REF!</f>
        <v>#REF!</v>
      </c>
      <c r="S40" s="190"/>
      <c r="T40" s="190"/>
      <c r="U40" s="173"/>
      <c r="V40" s="78"/>
      <c r="W40" s="52"/>
      <c r="X40" s="52"/>
      <c r="Y40" s="52"/>
      <c r="Z40" s="52"/>
      <c r="AA40" s="52"/>
      <c r="AB40" s="52"/>
      <c r="AC40" s="52"/>
    </row>
    <row r="41" spans="1:29">
      <c r="A41" s="1086"/>
      <c r="B41" s="52"/>
      <c r="C41" s="52"/>
      <c r="D41" s="52"/>
      <c r="E41" s="809" t="s">
        <v>797</v>
      </c>
      <c r="F41" s="173" t="s">
        <v>20</v>
      </c>
      <c r="G41" s="185"/>
      <c r="H41" s="330" t="e">
        <f>#REF!</f>
        <v>#REF!</v>
      </c>
      <c r="I41" s="350"/>
      <c r="J41" s="350"/>
      <c r="K41" s="350"/>
      <c r="L41" s="350"/>
      <c r="M41" s="350"/>
      <c r="N41" s="350"/>
      <c r="O41" s="350"/>
      <c r="P41" s="350"/>
      <c r="Q41" s="350"/>
      <c r="R41" s="350" t="e">
        <f>+(R39+R40)/#REF!</f>
        <v>#REF!</v>
      </c>
      <c r="S41" s="350"/>
      <c r="T41" s="350"/>
      <c r="U41" s="173" t="s">
        <v>797</v>
      </c>
      <c r="V41" s="78" t="e">
        <f>R41/10</f>
        <v>#REF!</v>
      </c>
      <c r="W41" s="52"/>
      <c r="X41" s="52"/>
      <c r="Y41" s="52"/>
      <c r="Z41" s="52"/>
      <c r="AA41" s="52"/>
      <c r="AB41" s="52"/>
      <c r="AC41" s="52"/>
    </row>
    <row r="42" spans="1:29">
      <c r="A42" s="920"/>
      <c r="B42" s="71"/>
      <c r="C42" s="71"/>
      <c r="D42" s="71"/>
      <c r="E42" s="71"/>
      <c r="F42" s="173"/>
      <c r="G42" s="73"/>
      <c r="H42" s="52"/>
      <c r="I42" s="52"/>
      <c r="J42" s="52"/>
      <c r="K42" s="52"/>
      <c r="L42" s="52"/>
      <c r="M42" s="52"/>
      <c r="N42" s="52"/>
      <c r="O42" s="52"/>
      <c r="P42" s="52"/>
      <c r="Q42" s="52"/>
      <c r="R42" s="52"/>
      <c r="S42" s="52"/>
      <c r="T42" s="52"/>
      <c r="U42" s="242"/>
      <c r="V42" s="52"/>
      <c r="W42" s="52"/>
      <c r="X42" s="52"/>
      <c r="Y42" s="52"/>
      <c r="Z42" s="52"/>
      <c r="AA42" s="52"/>
      <c r="AB42" s="52"/>
      <c r="AC42" s="52"/>
    </row>
    <row r="43" spans="1:29">
      <c r="A43" s="1090"/>
      <c r="B43" s="1091"/>
      <c r="C43" s="1091"/>
      <c r="D43" s="1091"/>
      <c r="E43" s="1091"/>
      <c r="F43" s="1092"/>
      <c r="G43" s="1091"/>
      <c r="H43" s="1006"/>
      <c r="I43" s="1093">
        <v>2007</v>
      </c>
      <c r="J43" s="1093">
        <f t="shared" ref="J43:R43" si="4">I43+1</f>
        <v>2008</v>
      </c>
      <c r="K43" s="1093">
        <f t="shared" si="4"/>
        <v>2009</v>
      </c>
      <c r="L43" s="1093">
        <f t="shared" si="4"/>
        <v>2010</v>
      </c>
      <c r="M43" s="1093">
        <f t="shared" si="4"/>
        <v>2011</v>
      </c>
      <c r="N43" s="1093">
        <f t="shared" si="4"/>
        <v>2012</v>
      </c>
      <c r="O43" s="1093">
        <f t="shared" si="4"/>
        <v>2013</v>
      </c>
      <c r="P43" s="1093">
        <f t="shared" si="4"/>
        <v>2014</v>
      </c>
      <c r="Q43" s="1093">
        <f t="shared" si="4"/>
        <v>2015</v>
      </c>
      <c r="R43" s="1093">
        <f t="shared" si="4"/>
        <v>2016</v>
      </c>
      <c r="S43" s="1094"/>
      <c r="T43" s="1094"/>
      <c r="U43" s="649" t="s">
        <v>630</v>
      </c>
      <c r="V43" s="52" t="s">
        <v>798</v>
      </c>
      <c r="W43" s="52"/>
      <c r="X43" s="52"/>
      <c r="Y43" s="52"/>
      <c r="Z43" s="52"/>
      <c r="AA43" s="52"/>
      <c r="AB43" s="52"/>
      <c r="AC43" s="52"/>
    </row>
    <row r="44" spans="1:29" s="252" customFormat="1">
      <c r="A44" s="929">
        <v>5</v>
      </c>
      <c r="B44" s="920" t="s">
        <v>799</v>
      </c>
      <c r="C44" s="71"/>
      <c r="D44" s="71"/>
      <c r="E44" s="71"/>
      <c r="F44" s="173"/>
      <c r="G44" s="52"/>
      <c r="H44" s="1006"/>
      <c r="I44" s="1006"/>
      <c r="J44" s="1006"/>
      <c r="K44" s="1006"/>
      <c r="L44" s="1006"/>
      <c r="M44" s="1006"/>
      <c r="N44" s="1006"/>
      <c r="O44" s="1006"/>
      <c r="P44" s="1006"/>
      <c r="Q44" s="1006"/>
      <c r="R44" s="1006"/>
      <c r="S44" s="1006"/>
      <c r="T44" s="1006"/>
      <c r="U44" s="946" t="s">
        <v>800</v>
      </c>
      <c r="V44" s="52"/>
      <c r="W44" s="52"/>
      <c r="X44" s="52"/>
      <c r="Y44" s="52"/>
      <c r="Z44" s="52"/>
      <c r="AA44" s="52"/>
      <c r="AB44" s="52"/>
      <c r="AC44" s="52"/>
    </row>
    <row r="45" spans="1:29" s="305" customFormat="1">
      <c r="A45" s="929"/>
      <c r="B45" s="920"/>
      <c r="C45" s="71"/>
      <c r="D45" s="71"/>
      <c r="E45" s="71"/>
      <c r="F45" s="173"/>
      <c r="G45" s="52"/>
      <c r="H45" s="1006"/>
      <c r="I45" s="1006"/>
      <c r="J45" s="1006"/>
      <c r="K45" s="1006"/>
      <c r="L45" s="1006"/>
      <c r="M45" s="1006"/>
      <c r="N45" s="1006"/>
      <c r="O45" s="1006"/>
      <c r="P45" s="1006"/>
      <c r="Q45" s="1006"/>
      <c r="R45" s="1006"/>
      <c r="S45" s="1006"/>
      <c r="T45" s="1006"/>
      <c r="U45" s="72"/>
      <c r="V45" s="52"/>
      <c r="W45" s="52"/>
      <c r="X45" s="52"/>
      <c r="Y45" s="52"/>
      <c r="Z45" s="52"/>
      <c r="AA45" s="52"/>
      <c r="AB45" s="52"/>
      <c r="AC45" s="52"/>
    </row>
    <row r="46" spans="1:29">
      <c r="A46" s="929"/>
      <c r="B46" s="69" t="s">
        <v>20</v>
      </c>
      <c r="C46" s="71"/>
      <c r="D46" s="71"/>
      <c r="E46" s="71"/>
      <c r="F46" s="173"/>
      <c r="G46" s="52"/>
      <c r="H46" s="71"/>
      <c r="I46" s="1028" t="e">
        <f t="shared" ref="I46:Q46" si="5">I10</f>
        <v>#REF!</v>
      </c>
      <c r="J46" s="1028" t="e">
        <f t="shared" si="5"/>
        <v>#REF!</v>
      </c>
      <c r="K46" s="1028" t="e">
        <f t="shared" si="5"/>
        <v>#REF!</v>
      </c>
      <c r="L46" s="1028" t="e">
        <f t="shared" si="5"/>
        <v>#REF!</v>
      </c>
      <c r="M46" s="1028" t="e">
        <f t="shared" si="5"/>
        <v>#REF!</v>
      </c>
      <c r="N46" s="1028" t="e">
        <f t="shared" si="5"/>
        <v>#REF!</v>
      </c>
      <c r="O46" s="1028" t="e">
        <f t="shared" si="5"/>
        <v>#REF!</v>
      </c>
      <c r="P46" s="1028" t="e">
        <f t="shared" si="5"/>
        <v>#REF!</v>
      </c>
      <c r="Q46" s="1028" t="e">
        <f t="shared" si="5"/>
        <v>#REF!</v>
      </c>
      <c r="R46" s="1028" t="e">
        <f>R10</f>
        <v>#REF!</v>
      </c>
      <c r="S46" s="1028"/>
      <c r="T46" s="1028"/>
      <c r="U46" s="1062" t="e">
        <f>AVERAGE(I46:R46)</f>
        <v>#REF!</v>
      </c>
      <c r="V46" s="1043" t="e">
        <f>SUM(I46:R46)</f>
        <v>#REF!</v>
      </c>
      <c r="W46" s="52"/>
      <c r="X46" s="52"/>
      <c r="Y46" s="52"/>
      <c r="Z46" s="52"/>
      <c r="AA46" s="52"/>
      <c r="AB46" s="52"/>
      <c r="AC46" s="52"/>
    </row>
    <row r="47" spans="1:29">
      <c r="A47" s="929"/>
      <c r="B47" s="69" t="s">
        <v>801</v>
      </c>
      <c r="C47" s="71"/>
      <c r="D47" s="71"/>
      <c r="E47" s="71"/>
      <c r="F47" s="173"/>
      <c r="G47" s="52"/>
      <c r="H47" s="71"/>
      <c r="I47" s="1069" t="e">
        <f>H4</f>
        <v>#REF!</v>
      </c>
      <c r="J47" s="1069" t="e">
        <f t="shared" ref="J47:R47" si="6">I4</f>
        <v>#REF!</v>
      </c>
      <c r="K47" s="1069" t="e">
        <f t="shared" si="6"/>
        <v>#REF!</v>
      </c>
      <c r="L47" s="1069" t="e">
        <f t="shared" si="6"/>
        <v>#REF!</v>
      </c>
      <c r="M47" s="1069" t="e">
        <f t="shared" si="6"/>
        <v>#REF!</v>
      </c>
      <c r="N47" s="1069" t="e">
        <f t="shared" si="6"/>
        <v>#REF!</v>
      </c>
      <c r="O47" s="1069" t="e">
        <f t="shared" si="6"/>
        <v>#REF!</v>
      </c>
      <c r="P47" s="1069" t="e">
        <f t="shared" si="6"/>
        <v>#REF!</v>
      </c>
      <c r="Q47" s="1069" t="e">
        <f t="shared" si="6"/>
        <v>#REF!</v>
      </c>
      <c r="R47" s="1069" t="e">
        <f t="shared" si="6"/>
        <v>#REF!</v>
      </c>
      <c r="S47" s="1069"/>
      <c r="T47" s="1069"/>
      <c r="U47" s="1095" t="e">
        <f>AVERAGE(I47:R47)</f>
        <v>#REF!</v>
      </c>
      <c r="V47" s="1096" t="e">
        <f>SUM(I47:R47)</f>
        <v>#REF!</v>
      </c>
      <c r="W47" s="52"/>
      <c r="X47" s="52"/>
      <c r="Y47" s="52"/>
      <c r="Z47" s="52"/>
      <c r="AA47" s="52"/>
      <c r="AB47" s="52"/>
      <c r="AC47" s="52"/>
    </row>
    <row r="48" spans="1:29">
      <c r="A48" s="929"/>
      <c r="B48" s="922" t="s">
        <v>802</v>
      </c>
      <c r="C48" s="71"/>
      <c r="D48" s="71"/>
      <c r="E48" s="1097" t="s">
        <v>803</v>
      </c>
      <c r="F48" s="52"/>
      <c r="G48" s="52"/>
      <c r="H48" s="71"/>
      <c r="I48" s="1098" t="e">
        <f t="shared" ref="I48:R48" si="7">I46-I47</f>
        <v>#REF!</v>
      </c>
      <c r="J48" s="1098" t="e">
        <f t="shared" si="7"/>
        <v>#REF!</v>
      </c>
      <c r="K48" s="1098" t="e">
        <f t="shared" si="7"/>
        <v>#REF!</v>
      </c>
      <c r="L48" s="1098" t="e">
        <f t="shared" si="7"/>
        <v>#REF!</v>
      </c>
      <c r="M48" s="1098" t="e">
        <f t="shared" si="7"/>
        <v>#REF!</v>
      </c>
      <c r="N48" s="1098" t="e">
        <f t="shared" si="7"/>
        <v>#REF!</v>
      </c>
      <c r="O48" s="1098" t="e">
        <f t="shared" si="7"/>
        <v>#REF!</v>
      </c>
      <c r="P48" s="1098" t="e">
        <f t="shared" si="7"/>
        <v>#REF!</v>
      </c>
      <c r="Q48" s="1098" t="e">
        <f t="shared" si="7"/>
        <v>#REF!</v>
      </c>
      <c r="R48" s="1098" t="e">
        <f t="shared" si="7"/>
        <v>#REF!</v>
      </c>
      <c r="S48" s="1098"/>
      <c r="T48" s="1098"/>
      <c r="U48" s="1099" t="e">
        <f>AVERAGE(I48:R48)</f>
        <v>#REF!</v>
      </c>
      <c r="V48" s="1043" t="e">
        <f>SUM(I48:R48)</f>
        <v>#REF!</v>
      </c>
      <c r="W48" s="52"/>
      <c r="X48" s="52"/>
      <c r="Y48" s="52"/>
      <c r="Z48" s="52"/>
      <c r="AA48" s="52"/>
      <c r="AB48" s="52"/>
      <c r="AC48" s="52"/>
    </row>
    <row r="49" spans="1:29">
      <c r="A49" s="929"/>
      <c r="B49" s="52"/>
      <c r="C49" s="52"/>
      <c r="D49" s="52"/>
      <c r="E49" s="1025" t="s">
        <v>804</v>
      </c>
      <c r="F49" s="52"/>
      <c r="G49" s="242"/>
      <c r="H49" s="242"/>
      <c r="I49" s="1100">
        <v>0.18820672957388263</v>
      </c>
      <c r="J49" s="1100">
        <v>-0.57514685090616147</v>
      </c>
      <c r="K49" s="1100">
        <v>0.15899989321358182</v>
      </c>
      <c r="L49" s="1100">
        <v>-0.19496977748490357</v>
      </c>
      <c r="M49" s="1100">
        <v>-6.4456125507935474E-2</v>
      </c>
      <c r="N49" s="1100">
        <v>-0.33851148089597349</v>
      </c>
      <c r="O49" s="1100">
        <v>0.46287360558816371</v>
      </c>
      <c r="P49" s="1100">
        <v>-0.26002107573051753</v>
      </c>
      <c r="Q49" s="1100">
        <v>-0.26050119470302768</v>
      </c>
      <c r="R49" s="1100">
        <v>2.5731039889271279E-2</v>
      </c>
      <c r="S49" s="1100"/>
      <c r="T49" s="1100"/>
      <c r="U49" s="1101">
        <f>AVERAGE(I49:R49)</f>
        <v>-8.5779523696361965E-2</v>
      </c>
      <c r="V49" s="1096">
        <f>SUM(I49:R49)</f>
        <v>-0.8577952369636197</v>
      </c>
      <c r="W49" s="52"/>
      <c r="X49" s="52"/>
      <c r="Y49" s="52"/>
      <c r="Z49" s="52"/>
      <c r="AA49" s="52"/>
      <c r="AB49" s="52"/>
      <c r="AC49" s="52"/>
    </row>
    <row r="50" spans="1:29" s="252" customFormat="1">
      <c r="A50" s="929"/>
      <c r="B50" s="52"/>
      <c r="C50" s="52"/>
      <c r="D50" s="52"/>
      <c r="E50" s="951"/>
      <c r="F50" s="242"/>
      <c r="G50" s="242"/>
      <c r="H50" s="242"/>
      <c r="I50" s="256"/>
      <c r="J50" s="256"/>
      <c r="K50" s="256"/>
      <c r="L50" s="256"/>
      <c r="M50" s="256"/>
      <c r="N50" s="256"/>
      <c r="O50" s="256"/>
      <c r="P50" s="256"/>
      <c r="Q50" s="256"/>
      <c r="R50" s="256"/>
      <c r="S50" s="256"/>
      <c r="T50" s="256"/>
      <c r="U50" s="1043" t="e">
        <f>U48-U49</f>
        <v>#REF!</v>
      </c>
      <c r="V50" s="1043"/>
      <c r="W50" s="52"/>
      <c r="X50" s="52"/>
      <c r="Y50" s="52"/>
      <c r="Z50" s="52"/>
      <c r="AA50" s="52"/>
      <c r="AB50" s="52"/>
      <c r="AC50" s="52"/>
    </row>
    <row r="51" spans="1:29">
      <c r="A51" s="929"/>
      <c r="B51" s="52"/>
      <c r="C51" s="52"/>
      <c r="D51" s="52"/>
      <c r="E51" s="1102" t="s">
        <v>805</v>
      </c>
      <c r="F51" s="52"/>
      <c r="G51" s="52"/>
      <c r="H51" s="52"/>
      <c r="I51" s="1103" t="e">
        <f t="shared" ref="I51:R51" si="8">I48-I49</f>
        <v>#REF!</v>
      </c>
      <c r="J51" s="1103" t="e">
        <f t="shared" si="8"/>
        <v>#REF!</v>
      </c>
      <c r="K51" s="1103" t="e">
        <f t="shared" si="8"/>
        <v>#REF!</v>
      </c>
      <c r="L51" s="1103" t="e">
        <f t="shared" si="8"/>
        <v>#REF!</v>
      </c>
      <c r="M51" s="1103" t="e">
        <f t="shared" si="8"/>
        <v>#REF!</v>
      </c>
      <c r="N51" s="1103" t="e">
        <f t="shared" si="8"/>
        <v>#REF!</v>
      </c>
      <c r="O51" s="1103" t="e">
        <f t="shared" si="8"/>
        <v>#REF!</v>
      </c>
      <c r="P51" s="1103" t="e">
        <f t="shared" si="8"/>
        <v>#REF!</v>
      </c>
      <c r="Q51" s="1103" t="e">
        <f t="shared" si="8"/>
        <v>#REF!</v>
      </c>
      <c r="R51" s="1103" t="e">
        <f t="shared" si="8"/>
        <v>#REF!</v>
      </c>
      <c r="S51" s="1103"/>
      <c r="T51" s="1103"/>
      <c r="U51" s="1104" t="e">
        <f>AVERAGE(I51:R51)</f>
        <v>#REF!</v>
      </c>
      <c r="V51" s="1043" t="e">
        <f>SUM(I51:R51)</f>
        <v>#REF!</v>
      </c>
      <c r="W51" s="52"/>
      <c r="X51" s="52"/>
      <c r="Y51" s="52"/>
      <c r="Z51" s="52"/>
      <c r="AA51" s="52"/>
      <c r="AB51" s="52"/>
      <c r="AC51" s="52"/>
    </row>
    <row r="52" spans="1:29">
      <c r="A52" s="918"/>
      <c r="B52" s="67"/>
      <c r="C52" s="67"/>
      <c r="D52" s="67"/>
      <c r="E52" s="67"/>
      <c r="F52" s="67"/>
      <c r="G52" s="67"/>
      <c r="H52" s="67"/>
      <c r="I52" s="67"/>
      <c r="J52" s="67"/>
      <c r="K52" s="67"/>
      <c r="L52" s="67"/>
      <c r="M52" s="67"/>
      <c r="N52" s="67"/>
      <c r="O52" s="67"/>
      <c r="P52" s="67"/>
      <c r="Q52" s="67"/>
      <c r="R52" s="67"/>
      <c r="S52" s="67"/>
      <c r="T52" s="67"/>
      <c r="U52" s="67"/>
      <c r="V52" s="67"/>
      <c r="W52" s="52"/>
      <c r="X52" s="52"/>
      <c r="Y52" s="52"/>
      <c r="Z52" s="52"/>
      <c r="AA52" s="52"/>
      <c r="AB52" s="52"/>
      <c r="AC52" s="52"/>
    </row>
    <row r="53" spans="1:29">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row>
    <row r="54" spans="1:29">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row>
    <row r="55" spans="1:29">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row>
    <row r="56" spans="1:29">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row>
    <row r="57" spans="1:29">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row>
    <row r="58" spans="1:29">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row>
    <row r="59" spans="1:29">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row>
    <row r="60" spans="1:29">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row>
    <row r="61" spans="1:29">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row>
    <row r="62" spans="1:29">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row>
    <row r="63" spans="1:29">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row>
    <row r="64" spans="1:29">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row>
    <row r="65" spans="1:29">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row>
    <row r="66" spans="1:29">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row>
    <row r="67" spans="1:29">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row>
    <row r="68" spans="1:29">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row>
    <row r="69" spans="1:29">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row>
    <row r="70" spans="1:29">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row>
    <row r="71" spans="1:29">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row>
    <row r="72" spans="1:29">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row>
    <row r="73" spans="1:29">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row>
    <row r="74" spans="1:29">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row>
    <row r="75" spans="1:29">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row>
    <row r="76" spans="1:29">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row>
    <row r="77" spans="1:29">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row>
    <row r="78" spans="1:29">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row>
    <row r="79" spans="1:29">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row>
    <row r="80" spans="1:29">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row>
    <row r="81" spans="1:29">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row>
    <row r="82" spans="1:29">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row>
    <row r="83" spans="1:29">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row>
    <row r="84" spans="1:29">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row>
    <row r="85" spans="1:29">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row>
    <row r="86" spans="1:29">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row>
    <row r="87" spans="1:29">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row>
    <row r="88" spans="1:29">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row>
    <row r="89" spans="1:29">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row>
    <row r="90" spans="1:29">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row>
    <row r="91" spans="1:29">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row>
    <row r="92" spans="1:29">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row>
    <row r="93" spans="1:29">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row>
    <row r="94" spans="1:29">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row>
    <row r="95" spans="1:29">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row>
    <row r="96" spans="1:29">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row>
    <row r="97" spans="1:29">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row>
    <row r="98" spans="1:29">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row>
    <row r="99" spans="1:29">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row>
    <row r="100" spans="1:29">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row>
    <row r="101" spans="1:29">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row>
    <row r="102" spans="1:29">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row>
    <row r="103" spans="1:29">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row>
    <row r="104" spans="1:29">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row>
    <row r="105" spans="1:29">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row>
    <row r="106" spans="1:29">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row>
    <row r="107" spans="1:29">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row>
    <row r="108" spans="1:29">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row>
    <row r="109" spans="1:29">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row>
    <row r="110" spans="1:29">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row>
    <row r="111" spans="1:29">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row>
    <row r="112" spans="1:29">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row>
    <row r="113" spans="1:29">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row>
    <row r="114" spans="1:29">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row>
    <row r="115" spans="1:29">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row>
    <row r="116" spans="1:29">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row>
    <row r="117" spans="1:29">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row>
    <row r="118" spans="1:29">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row>
    <row r="119" spans="1:29">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row>
    <row r="120" spans="1:29">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row>
    <row r="121" spans="1:29">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row>
    <row r="122" spans="1:29">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row>
    <row r="123" spans="1:29">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row>
    <row r="124" spans="1:29">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row>
    <row r="125" spans="1:29">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row>
    <row r="126" spans="1:29">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row>
    <row r="127" spans="1:29">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row>
    <row r="128" spans="1:29">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row>
    <row r="129" spans="1:29">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row>
    <row r="130" spans="1:29">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row>
    <row r="131" spans="1:29">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row>
    <row r="132" spans="1:29">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row>
    <row r="133" spans="1:29">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row>
    <row r="134" spans="1:29">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row>
    <row r="135" spans="1:29">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row>
    <row r="136" spans="1:29">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row>
    <row r="137" spans="1:29">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row>
    <row r="138" spans="1:29">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row>
    <row r="139" spans="1:29">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row>
    <row r="140" spans="1:29">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row>
    <row r="141" spans="1:29">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row>
    <row r="142" spans="1:29">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row>
    <row r="143" spans="1:29">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row>
    <row r="144" spans="1:29">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row>
    <row r="145" spans="1:29">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row>
    <row r="146" spans="1:29">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row>
    <row r="147" spans="1:29">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row>
    <row r="148" spans="1:29">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row>
    <row r="149" spans="1:29">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row>
    <row r="150" spans="1:29">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row>
    <row r="151" spans="1:29">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row>
    <row r="152" spans="1:29">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row>
    <row r="153" spans="1:29">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row>
    <row r="154" spans="1:29">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row>
    <row r="155" spans="1:29">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row>
    <row r="156" spans="1:29">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row>
    <row r="157" spans="1:29">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row>
    <row r="158" spans="1:29">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row>
    <row r="159" spans="1:29">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row>
    <row r="160" spans="1:29">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row>
    <row r="161" spans="1:29">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row>
    <row r="162" spans="1:29">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row>
    <row r="163" spans="1:29">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row>
    <row r="164" spans="1:29">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row>
    <row r="165" spans="1:29">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row>
    <row r="166" spans="1:29">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row>
    <row r="167" spans="1:29">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row>
    <row r="168" spans="1:29">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row>
    <row r="169" spans="1:29">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row>
  </sheetData>
  <customSheetViews>
    <customSheetView guid="{5826E3E6-173D-429F-ABE1-D868EE9E034B}" fitToPage="1" topLeftCell="K31">
      <selection activeCell="R22" sqref="R22"/>
      <pageMargins left="0" right="0" top="0" bottom="0" header="0" footer="0"/>
      <pageSetup scale="74" orientation="landscape" horizontalDpi="0" verticalDpi="0" r:id="rId1"/>
    </customSheetView>
  </customSheetViews>
  <mergeCells count="3">
    <mergeCell ref="I1:K1"/>
    <mergeCell ref="F1:G1"/>
    <mergeCell ref="A1:D1"/>
  </mergeCells>
  <pageMargins left="0.70866141732283472" right="0.70866141732283472" top="0.74803149606299213" bottom="0.74803149606299213" header="0.31496062992125984" footer="0.31496062992125984"/>
  <pageSetup scale="51" orientation="landscape" horizontalDpi="0" verticalDpi="0" r:id="rId2"/>
  <headerFooter>
    <oddHeader>&amp;L&amp;8&amp;D&amp;C&amp;8DRAFT&amp;R&amp;8&amp;A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249977111117893"/>
    <pageSetUpPr fitToPage="1"/>
  </sheetPr>
  <dimension ref="A1:AL128"/>
  <sheetViews>
    <sheetView workbookViewId="0">
      <selection sqref="A1:D1"/>
    </sheetView>
  </sheetViews>
  <sheetFormatPr defaultRowHeight="12.75"/>
  <cols>
    <col min="1" max="1" width="3.28515625" style="265" customWidth="1"/>
    <col min="2" max="2" width="23.85546875" customWidth="1"/>
    <col min="3" max="3" width="13.28515625" style="776" customWidth="1"/>
    <col min="4" max="4" width="4.5703125" customWidth="1"/>
    <col min="5" max="5" width="6.28515625" style="174" customWidth="1"/>
    <col min="6" max="6" width="9.5703125" style="174" customWidth="1"/>
    <col min="7" max="12" width="9.5703125" customWidth="1"/>
    <col min="13" max="13" width="9.5703125" style="592" customWidth="1"/>
    <col min="14" max="25" width="9.5703125" customWidth="1"/>
  </cols>
  <sheetData>
    <row r="1" spans="1:38" s="592" customFormat="1" ht="20.65" customHeight="1" thickBot="1">
      <c r="A1" s="1486" t="s">
        <v>0</v>
      </c>
      <c r="B1" s="1487"/>
      <c r="C1" s="1487"/>
      <c r="D1" s="1487"/>
      <c r="E1" s="1044" t="e">
        <f>'1_Contents'!#REF!</f>
        <v>#REF!</v>
      </c>
      <c r="F1" s="1476" t="e">
        <f>'1_Contents'!#REF!</f>
        <v>#REF!</v>
      </c>
      <c r="G1" s="1476"/>
      <c r="H1" s="1477">
        <f ca="1">NOW()</f>
        <v>44487.543585879626</v>
      </c>
      <c r="I1" s="1477"/>
      <c r="J1" s="1477"/>
      <c r="K1" s="1047"/>
      <c r="L1" s="1047"/>
      <c r="M1" s="1048"/>
      <c r="N1" s="968"/>
      <c r="O1" s="968"/>
      <c r="P1" s="967"/>
      <c r="Q1" s="967"/>
      <c r="R1" s="967"/>
      <c r="S1" s="967"/>
      <c r="T1" s="967"/>
      <c r="U1" s="967"/>
      <c r="V1" s="967"/>
      <c r="W1" s="967"/>
      <c r="X1" s="967"/>
      <c r="Y1" s="968"/>
      <c r="Z1" s="968"/>
      <c r="AA1" s="968" t="e">
        <f>'1_Contents'!#REF!</f>
        <v>#REF!</v>
      </c>
      <c r="AB1" s="967"/>
      <c r="AC1" s="776"/>
      <c r="AD1" s="776"/>
      <c r="AE1" s="776"/>
      <c r="AF1" s="776"/>
      <c r="AG1" s="776"/>
      <c r="AH1" s="776"/>
      <c r="AI1" s="776"/>
      <c r="AJ1" s="776"/>
      <c r="AK1" s="776"/>
      <c r="AL1" s="776"/>
    </row>
    <row r="2" spans="1:38" s="592" customFormat="1" ht="15.75" customHeight="1">
      <c r="A2" s="1105" t="s">
        <v>168</v>
      </c>
      <c r="B2" s="321"/>
      <c r="C2" s="636"/>
      <c r="D2" s="636"/>
      <c r="E2" s="801"/>
      <c r="F2" s="69">
        <v>0</v>
      </c>
      <c r="G2" s="69">
        <f>F2+1</f>
        <v>1</v>
      </c>
      <c r="H2" s="69">
        <f t="shared" ref="H2:W3" si="0">G2+1</f>
        <v>2</v>
      </c>
      <c r="I2" s="69">
        <f t="shared" si="0"/>
        <v>3</v>
      </c>
      <c r="J2" s="69">
        <f t="shared" si="0"/>
        <v>4</v>
      </c>
      <c r="K2" s="69">
        <f t="shared" si="0"/>
        <v>5</v>
      </c>
      <c r="L2" s="69">
        <f t="shared" si="0"/>
        <v>6</v>
      </c>
      <c r="M2" s="69">
        <f t="shared" si="0"/>
        <v>7</v>
      </c>
      <c r="N2" s="69">
        <f t="shared" si="0"/>
        <v>8</v>
      </c>
      <c r="O2" s="69">
        <f t="shared" si="0"/>
        <v>9</v>
      </c>
      <c r="P2" s="69">
        <f t="shared" si="0"/>
        <v>10</v>
      </c>
      <c r="Q2" s="69">
        <f t="shared" si="0"/>
        <v>11</v>
      </c>
      <c r="R2" s="69">
        <f t="shared" si="0"/>
        <v>12</v>
      </c>
      <c r="S2" s="69">
        <f t="shared" si="0"/>
        <v>13</v>
      </c>
      <c r="T2" s="69">
        <f t="shared" si="0"/>
        <v>14</v>
      </c>
      <c r="U2" s="69">
        <f t="shared" si="0"/>
        <v>15</v>
      </c>
      <c r="V2" s="69">
        <f t="shared" si="0"/>
        <v>16</v>
      </c>
      <c r="W2" s="69">
        <f t="shared" si="0"/>
        <v>17</v>
      </c>
      <c r="X2" s="69">
        <f t="shared" ref="X2:AA3" si="1">W2+1</f>
        <v>18</v>
      </c>
      <c r="Y2" s="69">
        <f t="shared" si="1"/>
        <v>19</v>
      </c>
      <c r="Z2" s="69">
        <f t="shared" si="1"/>
        <v>20</v>
      </c>
      <c r="AA2" s="69">
        <f t="shared" si="1"/>
        <v>21</v>
      </c>
      <c r="AB2" s="776"/>
      <c r="AC2" s="776"/>
      <c r="AD2" s="776"/>
      <c r="AE2" s="776"/>
      <c r="AF2" s="776"/>
      <c r="AG2" s="776"/>
      <c r="AH2" s="776"/>
      <c r="AI2" s="776"/>
      <c r="AJ2" s="776"/>
      <c r="AK2" s="776"/>
      <c r="AL2" s="776"/>
    </row>
    <row r="3" spans="1:38" s="592" customFormat="1">
      <c r="A3" s="52"/>
      <c r="B3" s="52"/>
      <c r="C3" s="52"/>
      <c r="D3" s="52"/>
      <c r="E3" s="1266" t="s">
        <v>3</v>
      </c>
      <c r="F3" s="953">
        <v>1999</v>
      </c>
      <c r="G3" s="953">
        <f t="shared" ref="G3:M3" si="2">F3+1</f>
        <v>2000</v>
      </c>
      <c r="H3" s="953">
        <f t="shared" si="2"/>
        <v>2001</v>
      </c>
      <c r="I3" s="953">
        <f t="shared" si="2"/>
        <v>2002</v>
      </c>
      <c r="J3" s="953">
        <f t="shared" si="2"/>
        <v>2003</v>
      </c>
      <c r="K3" s="953">
        <f t="shared" si="2"/>
        <v>2004</v>
      </c>
      <c r="L3" s="953">
        <f t="shared" si="2"/>
        <v>2005</v>
      </c>
      <c r="M3" s="953">
        <f t="shared" si="2"/>
        <v>2006</v>
      </c>
      <c r="N3" s="953">
        <v>2007</v>
      </c>
      <c r="O3" s="953">
        <f>N3+1</f>
        <v>2008</v>
      </c>
      <c r="P3" s="953">
        <f t="shared" si="0"/>
        <v>2009</v>
      </c>
      <c r="Q3" s="953">
        <f t="shared" si="0"/>
        <v>2010</v>
      </c>
      <c r="R3" s="953">
        <f t="shared" si="0"/>
        <v>2011</v>
      </c>
      <c r="S3" s="953">
        <f t="shared" si="0"/>
        <v>2012</v>
      </c>
      <c r="T3" s="953">
        <f t="shared" si="0"/>
        <v>2013</v>
      </c>
      <c r="U3" s="953">
        <f t="shared" si="0"/>
        <v>2014</v>
      </c>
      <c r="V3" s="953">
        <f t="shared" si="0"/>
        <v>2015</v>
      </c>
      <c r="W3" s="953">
        <f t="shared" si="0"/>
        <v>2016</v>
      </c>
      <c r="X3" s="953">
        <f t="shared" si="1"/>
        <v>2017</v>
      </c>
      <c r="Y3" s="953">
        <f t="shared" si="1"/>
        <v>2018</v>
      </c>
      <c r="Z3" s="953">
        <f t="shared" si="1"/>
        <v>2019</v>
      </c>
      <c r="AA3" s="953">
        <f t="shared" si="1"/>
        <v>2020</v>
      </c>
      <c r="AB3" s="776"/>
      <c r="AC3" s="776"/>
      <c r="AD3" s="776"/>
      <c r="AE3" s="776"/>
      <c r="AF3" s="776"/>
      <c r="AG3" s="776"/>
      <c r="AH3" s="776"/>
      <c r="AI3" s="776"/>
      <c r="AJ3" s="776"/>
      <c r="AK3" s="776"/>
      <c r="AL3" s="776"/>
    </row>
    <row r="4" spans="1:38" ht="12.75" customHeight="1">
      <c r="A4" s="73"/>
      <c r="B4" s="1106" t="s">
        <v>806</v>
      </c>
      <c r="C4" s="1106"/>
      <c r="D4" s="649"/>
      <c r="E4" s="649" t="s">
        <v>807</v>
      </c>
      <c r="F4" s="932"/>
      <c r="G4" s="932">
        <v>11974</v>
      </c>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69"/>
      <c r="AI4" s="69"/>
      <c r="AJ4" s="69"/>
      <c r="AK4" s="69"/>
      <c r="AL4" s="52"/>
    </row>
    <row r="5" spans="1:38" ht="12.75" customHeight="1">
      <c r="A5" s="73"/>
      <c r="B5" s="1106" t="s">
        <v>808</v>
      </c>
      <c r="C5" s="1106"/>
      <c r="D5" s="73"/>
      <c r="E5" s="73"/>
      <c r="F5" s="52"/>
      <c r="G5" s="346">
        <v>0.9</v>
      </c>
      <c r="H5" s="52"/>
      <c r="I5" s="52"/>
      <c r="J5" s="52"/>
      <c r="K5" s="52"/>
      <c r="L5" s="52"/>
      <c r="M5" s="52"/>
      <c r="N5" s="52"/>
      <c r="O5" s="52"/>
      <c r="P5" s="52"/>
      <c r="Q5" s="52"/>
      <c r="R5" s="52"/>
      <c r="S5" s="52"/>
      <c r="T5" s="52"/>
      <c r="U5" s="52"/>
      <c r="V5" s="52"/>
      <c r="W5" s="52"/>
      <c r="X5" s="52"/>
      <c r="Y5" s="52"/>
      <c r="Z5" s="52"/>
      <c r="AA5" s="52"/>
      <c r="AB5" s="1489"/>
      <c r="AC5" s="1489"/>
      <c r="AD5" s="1489"/>
      <c r="AE5" s="1489"/>
      <c r="AF5" s="69"/>
      <c r="AG5" s="69"/>
      <c r="AH5" s="69"/>
      <c r="AI5" s="69"/>
      <c r="AJ5" s="69"/>
      <c r="AK5" s="69"/>
      <c r="AL5" s="52"/>
    </row>
    <row r="6" spans="1:38" s="592" customFormat="1" ht="12.75" customHeight="1">
      <c r="A6" s="73"/>
      <c r="B6" s="1106" t="s">
        <v>809</v>
      </c>
      <c r="C6" s="1106"/>
      <c r="D6" s="73"/>
      <c r="E6" s="73"/>
      <c r="F6" s="73"/>
      <c r="G6" s="1033">
        <v>0.34100000000000003</v>
      </c>
      <c r="H6" s="73"/>
      <c r="I6" s="73"/>
      <c r="J6" s="73"/>
      <c r="K6" s="73"/>
      <c r="L6" s="73"/>
      <c r="M6" s="73"/>
      <c r="N6" s="173"/>
      <c r="O6" s="173"/>
      <c r="P6" s="173"/>
      <c r="Q6" s="173"/>
      <c r="R6" s="173"/>
      <c r="S6" s="173"/>
      <c r="T6" s="173"/>
      <c r="U6" s="1107"/>
      <c r="V6" s="73"/>
      <c r="W6" s="1108"/>
      <c r="X6" s="1108"/>
      <c r="Y6" s="1108"/>
      <c r="Z6" s="1108"/>
      <c r="AA6" s="1108"/>
      <c r="AB6" s="1108"/>
      <c r="AC6" s="1108"/>
      <c r="AD6" s="1108"/>
      <c r="AE6" s="1108"/>
      <c r="AF6" s="69"/>
      <c r="AG6" s="69"/>
      <c r="AH6" s="69"/>
      <c r="AI6" s="69"/>
      <c r="AJ6" s="69"/>
      <c r="AK6" s="69"/>
      <c r="AL6" s="52"/>
    </row>
    <row r="7" spans="1:38" s="592" customFormat="1" ht="12.75" customHeight="1">
      <c r="A7" s="73"/>
      <c r="B7" s="1106" t="s">
        <v>810</v>
      </c>
      <c r="C7" s="1106"/>
      <c r="D7" s="73"/>
      <c r="E7" s="649" t="s">
        <v>811</v>
      </c>
      <c r="F7" s="73"/>
      <c r="G7" s="1109">
        <v>29</v>
      </c>
      <c r="H7" s="73"/>
      <c r="I7" s="73"/>
      <c r="J7" s="73"/>
      <c r="K7" s="73"/>
      <c r="L7" s="73"/>
      <c r="M7" s="73"/>
      <c r="N7" s="173"/>
      <c r="O7" s="173"/>
      <c r="P7" s="173"/>
      <c r="Q7" s="173"/>
      <c r="R7" s="173"/>
      <c r="S7" s="173"/>
      <c r="T7" s="173"/>
      <c r="U7" s="1107"/>
      <c r="V7" s="73"/>
      <c r="W7" s="1110"/>
      <c r="X7" s="1488"/>
      <c r="Y7" s="1488"/>
      <c r="Z7" s="1488"/>
      <c r="AA7" s="1488"/>
      <c r="AB7" s="1488"/>
      <c r="AC7" s="1488"/>
      <c r="AD7" s="1488"/>
      <c r="AE7" s="1488"/>
      <c r="AF7" s="69"/>
      <c r="AG7" s="69"/>
      <c r="AH7" s="69"/>
      <c r="AI7" s="69"/>
      <c r="AJ7" s="69"/>
      <c r="AK7" s="69"/>
      <c r="AL7" s="52"/>
    </row>
    <row r="8" spans="1:38" ht="12.75" customHeight="1">
      <c r="A8" s="73"/>
      <c r="B8" s="1106" t="s">
        <v>812</v>
      </c>
      <c r="C8" s="1106"/>
      <c r="D8" s="73"/>
      <c r="E8" s="73"/>
      <c r="F8" s="73"/>
      <c r="G8" s="649" t="s">
        <v>813</v>
      </c>
      <c r="H8" s="73"/>
      <c r="I8" s="73"/>
      <c r="J8" s="73"/>
      <c r="K8" s="73"/>
      <c r="L8" s="73"/>
      <c r="M8" s="73"/>
      <c r="N8" s="173"/>
      <c r="O8" s="173"/>
      <c r="P8" s="173"/>
      <c r="Q8" s="173"/>
      <c r="R8" s="173"/>
      <c r="S8" s="173"/>
      <c r="T8" s="173"/>
      <c r="U8" s="173"/>
      <c r="V8" s="73"/>
      <c r="W8" s="1111"/>
      <c r="X8" s="1491"/>
      <c r="Y8" s="1491"/>
      <c r="Z8" s="1491"/>
      <c r="AA8" s="1491"/>
      <c r="AB8" s="1491"/>
      <c r="AC8" s="1491"/>
      <c r="AD8" s="1491"/>
      <c r="AE8" s="1491"/>
      <c r="AF8" s="69"/>
      <c r="AG8" s="69"/>
      <c r="AH8" s="69"/>
      <c r="AI8" s="69"/>
      <c r="AJ8" s="69"/>
      <c r="AK8" s="69"/>
      <c r="AL8" s="52"/>
    </row>
    <row r="9" spans="1:38" ht="12.75" customHeight="1">
      <c r="A9" s="73"/>
      <c r="B9" s="1106"/>
      <c r="C9" s="1106"/>
      <c r="D9" s="73"/>
      <c r="E9" s="73"/>
      <c r="F9" s="73"/>
      <c r="G9" s="73"/>
      <c r="H9" s="73"/>
      <c r="I9" s="73"/>
      <c r="J9" s="73"/>
      <c r="K9" s="73"/>
      <c r="L9" s="73"/>
      <c r="M9" s="73"/>
      <c r="N9" s="173"/>
      <c r="O9" s="173"/>
      <c r="P9" s="173"/>
      <c r="Q9" s="173"/>
      <c r="R9" s="173"/>
      <c r="S9" s="173"/>
      <c r="T9" s="173"/>
      <c r="U9" s="173"/>
      <c r="V9" s="73"/>
      <c r="W9" s="1111"/>
      <c r="X9" s="1490"/>
      <c r="Y9" s="1490"/>
      <c r="Z9" s="1490"/>
      <c r="AA9" s="1490"/>
      <c r="AB9" s="1490"/>
      <c r="AC9" s="1490"/>
      <c r="AD9" s="1489"/>
      <c r="AE9" s="1489"/>
      <c r="AF9" s="69"/>
      <c r="AG9" s="69"/>
      <c r="AH9" s="69"/>
      <c r="AI9" s="69"/>
      <c r="AJ9" s="69"/>
      <c r="AK9" s="69"/>
      <c r="AL9" s="52"/>
    </row>
    <row r="10" spans="1:38" s="58" customFormat="1" ht="12.75" customHeight="1">
      <c r="A10" s="73"/>
      <c r="B10" s="1106"/>
      <c r="C10" s="1106"/>
      <c r="D10" s="73"/>
      <c r="E10" s="73"/>
      <c r="F10" s="73"/>
      <c r="G10" s="73"/>
      <c r="H10" s="73"/>
      <c r="I10" s="73"/>
      <c r="J10" s="73"/>
      <c r="K10" s="73"/>
      <c r="L10" s="73"/>
      <c r="M10" s="73"/>
      <c r="N10" s="173"/>
      <c r="O10" s="173"/>
      <c r="P10" s="173"/>
      <c r="Q10" s="173"/>
      <c r="R10" s="173"/>
      <c r="S10" s="173"/>
      <c r="T10" s="173"/>
      <c r="U10" s="173"/>
      <c r="V10" s="73"/>
      <c r="W10" s="1112"/>
      <c r="X10" s="1490"/>
      <c r="Y10" s="1490"/>
      <c r="Z10" s="1489"/>
      <c r="AA10" s="1489"/>
      <c r="AB10" s="1489"/>
      <c r="AC10" s="1489"/>
      <c r="AD10" s="1489"/>
      <c r="AE10" s="1489"/>
      <c r="AF10" s="69"/>
      <c r="AG10" s="69"/>
      <c r="AH10" s="69"/>
      <c r="AI10" s="69"/>
      <c r="AJ10" s="69"/>
      <c r="AK10" s="69"/>
      <c r="AL10" s="52"/>
    </row>
    <row r="11" spans="1:38" ht="12.75" customHeight="1">
      <c r="A11" s="73"/>
      <c r="B11" s="1106"/>
      <c r="C11" s="1106"/>
      <c r="D11" s="649"/>
      <c r="E11" s="73"/>
      <c r="F11" s="73"/>
      <c r="G11" s="73"/>
      <c r="H11" s="73"/>
      <c r="I11" s="73"/>
      <c r="J11" s="73"/>
      <c r="K11" s="73"/>
      <c r="L11" s="73"/>
      <c r="M11" s="73"/>
      <c r="N11" s="73"/>
      <c r="O11" s="73"/>
      <c r="P11" s="73"/>
      <c r="Q11" s="73"/>
      <c r="R11" s="173"/>
      <c r="S11" s="173"/>
      <c r="T11" s="173"/>
      <c r="U11" s="173"/>
      <c r="V11" s="73"/>
      <c r="W11" s="1112"/>
      <c r="X11" s="1490"/>
      <c r="Y11" s="1490"/>
      <c r="Z11" s="1489"/>
      <c r="AA11" s="1489"/>
      <c r="AB11" s="1489"/>
      <c r="AC11" s="1489"/>
      <c r="AD11" s="1489"/>
      <c r="AE11" s="1489"/>
      <c r="AF11" s="69"/>
      <c r="AG11" s="69"/>
      <c r="AH11" s="69"/>
      <c r="AI11" s="69"/>
      <c r="AJ11" s="69"/>
      <c r="AK11" s="69"/>
      <c r="AL11" s="52"/>
    </row>
    <row r="12" spans="1:38" s="592" customFormat="1" ht="12.75" customHeight="1">
      <c r="A12" s="73"/>
      <c r="B12" s="1106"/>
      <c r="C12" s="1106"/>
      <c r="D12" s="649"/>
      <c r="E12" s="73"/>
      <c r="F12" s="73"/>
      <c r="G12" s="73"/>
      <c r="H12" s="73"/>
      <c r="I12" s="73"/>
      <c r="J12" s="73"/>
      <c r="K12" s="73"/>
      <c r="L12" s="73"/>
      <c r="M12" s="73"/>
      <c r="N12" s="73"/>
      <c r="O12" s="73"/>
      <c r="P12" s="73"/>
      <c r="Q12" s="73"/>
      <c r="R12" s="173"/>
      <c r="S12" s="173"/>
      <c r="T12" s="173"/>
      <c r="U12" s="173"/>
      <c r="V12" s="73"/>
      <c r="W12" s="1112"/>
      <c r="X12" s="1490"/>
      <c r="Y12" s="1490"/>
      <c r="Z12" s="1490"/>
      <c r="AA12" s="1490"/>
      <c r="AB12" s="1490"/>
      <c r="AC12" s="1490"/>
      <c r="AD12" s="1489"/>
      <c r="AE12" s="1489"/>
      <c r="AF12" s="69"/>
      <c r="AG12" s="69"/>
      <c r="AH12" s="69"/>
      <c r="AI12" s="69"/>
      <c r="AJ12" s="69"/>
      <c r="AK12" s="69"/>
      <c r="AL12" s="52"/>
    </row>
    <row r="13" spans="1:38" s="592" customFormat="1" ht="12.75" customHeight="1">
      <c r="A13" s="73"/>
      <c r="B13" s="1106"/>
      <c r="C13" s="1106"/>
      <c r="D13" s="649"/>
      <c r="E13" s="73"/>
      <c r="F13" s="73"/>
      <c r="G13" s="73"/>
      <c r="H13" s="73"/>
      <c r="I13" s="73"/>
      <c r="J13" s="73"/>
      <c r="K13" s="73"/>
      <c r="L13" s="73"/>
      <c r="M13" s="73"/>
      <c r="N13" s="73"/>
      <c r="O13" s="73"/>
      <c r="P13" s="73"/>
      <c r="Q13" s="73"/>
      <c r="R13" s="173"/>
      <c r="S13" s="173"/>
      <c r="T13" s="173"/>
      <c r="U13" s="173"/>
      <c r="V13" s="73"/>
      <c r="W13" s="1112"/>
      <c r="X13" s="1490"/>
      <c r="Y13" s="1490"/>
      <c r="Z13" s="1489"/>
      <c r="AA13" s="1489"/>
      <c r="AB13" s="1490"/>
      <c r="AC13" s="1490"/>
      <c r="AD13" s="1489"/>
      <c r="AE13" s="1489"/>
      <c r="AF13" s="69"/>
      <c r="AG13" s="69"/>
      <c r="AH13" s="69"/>
      <c r="AI13" s="69"/>
      <c r="AJ13" s="69"/>
      <c r="AK13" s="69"/>
      <c r="AL13" s="52"/>
    </row>
    <row r="14" spans="1:38" s="592" customFormat="1" ht="12.75" customHeight="1">
      <c r="A14" s="73"/>
      <c r="B14" s="1106"/>
      <c r="C14" s="1106"/>
      <c r="D14" s="649"/>
      <c r="E14" s="73"/>
      <c r="F14" s="73"/>
      <c r="G14" s="73"/>
      <c r="H14" s="73"/>
      <c r="I14" s="73"/>
      <c r="J14" s="73"/>
      <c r="K14" s="73"/>
      <c r="L14" s="73"/>
      <c r="M14" s="73"/>
      <c r="N14" s="73"/>
      <c r="O14" s="73"/>
      <c r="P14" s="73"/>
      <c r="Q14" s="73"/>
      <c r="R14" s="73"/>
      <c r="S14" s="173"/>
      <c r="T14" s="173"/>
      <c r="U14" s="173"/>
      <c r="V14" s="73"/>
      <c r="W14" s="1108"/>
      <c r="X14" s="1108"/>
      <c r="Y14" s="1108"/>
      <c r="Z14" s="1108"/>
      <c r="AA14" s="1108"/>
      <c r="AB14" s="1108"/>
      <c r="AC14" s="1108"/>
      <c r="AD14" s="1108"/>
      <c r="AE14" s="1108"/>
      <c r="AF14" s="69"/>
      <c r="AG14" s="69"/>
      <c r="AH14" s="69"/>
      <c r="AI14" s="69"/>
      <c r="AJ14" s="69"/>
      <c r="AK14" s="69"/>
      <c r="AL14" s="52"/>
    </row>
    <row r="15" spans="1:38" s="592" customFormat="1" ht="12.75" customHeight="1">
      <c r="A15" s="73"/>
      <c r="B15" s="1106"/>
      <c r="C15" s="1106"/>
      <c r="D15" s="649"/>
      <c r="E15" s="73"/>
      <c r="F15" s="73"/>
      <c r="G15" s="73"/>
      <c r="H15" s="73"/>
      <c r="I15" s="73"/>
      <c r="J15" s="73"/>
      <c r="K15" s="73"/>
      <c r="L15" s="73"/>
      <c r="M15" s="73"/>
      <c r="N15" s="173"/>
      <c r="O15" s="173"/>
      <c r="P15" s="173"/>
      <c r="Q15" s="173"/>
      <c r="R15" s="173"/>
      <c r="S15" s="173"/>
      <c r="T15" s="173"/>
      <c r="U15" s="173"/>
      <c r="V15" s="173"/>
      <c r="W15" s="1112"/>
      <c r="X15" s="1489"/>
      <c r="Y15" s="1489"/>
      <c r="Z15" s="1489"/>
      <c r="AA15" s="1489"/>
      <c r="AB15" s="1489"/>
      <c r="AC15" s="1489"/>
      <c r="AD15" s="1489"/>
      <c r="AE15" s="1489"/>
      <c r="AF15" s="69"/>
      <c r="AG15" s="69"/>
      <c r="AH15" s="69"/>
      <c r="AI15" s="69"/>
      <c r="AJ15" s="69"/>
      <c r="AK15" s="69"/>
      <c r="AL15" s="52"/>
    </row>
    <row r="16" spans="1:38" s="592" customFormat="1" ht="12.75" customHeight="1">
      <c r="A16" s="73"/>
      <c r="B16" s="1106"/>
      <c r="C16" s="1106"/>
      <c r="D16" s="649"/>
      <c r="E16" s="73"/>
      <c r="F16" s="73"/>
      <c r="G16" s="73"/>
      <c r="H16" s="73"/>
      <c r="I16" s="73"/>
      <c r="J16" s="73"/>
      <c r="K16" s="73"/>
      <c r="L16" s="73"/>
      <c r="M16" s="73"/>
      <c r="N16" s="73"/>
      <c r="O16" s="73"/>
      <c r="P16" s="73"/>
      <c r="Q16" s="73"/>
      <c r="R16" s="173"/>
      <c r="S16" s="173"/>
      <c r="T16" s="173"/>
      <c r="U16" s="173"/>
      <c r="V16" s="73"/>
      <c r="W16" s="1112"/>
      <c r="X16" s="1489"/>
      <c r="Y16" s="1489"/>
      <c r="Z16" s="1489"/>
      <c r="AA16" s="1489"/>
      <c r="AB16" s="1489"/>
      <c r="AC16" s="1489"/>
      <c r="AD16" s="1489"/>
      <c r="AE16" s="1489"/>
      <c r="AF16" s="69"/>
      <c r="AG16" s="69"/>
      <c r="AH16" s="69"/>
      <c r="AI16" s="69"/>
      <c r="AJ16" s="69"/>
      <c r="AK16" s="69"/>
      <c r="AL16" s="52"/>
    </row>
    <row r="17" spans="1:38" s="592" customFormat="1" ht="12.75" customHeight="1">
      <c r="A17" s="73"/>
      <c r="B17" s="1106"/>
      <c r="C17" s="1106"/>
      <c r="D17" s="649"/>
      <c r="E17" s="73"/>
      <c r="F17" s="73"/>
      <c r="G17" s="73"/>
      <c r="H17" s="73"/>
      <c r="I17" s="73"/>
      <c r="J17" s="73"/>
      <c r="K17" s="73"/>
      <c r="L17" s="73"/>
      <c r="M17" s="73"/>
      <c r="N17" s="173"/>
      <c r="O17" s="173"/>
      <c r="P17" s="173"/>
      <c r="Q17" s="173"/>
      <c r="R17" s="173"/>
      <c r="S17" s="173"/>
      <c r="T17" s="173"/>
      <c r="U17" s="173"/>
      <c r="V17" s="73"/>
      <c r="W17" s="1112"/>
      <c r="X17" s="1489"/>
      <c r="Y17" s="1489"/>
      <c r="Z17" s="1489"/>
      <c r="AA17" s="1489"/>
      <c r="AB17" s="1489"/>
      <c r="AC17" s="1489"/>
      <c r="AD17" s="1489"/>
      <c r="AE17" s="1489"/>
      <c r="AF17" s="69"/>
      <c r="AG17" s="69"/>
      <c r="AH17" s="69"/>
      <c r="AI17" s="69"/>
      <c r="AJ17" s="69"/>
      <c r="AK17" s="69"/>
      <c r="AL17" s="52"/>
    </row>
    <row r="18" spans="1:38" ht="12.75" customHeight="1">
      <c r="A18" s="73"/>
      <c r="B18" s="1106"/>
      <c r="C18" s="1106"/>
      <c r="D18" s="73"/>
      <c r="E18" s="73"/>
      <c r="F18" s="73"/>
      <c r="G18" s="73"/>
      <c r="H18" s="73"/>
      <c r="I18" s="73"/>
      <c r="J18" s="73"/>
      <c r="K18" s="73"/>
      <c r="L18" s="73"/>
      <c r="M18" s="73"/>
      <c r="N18" s="173"/>
      <c r="O18" s="173"/>
      <c r="P18" s="173"/>
      <c r="Q18" s="173"/>
      <c r="R18" s="173"/>
      <c r="S18" s="173"/>
      <c r="T18" s="173"/>
      <c r="U18" s="1028"/>
      <c r="V18" s="73"/>
      <c r="W18" s="1112"/>
      <c r="X18" s="1489"/>
      <c r="Y18" s="1489"/>
      <c r="Z18" s="1489"/>
      <c r="AA18" s="1489"/>
      <c r="AB18" s="1489"/>
      <c r="AC18" s="1489"/>
      <c r="AD18" s="1489"/>
      <c r="AE18" s="1489"/>
      <c r="AF18" s="69"/>
      <c r="AG18" s="69"/>
      <c r="AH18" s="69"/>
      <c r="AI18" s="69"/>
      <c r="AJ18" s="69"/>
      <c r="AK18" s="69"/>
      <c r="AL18" s="52"/>
    </row>
    <row r="19" spans="1:38" ht="12.75" customHeight="1">
      <c r="A19" s="73"/>
      <c r="B19" s="1106"/>
      <c r="C19" s="1106"/>
      <c r="D19" s="73"/>
      <c r="E19" s="73"/>
      <c r="F19" s="73"/>
      <c r="G19" s="73"/>
      <c r="H19" s="73"/>
      <c r="I19" s="73"/>
      <c r="J19" s="73"/>
      <c r="K19" s="73"/>
      <c r="L19" s="73"/>
      <c r="M19" s="73"/>
      <c r="N19" s="173"/>
      <c r="O19" s="173"/>
      <c r="P19" s="173"/>
      <c r="Q19" s="173"/>
      <c r="R19" s="173"/>
      <c r="S19" s="173"/>
      <c r="T19" s="173"/>
      <c r="U19" s="1028"/>
      <c r="V19" s="73"/>
      <c r="W19" s="1108"/>
      <c r="X19" s="1108"/>
      <c r="Y19" s="1108"/>
      <c r="Z19" s="1108"/>
      <c r="AA19" s="1108"/>
      <c r="AB19" s="1108"/>
      <c r="AC19" s="1108"/>
      <c r="AD19" s="1108"/>
      <c r="AE19" s="1108"/>
      <c r="AF19" s="69"/>
      <c r="AG19" s="69"/>
      <c r="AH19" s="69"/>
      <c r="AI19" s="69"/>
      <c r="AJ19" s="69"/>
      <c r="AK19" s="69"/>
      <c r="AL19" s="52"/>
    </row>
    <row r="20" spans="1:38" s="592" customFormat="1" ht="12.75" customHeight="1">
      <c r="A20" s="73"/>
      <c r="B20" s="1106"/>
      <c r="C20" s="1106"/>
      <c r="D20" s="73"/>
      <c r="E20" s="73"/>
      <c r="F20" s="73"/>
      <c r="G20" s="73"/>
      <c r="H20" s="73"/>
      <c r="I20" s="73"/>
      <c r="J20" s="73"/>
      <c r="K20" s="73"/>
      <c r="L20" s="73"/>
      <c r="M20" s="73"/>
      <c r="N20" s="173"/>
      <c r="O20" s="173"/>
      <c r="P20" s="173"/>
      <c r="Q20" s="173"/>
      <c r="R20" s="173"/>
      <c r="S20" s="173"/>
      <c r="T20" s="173"/>
      <c r="U20" s="1028"/>
      <c r="V20" s="73"/>
      <c r="W20" s="1110"/>
      <c r="X20" s="1488"/>
      <c r="Y20" s="1488"/>
      <c r="Z20" s="1488"/>
      <c r="AA20" s="1488"/>
      <c r="AB20" s="1488"/>
      <c r="AC20" s="1488"/>
      <c r="AD20" s="1488"/>
      <c r="AE20" s="1488"/>
      <c r="AF20" s="69"/>
      <c r="AG20" s="69"/>
      <c r="AH20" s="69"/>
      <c r="AI20" s="69"/>
      <c r="AJ20" s="69"/>
      <c r="AK20" s="69"/>
      <c r="AL20" s="52"/>
    </row>
    <row r="21" spans="1:38" ht="12.75" customHeight="1">
      <c r="A21" s="73"/>
      <c r="B21" s="1106"/>
      <c r="C21" s="1106"/>
      <c r="D21" s="173"/>
      <c r="E21" s="173"/>
      <c r="F21" s="173"/>
      <c r="G21" s="173"/>
      <c r="H21" s="173"/>
      <c r="I21" s="173"/>
      <c r="J21" s="73"/>
      <c r="K21" s="73"/>
      <c r="L21" s="73"/>
      <c r="M21" s="73"/>
      <c r="N21" s="173"/>
      <c r="O21" s="173"/>
      <c r="P21" s="173"/>
      <c r="Q21" s="173"/>
      <c r="R21" s="173"/>
      <c r="S21" s="173"/>
      <c r="T21" s="173"/>
      <c r="U21" s="173"/>
      <c r="V21" s="73"/>
      <c r="W21" s="69"/>
      <c r="X21" s="69"/>
      <c r="Y21" s="69"/>
      <c r="Z21" s="69"/>
      <c r="AA21" s="69"/>
      <c r="AB21" s="69"/>
      <c r="AC21" s="69"/>
      <c r="AD21" s="69"/>
      <c r="AE21" s="69"/>
      <c r="AF21" s="69"/>
      <c r="AG21" s="69"/>
      <c r="AH21" s="69"/>
      <c r="AI21" s="69"/>
      <c r="AJ21" s="69"/>
      <c r="AK21" s="69"/>
      <c r="AL21" s="52"/>
    </row>
    <row r="22" spans="1:38" ht="12.75" customHeight="1">
      <c r="A22" s="74"/>
      <c r="B22" s="1106"/>
      <c r="C22" s="1106"/>
      <c r="D22" s="745"/>
      <c r="E22" s="745"/>
      <c r="F22" s="745"/>
      <c r="G22" s="745"/>
      <c r="H22" s="745"/>
      <c r="I22" s="745"/>
      <c r="J22" s="74"/>
      <c r="K22" s="74"/>
      <c r="L22" s="74"/>
      <c r="M22" s="74"/>
      <c r="N22" s="745"/>
      <c r="O22" s="745"/>
      <c r="P22" s="745"/>
      <c r="Q22" s="745"/>
      <c r="R22" s="745"/>
      <c r="S22" s="745"/>
      <c r="T22" s="745"/>
      <c r="U22" s="745"/>
      <c r="V22" s="73"/>
      <c r="W22" s="69"/>
      <c r="X22" s="69"/>
      <c r="Y22" s="69"/>
      <c r="Z22" s="69"/>
      <c r="AA22" s="69"/>
      <c r="AB22" s="69"/>
      <c r="AC22" s="69"/>
      <c r="AD22" s="69"/>
      <c r="AE22" s="69"/>
      <c r="AF22" s="69"/>
      <c r="AG22" s="69"/>
      <c r="AH22" s="69"/>
      <c r="AI22" s="69"/>
      <c r="AJ22" s="69"/>
      <c r="AK22" s="69"/>
      <c r="AL22" s="52"/>
    </row>
    <row r="23" spans="1:38" ht="12.75" customHeight="1">
      <c r="A23" s="73"/>
      <c r="B23" s="1106"/>
      <c r="C23" s="1106"/>
      <c r="D23" s="173"/>
      <c r="E23" s="173"/>
      <c r="F23" s="173"/>
      <c r="G23" s="173"/>
      <c r="H23" s="173"/>
      <c r="I23" s="173"/>
      <c r="J23" s="73"/>
      <c r="K23" s="73"/>
      <c r="L23" s="73"/>
      <c r="M23" s="73"/>
      <c r="N23" s="173"/>
      <c r="O23" s="173"/>
      <c r="P23" s="173"/>
      <c r="Q23" s="173"/>
      <c r="R23" s="173"/>
      <c r="S23" s="173"/>
      <c r="T23" s="173"/>
      <c r="U23" s="173"/>
      <c r="V23" s="73"/>
      <c r="W23" s="69"/>
      <c r="X23" s="69"/>
      <c r="Y23" s="69"/>
      <c r="Z23" s="69"/>
      <c r="AA23" s="69"/>
      <c r="AB23" s="69"/>
      <c r="AC23" s="69"/>
      <c r="AD23" s="69"/>
      <c r="AE23" s="69"/>
      <c r="AF23" s="69"/>
      <c r="AG23" s="69"/>
      <c r="AH23" s="69"/>
      <c r="AI23" s="69"/>
      <c r="AJ23" s="69"/>
      <c r="AK23" s="69"/>
      <c r="AL23" s="52"/>
    </row>
    <row r="24" spans="1:38" ht="12.75" customHeight="1">
      <c r="A24" s="73"/>
      <c r="B24" s="1106"/>
      <c r="C24" s="1106"/>
      <c r="D24" s="173"/>
      <c r="E24" s="173"/>
      <c r="F24" s="173"/>
      <c r="G24" s="173"/>
      <c r="H24" s="173"/>
      <c r="I24" s="173"/>
      <c r="J24" s="73"/>
      <c r="K24" s="73"/>
      <c r="L24" s="73"/>
      <c r="M24" s="73"/>
      <c r="N24" s="173"/>
      <c r="O24" s="173"/>
      <c r="P24" s="173"/>
      <c r="Q24" s="173"/>
      <c r="R24" s="173"/>
      <c r="S24" s="173"/>
      <c r="T24" s="173"/>
      <c r="U24" s="173"/>
      <c r="V24" s="73"/>
      <c r="W24" s="69"/>
      <c r="X24" s="69"/>
      <c r="Y24" s="69"/>
      <c r="Z24" s="69"/>
      <c r="AA24" s="69"/>
      <c r="AB24" s="69"/>
      <c r="AC24" s="69"/>
      <c r="AD24" s="69"/>
      <c r="AE24" s="69"/>
      <c r="AF24" s="69"/>
      <c r="AG24" s="69"/>
      <c r="AH24" s="69"/>
      <c r="AI24" s="69"/>
      <c r="AJ24" s="69"/>
      <c r="AK24" s="69"/>
      <c r="AL24" s="52"/>
    </row>
    <row r="25" spans="1:38" ht="12.75" customHeight="1">
      <c r="A25" s="74"/>
      <c r="B25" s="1106"/>
      <c r="C25" s="1106"/>
      <c r="D25" s="745"/>
      <c r="E25" s="745"/>
      <c r="F25" s="745"/>
      <c r="G25" s="745"/>
      <c r="H25" s="745"/>
      <c r="I25" s="745"/>
      <c r="J25" s="74"/>
      <c r="K25" s="74"/>
      <c r="L25" s="74"/>
      <c r="M25" s="74"/>
      <c r="N25" s="745"/>
      <c r="O25" s="745"/>
      <c r="P25" s="745"/>
      <c r="Q25" s="745"/>
      <c r="R25" s="745"/>
      <c r="S25" s="745"/>
      <c r="T25" s="745"/>
      <c r="U25" s="745"/>
      <c r="V25" s="74"/>
      <c r="W25" s="69"/>
      <c r="X25" s="69"/>
      <c r="Y25" s="69"/>
      <c r="Z25" s="69"/>
      <c r="AA25" s="69"/>
      <c r="AB25" s="69"/>
      <c r="AC25" s="69"/>
      <c r="AD25" s="69"/>
      <c r="AE25" s="69"/>
      <c r="AF25" s="69"/>
      <c r="AG25" s="69"/>
      <c r="AH25" s="69"/>
      <c r="AI25" s="69"/>
      <c r="AJ25" s="69"/>
      <c r="AK25" s="69"/>
      <c r="AL25" s="52"/>
    </row>
    <row r="26" spans="1:38" ht="12.75" customHeight="1">
      <c r="A26" s="52"/>
      <c r="B26" s="1106"/>
      <c r="C26" s="1106"/>
      <c r="D26" s="70"/>
      <c r="E26" s="70"/>
      <c r="F26" s="70"/>
      <c r="G26" s="70"/>
      <c r="H26" s="70"/>
      <c r="I26" s="70"/>
      <c r="J26" s="52"/>
      <c r="K26" s="52"/>
      <c r="L26" s="52"/>
      <c r="M26" s="52"/>
      <c r="N26" s="70"/>
      <c r="O26" s="70"/>
      <c r="P26" s="70"/>
      <c r="Q26" s="70"/>
      <c r="R26" s="70"/>
      <c r="S26" s="70"/>
      <c r="T26" s="70"/>
      <c r="U26" s="70"/>
      <c r="V26" s="52"/>
      <c r="W26" s="69"/>
      <c r="X26" s="69"/>
      <c r="Y26" s="69"/>
      <c r="Z26" s="69"/>
      <c r="AA26" s="69"/>
      <c r="AB26" s="69"/>
      <c r="AC26" s="69"/>
      <c r="AD26" s="69"/>
      <c r="AE26" s="69"/>
      <c r="AF26" s="69"/>
      <c r="AG26" s="69"/>
      <c r="AH26" s="69"/>
      <c r="AI26" s="69"/>
      <c r="AJ26" s="69"/>
      <c r="AK26" s="69"/>
      <c r="AL26" s="52"/>
    </row>
    <row r="27" spans="1:38" ht="12.75" customHeight="1">
      <c r="A27" s="52"/>
      <c r="B27" s="1106"/>
      <c r="C27" s="1106"/>
      <c r="D27" s="70"/>
      <c r="E27" s="70"/>
      <c r="F27" s="70"/>
      <c r="G27" s="70"/>
      <c r="H27" s="70"/>
      <c r="I27" s="70"/>
      <c r="J27" s="52"/>
      <c r="K27" s="52"/>
      <c r="L27" s="52"/>
      <c r="M27" s="52"/>
      <c r="N27" s="70"/>
      <c r="O27" s="70"/>
      <c r="P27" s="70"/>
      <c r="Q27" s="70"/>
      <c r="R27" s="70"/>
      <c r="S27" s="70"/>
      <c r="T27" s="70"/>
      <c r="U27" s="70"/>
      <c r="V27" s="52"/>
      <c r="W27" s="69"/>
      <c r="X27" s="69"/>
      <c r="Y27" s="69"/>
      <c r="Z27" s="69"/>
      <c r="AA27" s="69"/>
      <c r="AB27" s="69"/>
      <c r="AC27" s="69"/>
      <c r="AD27" s="69"/>
      <c r="AE27" s="69"/>
      <c r="AF27" s="69"/>
      <c r="AG27" s="69"/>
      <c r="AH27" s="69"/>
      <c r="AI27" s="69"/>
      <c r="AJ27" s="69"/>
      <c r="AK27" s="69"/>
      <c r="AL27" s="52"/>
    </row>
    <row r="28" spans="1:38" ht="12.75" customHeight="1">
      <c r="A28" s="52"/>
      <c r="B28" s="1106"/>
      <c r="C28" s="1106"/>
      <c r="D28" s="70"/>
      <c r="E28" s="70"/>
      <c r="F28" s="70"/>
      <c r="G28" s="70"/>
      <c r="H28" s="70"/>
      <c r="I28" s="70"/>
      <c r="J28" s="52"/>
      <c r="K28" s="52"/>
      <c r="L28" s="52"/>
      <c r="M28" s="52"/>
      <c r="N28" s="70"/>
      <c r="O28" s="70"/>
      <c r="P28" s="70"/>
      <c r="Q28" s="70"/>
      <c r="R28" s="70"/>
      <c r="S28" s="70"/>
      <c r="T28" s="70"/>
      <c r="U28" s="70"/>
      <c r="V28" s="52"/>
      <c r="W28" s="69"/>
      <c r="X28" s="69"/>
      <c r="Y28" s="69"/>
      <c r="Z28" s="69"/>
      <c r="AA28" s="69"/>
      <c r="AB28" s="69"/>
      <c r="AC28" s="69"/>
      <c r="AD28" s="69"/>
      <c r="AE28" s="69"/>
      <c r="AF28" s="69"/>
      <c r="AG28" s="69"/>
      <c r="AH28" s="69"/>
      <c r="AI28" s="69"/>
      <c r="AJ28" s="69"/>
      <c r="AK28" s="69"/>
      <c r="AL28" s="52"/>
    </row>
    <row r="29" spans="1:38" ht="12.75" customHeight="1">
      <c r="A29" s="52"/>
      <c r="B29" s="1106"/>
      <c r="C29" s="1106"/>
      <c r="D29" s="70"/>
      <c r="E29" s="70"/>
      <c r="F29" s="70"/>
      <c r="G29" s="70"/>
      <c r="H29" s="70"/>
      <c r="I29" s="70"/>
      <c r="J29" s="52"/>
      <c r="K29" s="52"/>
      <c r="L29" s="52"/>
      <c r="M29" s="52"/>
      <c r="N29" s="70"/>
      <c r="O29" s="70"/>
      <c r="P29" s="70"/>
      <c r="Q29" s="70"/>
      <c r="R29" s="70"/>
      <c r="S29" s="70"/>
      <c r="T29" s="70"/>
      <c r="U29" s="70"/>
      <c r="V29" s="52"/>
      <c r="W29" s="69"/>
      <c r="X29" s="69"/>
      <c r="Y29" s="69"/>
      <c r="Z29" s="69"/>
      <c r="AA29" s="69"/>
      <c r="AB29" s="69"/>
      <c r="AC29" s="69"/>
      <c r="AD29" s="69"/>
      <c r="AE29" s="69"/>
      <c r="AF29" s="69"/>
      <c r="AG29" s="69"/>
      <c r="AH29" s="69"/>
      <c r="AI29" s="69"/>
      <c r="AJ29" s="69"/>
      <c r="AK29" s="69"/>
      <c r="AL29" s="52"/>
    </row>
    <row r="30" spans="1:38" ht="12.75" customHeight="1">
      <c r="A30" s="52"/>
      <c r="B30" s="1106"/>
      <c r="C30" s="1106"/>
      <c r="D30" s="70"/>
      <c r="E30" s="70"/>
      <c r="F30" s="70"/>
      <c r="G30" s="70"/>
      <c r="H30" s="70"/>
      <c r="I30" s="70"/>
      <c r="J30" s="52"/>
      <c r="K30" s="52"/>
      <c r="L30" s="52"/>
      <c r="M30" s="52"/>
      <c r="N30" s="70"/>
      <c r="O30" s="70"/>
      <c r="P30" s="70"/>
      <c r="Q30" s="70"/>
      <c r="R30" s="70"/>
      <c r="S30" s="70"/>
      <c r="T30" s="70"/>
      <c r="U30" s="70"/>
      <c r="V30" s="52"/>
      <c r="W30" s="69"/>
      <c r="X30" s="69"/>
      <c r="Y30" s="69"/>
      <c r="Z30" s="69"/>
      <c r="AA30" s="69"/>
      <c r="AB30" s="69"/>
      <c r="AC30" s="69"/>
      <c r="AD30" s="69"/>
      <c r="AE30" s="69"/>
      <c r="AF30" s="69"/>
      <c r="AG30" s="69"/>
      <c r="AH30" s="69"/>
      <c r="AI30" s="69"/>
      <c r="AJ30" s="69"/>
      <c r="AK30" s="69"/>
      <c r="AL30" s="52"/>
    </row>
    <row r="31" spans="1:38" ht="12.75" customHeight="1">
      <c r="A31" s="52"/>
      <c r="B31" s="1106"/>
      <c r="C31" s="1106"/>
      <c r="D31" s="70"/>
      <c r="E31" s="70"/>
      <c r="F31" s="70"/>
      <c r="G31" s="70"/>
      <c r="H31" s="70"/>
      <c r="I31" s="70"/>
      <c r="J31" s="52"/>
      <c r="K31" s="52"/>
      <c r="L31" s="52"/>
      <c r="M31" s="52"/>
      <c r="N31" s="70"/>
      <c r="O31" s="70"/>
      <c r="P31" s="70"/>
      <c r="Q31" s="70"/>
      <c r="R31" s="70"/>
      <c r="S31" s="70"/>
      <c r="T31" s="70"/>
      <c r="U31" s="70"/>
      <c r="V31" s="52"/>
      <c r="W31" s="69"/>
      <c r="X31" s="69"/>
      <c r="Y31" s="69"/>
      <c r="Z31" s="69"/>
      <c r="AA31" s="69"/>
      <c r="AB31" s="69"/>
      <c r="AC31" s="69"/>
      <c r="AD31" s="69"/>
      <c r="AE31" s="69"/>
      <c r="AF31" s="69"/>
      <c r="AG31" s="69"/>
      <c r="AH31" s="69"/>
      <c r="AI31" s="69"/>
      <c r="AJ31" s="69"/>
      <c r="AK31" s="69"/>
      <c r="AL31" s="52"/>
    </row>
    <row r="32" spans="1:38" ht="12.75" customHeight="1">
      <c r="A32" s="52"/>
      <c r="B32" s="1106"/>
      <c r="C32" s="1106"/>
      <c r="D32" s="70"/>
      <c r="E32" s="70"/>
      <c r="F32" s="70"/>
      <c r="G32" s="70"/>
      <c r="H32" s="70"/>
      <c r="I32" s="70"/>
      <c r="J32" s="52"/>
      <c r="K32" s="52"/>
      <c r="L32" s="52"/>
      <c r="M32" s="52"/>
      <c r="N32" s="70"/>
      <c r="O32" s="70"/>
      <c r="P32" s="70"/>
      <c r="Q32" s="70"/>
      <c r="R32" s="70"/>
      <c r="S32" s="70"/>
      <c r="T32" s="70"/>
      <c r="U32" s="70"/>
      <c r="V32" s="52"/>
      <c r="W32" s="69"/>
      <c r="X32" s="69"/>
      <c r="Y32" s="69"/>
      <c r="Z32" s="69"/>
      <c r="AA32" s="69"/>
      <c r="AB32" s="69"/>
      <c r="AC32" s="69"/>
      <c r="AD32" s="69"/>
      <c r="AE32" s="69"/>
      <c r="AF32" s="69"/>
      <c r="AG32" s="69"/>
      <c r="AH32" s="69"/>
      <c r="AI32" s="69"/>
      <c r="AJ32" s="69"/>
      <c r="AK32" s="69"/>
      <c r="AL32" s="52"/>
    </row>
    <row r="33" spans="1:38" ht="12.75" customHeight="1">
      <c r="A33" s="52"/>
      <c r="B33" s="1106"/>
      <c r="C33" s="1106"/>
      <c r="D33" s="70"/>
      <c r="E33" s="70"/>
      <c r="F33" s="70"/>
      <c r="G33" s="70"/>
      <c r="H33" s="70"/>
      <c r="I33" s="70"/>
      <c r="J33" s="52"/>
      <c r="K33" s="52"/>
      <c r="L33" s="52"/>
      <c r="M33" s="52"/>
      <c r="N33" s="70"/>
      <c r="O33" s="70"/>
      <c r="P33" s="70"/>
      <c r="Q33" s="70"/>
      <c r="R33" s="70"/>
      <c r="S33" s="70"/>
      <c r="T33" s="70"/>
      <c r="U33" s="70"/>
      <c r="V33" s="52"/>
      <c r="W33" s="69"/>
      <c r="X33" s="69"/>
      <c r="Y33" s="69"/>
      <c r="Z33" s="69"/>
      <c r="AA33" s="69"/>
      <c r="AB33" s="69"/>
      <c r="AC33" s="69"/>
      <c r="AD33" s="69"/>
      <c r="AE33" s="69"/>
      <c r="AF33" s="69"/>
      <c r="AG33" s="69"/>
      <c r="AH33" s="69"/>
      <c r="AI33" s="69"/>
      <c r="AJ33" s="69"/>
      <c r="AK33" s="69"/>
      <c r="AL33" s="52"/>
    </row>
    <row r="34" spans="1:38" ht="12.75" customHeight="1">
      <c r="A34" s="52"/>
      <c r="B34" s="1106"/>
      <c r="C34" s="1106"/>
      <c r="D34" s="70"/>
      <c r="E34" s="70"/>
      <c r="F34" s="70"/>
      <c r="G34" s="70"/>
      <c r="H34" s="70"/>
      <c r="I34" s="70"/>
      <c r="J34" s="52"/>
      <c r="K34" s="52"/>
      <c r="L34" s="52"/>
      <c r="M34" s="52"/>
      <c r="N34" s="70"/>
      <c r="O34" s="70"/>
      <c r="P34" s="70"/>
      <c r="Q34" s="70"/>
      <c r="R34" s="70"/>
      <c r="S34" s="70"/>
      <c r="T34" s="70"/>
      <c r="U34" s="70"/>
      <c r="V34" s="52"/>
      <c r="W34" s="69"/>
      <c r="X34" s="69"/>
      <c r="Y34" s="69"/>
      <c r="Z34" s="69"/>
      <c r="AA34" s="69"/>
      <c r="AB34" s="69"/>
      <c r="AC34" s="69"/>
      <c r="AD34" s="69"/>
      <c r="AE34" s="69"/>
      <c r="AF34" s="69"/>
      <c r="AG34" s="69"/>
      <c r="AH34" s="69"/>
      <c r="AI34" s="69"/>
      <c r="AJ34" s="69"/>
      <c r="AK34" s="69"/>
      <c r="AL34" s="52"/>
    </row>
    <row r="35" spans="1:38" ht="12.75" customHeight="1">
      <c r="A35" s="52"/>
      <c r="B35" s="1106"/>
      <c r="C35" s="1106"/>
      <c r="D35" s="70"/>
      <c r="E35" s="70"/>
      <c r="F35" s="70"/>
      <c r="G35" s="70"/>
      <c r="H35" s="70"/>
      <c r="I35" s="70"/>
      <c r="J35" s="52"/>
      <c r="K35" s="52"/>
      <c r="L35" s="52"/>
      <c r="M35" s="52"/>
      <c r="N35" s="70"/>
      <c r="O35" s="70"/>
      <c r="P35" s="70"/>
      <c r="Q35" s="70"/>
      <c r="R35" s="70"/>
      <c r="S35" s="70"/>
      <c r="T35" s="70"/>
      <c r="U35" s="70"/>
      <c r="V35" s="52"/>
      <c r="W35" s="69"/>
      <c r="X35" s="69"/>
      <c r="Y35" s="69"/>
      <c r="Z35" s="69"/>
      <c r="AA35" s="69"/>
      <c r="AB35" s="69"/>
      <c r="AC35" s="69"/>
      <c r="AD35" s="69"/>
      <c r="AE35" s="69"/>
      <c r="AF35" s="69"/>
      <c r="AG35" s="69"/>
      <c r="AH35" s="69"/>
      <c r="AI35" s="69"/>
      <c r="AJ35" s="69"/>
      <c r="AK35" s="69"/>
      <c r="AL35" s="52"/>
    </row>
    <row r="36" spans="1:38" ht="12.75" customHeight="1">
      <c r="A36" s="52"/>
      <c r="B36" s="1106"/>
      <c r="C36" s="1106"/>
      <c r="D36" s="70"/>
      <c r="E36" s="70"/>
      <c r="F36" s="70"/>
      <c r="G36" s="70"/>
      <c r="H36" s="70"/>
      <c r="I36" s="70"/>
      <c r="J36" s="52"/>
      <c r="K36" s="52"/>
      <c r="L36" s="52"/>
      <c r="M36" s="52"/>
      <c r="N36" s="70"/>
      <c r="O36" s="70"/>
      <c r="P36" s="70"/>
      <c r="Q36" s="70"/>
      <c r="R36" s="70"/>
      <c r="S36" s="70"/>
      <c r="T36" s="70"/>
      <c r="U36" s="70"/>
      <c r="V36" s="52"/>
      <c r="W36" s="69"/>
      <c r="X36" s="69"/>
      <c r="Y36" s="69"/>
      <c r="Z36" s="69"/>
      <c r="AA36" s="69"/>
      <c r="AB36" s="69"/>
      <c r="AC36" s="69"/>
      <c r="AD36" s="69"/>
      <c r="AE36" s="69"/>
      <c r="AF36" s="69"/>
      <c r="AG36" s="69"/>
      <c r="AH36" s="69"/>
      <c r="AI36" s="69"/>
      <c r="AJ36" s="69"/>
      <c r="AK36" s="69"/>
      <c r="AL36" s="52"/>
    </row>
    <row r="37" spans="1:38" ht="12.75" customHeight="1">
      <c r="A37" s="52"/>
      <c r="B37" s="1106"/>
      <c r="C37" s="1106"/>
      <c r="D37" s="70"/>
      <c r="E37" s="70"/>
      <c r="F37" s="70"/>
      <c r="G37" s="70"/>
      <c r="H37" s="70"/>
      <c r="I37" s="70"/>
      <c r="J37" s="52"/>
      <c r="K37" s="52"/>
      <c r="L37" s="52"/>
      <c r="M37" s="52"/>
      <c r="N37" s="70"/>
      <c r="O37" s="70"/>
      <c r="P37" s="70"/>
      <c r="Q37" s="70"/>
      <c r="R37" s="70"/>
      <c r="S37" s="70"/>
      <c r="T37" s="70"/>
      <c r="U37" s="70"/>
      <c r="V37" s="52"/>
      <c r="W37" s="69"/>
      <c r="X37" s="69"/>
      <c r="Y37" s="69"/>
      <c r="Z37" s="69"/>
      <c r="AA37" s="69"/>
      <c r="AB37" s="69"/>
      <c r="AC37" s="69"/>
      <c r="AD37" s="69"/>
      <c r="AE37" s="69"/>
      <c r="AF37" s="69"/>
      <c r="AG37" s="69"/>
      <c r="AH37" s="69"/>
      <c r="AI37" s="69"/>
      <c r="AJ37" s="69"/>
      <c r="AK37" s="69"/>
      <c r="AL37" s="52"/>
    </row>
    <row r="38" spans="1:38" ht="12.75" customHeight="1">
      <c r="A38" s="52"/>
      <c r="B38" s="1106"/>
      <c r="C38" s="1106"/>
      <c r="D38" s="70"/>
      <c r="E38" s="70"/>
      <c r="F38" s="70"/>
      <c r="G38" s="70"/>
      <c r="H38" s="70"/>
      <c r="I38" s="70"/>
      <c r="J38" s="52"/>
      <c r="K38" s="52"/>
      <c r="L38" s="52"/>
      <c r="M38" s="52"/>
      <c r="N38" s="70"/>
      <c r="O38" s="70"/>
      <c r="P38" s="70"/>
      <c r="Q38" s="70"/>
      <c r="R38" s="70"/>
      <c r="S38" s="70"/>
      <c r="T38" s="70"/>
      <c r="U38" s="70"/>
      <c r="V38" s="52"/>
      <c r="W38" s="69"/>
      <c r="X38" s="69"/>
      <c r="Y38" s="69"/>
      <c r="Z38" s="69"/>
      <c r="AA38" s="69"/>
      <c r="AB38" s="69"/>
      <c r="AC38" s="69"/>
      <c r="AD38" s="69"/>
      <c r="AE38" s="69"/>
      <c r="AF38" s="69"/>
      <c r="AG38" s="69"/>
      <c r="AH38" s="69"/>
      <c r="AI38" s="69"/>
      <c r="AJ38" s="69"/>
      <c r="AK38" s="69"/>
      <c r="AL38" s="52"/>
    </row>
    <row r="39" spans="1:38" ht="12.75" customHeight="1">
      <c r="A39" s="52"/>
      <c r="B39" s="1106"/>
      <c r="C39" s="1106"/>
      <c r="D39" s="70"/>
      <c r="E39" s="70"/>
      <c r="F39" s="70"/>
      <c r="G39" s="70"/>
      <c r="H39" s="70"/>
      <c r="I39" s="70"/>
      <c r="J39" s="52"/>
      <c r="K39" s="52"/>
      <c r="L39" s="52"/>
      <c r="M39" s="52"/>
      <c r="N39" s="70"/>
      <c r="O39" s="70"/>
      <c r="P39" s="70"/>
      <c r="Q39" s="70"/>
      <c r="R39" s="70"/>
      <c r="S39" s="70"/>
      <c r="T39" s="70"/>
      <c r="U39" s="70"/>
      <c r="V39" s="52"/>
      <c r="W39" s="69"/>
      <c r="X39" s="69"/>
      <c r="Y39" s="69"/>
      <c r="Z39" s="69"/>
      <c r="AA39" s="69"/>
      <c r="AB39" s="69"/>
      <c r="AC39" s="69"/>
      <c r="AD39" s="69"/>
      <c r="AE39" s="69"/>
      <c r="AF39" s="69"/>
      <c r="AG39" s="69"/>
      <c r="AH39" s="69"/>
      <c r="AI39" s="69"/>
      <c r="AJ39" s="69"/>
      <c r="AK39" s="69"/>
      <c r="AL39" s="52"/>
    </row>
    <row r="40" spans="1:38" ht="12.75" customHeight="1">
      <c r="A40" s="52"/>
      <c r="B40" s="1106"/>
      <c r="C40" s="1106"/>
      <c r="D40" s="70"/>
      <c r="E40" s="70"/>
      <c r="F40" s="70"/>
      <c r="G40" s="70"/>
      <c r="H40" s="70"/>
      <c r="I40" s="70"/>
      <c r="J40" s="52"/>
      <c r="K40" s="52"/>
      <c r="L40" s="52"/>
      <c r="M40" s="52"/>
      <c r="N40" s="70"/>
      <c r="O40" s="70"/>
      <c r="P40" s="70"/>
      <c r="Q40" s="70"/>
      <c r="R40" s="70"/>
      <c r="S40" s="70"/>
      <c r="T40" s="70"/>
      <c r="U40" s="70"/>
      <c r="V40" s="52"/>
      <c r="W40" s="69"/>
      <c r="X40" s="69"/>
      <c r="Y40" s="69"/>
      <c r="Z40" s="69"/>
      <c r="AA40" s="69"/>
      <c r="AB40" s="69"/>
      <c r="AC40" s="69"/>
      <c r="AD40" s="69"/>
      <c r="AE40" s="69"/>
      <c r="AF40" s="69"/>
      <c r="AG40" s="69"/>
      <c r="AH40" s="69"/>
      <c r="AI40" s="69"/>
      <c r="AJ40" s="69"/>
      <c r="AK40" s="69"/>
      <c r="AL40" s="52"/>
    </row>
    <row r="41" spans="1:38" ht="12.75" customHeight="1">
      <c r="A41" s="52"/>
      <c r="B41" s="1106"/>
      <c r="C41" s="1106"/>
      <c r="D41" s="70"/>
      <c r="E41" s="70"/>
      <c r="F41" s="70"/>
      <c r="G41" s="70"/>
      <c r="H41" s="70"/>
      <c r="I41" s="70"/>
      <c r="J41" s="52"/>
      <c r="K41" s="52"/>
      <c r="L41" s="52"/>
      <c r="M41" s="52"/>
      <c r="N41" s="70"/>
      <c r="O41" s="70"/>
      <c r="P41" s="70"/>
      <c r="Q41" s="70"/>
      <c r="R41" s="70"/>
      <c r="S41" s="70"/>
      <c r="T41" s="70"/>
      <c r="U41" s="70"/>
      <c r="V41" s="52"/>
      <c r="W41" s="69"/>
      <c r="X41" s="69"/>
      <c r="Y41" s="69"/>
      <c r="Z41" s="69"/>
      <c r="AA41" s="69"/>
      <c r="AB41" s="69"/>
      <c r="AC41" s="69"/>
      <c r="AD41" s="69"/>
      <c r="AE41" s="69"/>
      <c r="AF41" s="69"/>
      <c r="AG41" s="69"/>
      <c r="AH41" s="69"/>
      <c r="AI41" s="69"/>
      <c r="AJ41" s="69"/>
      <c r="AK41" s="69"/>
      <c r="AL41" s="52"/>
    </row>
    <row r="42" spans="1:38" ht="12.75" customHeight="1">
      <c r="A42" s="52"/>
      <c r="B42" s="1106"/>
      <c r="C42" s="1106"/>
      <c r="D42" s="70"/>
      <c r="E42" s="70"/>
      <c r="F42" s="70"/>
      <c r="G42" s="70"/>
      <c r="H42" s="70"/>
      <c r="I42" s="70"/>
      <c r="J42" s="52"/>
      <c r="K42" s="52"/>
      <c r="L42" s="52"/>
      <c r="M42" s="52"/>
      <c r="N42" s="70"/>
      <c r="O42" s="70"/>
      <c r="P42" s="70"/>
      <c r="Q42" s="70"/>
      <c r="R42" s="70"/>
      <c r="S42" s="70"/>
      <c r="T42" s="70"/>
      <c r="U42" s="70"/>
      <c r="V42" s="52"/>
      <c r="W42" s="69"/>
      <c r="X42" s="69"/>
      <c r="Y42" s="69"/>
      <c r="Z42" s="69"/>
      <c r="AA42" s="69"/>
      <c r="AB42" s="69"/>
      <c r="AC42" s="69"/>
      <c r="AD42" s="69"/>
      <c r="AE42" s="69"/>
      <c r="AF42" s="69"/>
      <c r="AG42" s="69"/>
      <c r="AH42" s="69"/>
      <c r="AI42" s="69"/>
      <c r="AJ42" s="69"/>
      <c r="AK42" s="69"/>
      <c r="AL42" s="52"/>
    </row>
    <row r="43" spans="1:38" ht="12.75" customHeight="1">
      <c r="A43" s="52"/>
      <c r="B43" s="1106"/>
      <c r="C43" s="1106"/>
      <c r="D43" s="70"/>
      <c r="E43" s="70"/>
      <c r="F43" s="70"/>
      <c r="G43" s="70"/>
      <c r="H43" s="70"/>
      <c r="I43" s="70"/>
      <c r="J43" s="52"/>
      <c r="K43" s="52"/>
      <c r="L43" s="52"/>
      <c r="M43" s="52"/>
      <c r="N43" s="70"/>
      <c r="O43" s="70"/>
      <c r="P43" s="70"/>
      <c r="Q43" s="70"/>
      <c r="R43" s="70"/>
      <c r="S43" s="70"/>
      <c r="T43" s="70"/>
      <c r="U43" s="70"/>
      <c r="V43" s="52"/>
      <c r="W43" s="69"/>
      <c r="X43" s="69"/>
      <c r="Y43" s="69"/>
      <c r="Z43" s="69"/>
      <c r="AA43" s="69"/>
      <c r="AB43" s="69"/>
      <c r="AC43" s="69"/>
      <c r="AD43" s="69"/>
      <c r="AE43" s="69"/>
      <c r="AF43" s="69"/>
      <c r="AG43" s="69"/>
      <c r="AH43" s="69"/>
      <c r="AI43" s="69"/>
      <c r="AJ43" s="69"/>
      <c r="AK43" s="69"/>
      <c r="AL43" s="52"/>
    </row>
    <row r="44" spans="1:38" ht="12.75" customHeight="1">
      <c r="A44" s="52"/>
      <c r="B44" s="1106"/>
      <c r="C44" s="1106"/>
      <c r="D44" s="70"/>
      <c r="E44" s="70"/>
      <c r="F44" s="70"/>
      <c r="G44" s="70"/>
      <c r="H44" s="70"/>
      <c r="I44" s="70"/>
      <c r="J44" s="52"/>
      <c r="K44" s="52"/>
      <c r="L44" s="52"/>
      <c r="M44" s="52"/>
      <c r="N44" s="70"/>
      <c r="O44" s="70"/>
      <c r="P44" s="70"/>
      <c r="Q44" s="70"/>
      <c r="R44" s="70"/>
      <c r="S44" s="70"/>
      <c r="T44" s="70"/>
      <c r="U44" s="70"/>
      <c r="V44" s="52"/>
      <c r="W44" s="69"/>
      <c r="X44" s="69"/>
      <c r="Y44" s="69"/>
      <c r="Z44" s="69"/>
      <c r="AA44" s="69"/>
      <c r="AB44" s="69"/>
      <c r="AC44" s="69"/>
      <c r="AD44" s="69"/>
      <c r="AE44" s="69"/>
      <c r="AF44" s="69"/>
      <c r="AG44" s="69"/>
      <c r="AH44" s="69"/>
      <c r="AI44" s="69"/>
      <c r="AJ44" s="69"/>
      <c r="AK44" s="69"/>
      <c r="AL44" s="52"/>
    </row>
    <row r="45" spans="1:38" ht="12.75" customHeight="1">
      <c r="A45" s="52"/>
      <c r="B45" s="1106"/>
      <c r="C45" s="1106"/>
      <c r="D45" s="70"/>
      <c r="E45" s="70"/>
      <c r="F45" s="70"/>
      <c r="G45" s="70"/>
      <c r="H45" s="70"/>
      <c r="I45" s="70"/>
      <c r="J45" s="52"/>
      <c r="K45" s="52"/>
      <c r="L45" s="52"/>
      <c r="M45" s="52"/>
      <c r="N45" s="70"/>
      <c r="O45" s="70"/>
      <c r="P45" s="70"/>
      <c r="Q45" s="70"/>
      <c r="R45" s="70"/>
      <c r="S45" s="70"/>
      <c r="T45" s="70"/>
      <c r="U45" s="70"/>
      <c r="V45" s="52"/>
      <c r="W45" s="69"/>
      <c r="X45" s="69"/>
      <c r="Y45" s="69"/>
      <c r="Z45" s="69"/>
      <c r="AA45" s="69"/>
      <c r="AB45" s="69"/>
      <c r="AC45" s="69"/>
      <c r="AD45" s="69"/>
      <c r="AE45" s="69"/>
      <c r="AF45" s="69"/>
      <c r="AG45" s="69"/>
      <c r="AH45" s="69"/>
      <c r="AI45" s="69"/>
      <c r="AJ45" s="69"/>
      <c r="AK45" s="69"/>
      <c r="AL45" s="52"/>
    </row>
    <row r="46" spans="1:38" ht="12.75" customHeight="1">
      <c r="A46" s="52"/>
      <c r="B46" s="1106"/>
      <c r="C46" s="1106"/>
      <c r="D46" s="70"/>
      <c r="E46" s="70"/>
      <c r="F46" s="70"/>
      <c r="G46" s="70"/>
      <c r="H46" s="70"/>
      <c r="I46" s="70"/>
      <c r="J46" s="52"/>
      <c r="K46" s="52"/>
      <c r="L46" s="52"/>
      <c r="M46" s="52"/>
      <c r="N46" s="70"/>
      <c r="O46" s="70"/>
      <c r="P46" s="70"/>
      <c r="Q46" s="70"/>
      <c r="R46" s="70"/>
      <c r="S46" s="70"/>
      <c r="T46" s="70"/>
      <c r="U46" s="70"/>
      <c r="V46" s="52"/>
      <c r="W46" s="69"/>
      <c r="X46" s="69"/>
      <c r="Y46" s="69"/>
      <c r="Z46" s="69"/>
      <c r="AA46" s="69"/>
      <c r="AB46" s="69"/>
      <c r="AC46" s="69"/>
      <c r="AD46" s="69"/>
      <c r="AE46" s="69"/>
      <c r="AF46" s="69"/>
      <c r="AG46" s="69"/>
      <c r="AH46" s="69"/>
      <c r="AI46" s="69"/>
      <c r="AJ46" s="69"/>
      <c r="AK46" s="69"/>
      <c r="AL46" s="52"/>
    </row>
    <row r="47" spans="1:38" ht="12.75" customHeight="1">
      <c r="A47" s="52"/>
      <c r="B47" s="1106"/>
      <c r="C47" s="1106"/>
      <c r="D47" s="70"/>
      <c r="E47" s="70"/>
      <c r="F47" s="70"/>
      <c r="G47" s="70"/>
      <c r="H47" s="70"/>
      <c r="I47" s="70"/>
      <c r="J47" s="52"/>
      <c r="K47" s="52"/>
      <c r="L47" s="52"/>
      <c r="M47" s="52"/>
      <c r="N47" s="70"/>
      <c r="O47" s="70"/>
      <c r="P47" s="70"/>
      <c r="Q47" s="70"/>
      <c r="R47" s="70"/>
      <c r="S47" s="70"/>
      <c r="T47" s="70"/>
      <c r="U47" s="70"/>
      <c r="V47" s="52"/>
      <c r="W47" s="69"/>
      <c r="X47" s="69"/>
      <c r="Y47" s="69"/>
      <c r="Z47" s="69"/>
      <c r="AA47" s="69"/>
      <c r="AB47" s="69"/>
      <c r="AC47" s="69"/>
      <c r="AD47" s="69"/>
      <c r="AE47" s="69"/>
      <c r="AF47" s="69"/>
      <c r="AG47" s="69"/>
      <c r="AH47" s="69"/>
      <c r="AI47" s="69"/>
      <c r="AJ47" s="69"/>
      <c r="AK47" s="69"/>
      <c r="AL47" s="52"/>
    </row>
    <row r="48" spans="1:38" ht="12.75" customHeight="1">
      <c r="A48" s="52"/>
      <c r="B48" s="1106"/>
      <c r="C48" s="1106"/>
      <c r="D48" s="70"/>
      <c r="E48" s="70"/>
      <c r="F48" s="70"/>
      <c r="G48" s="70"/>
      <c r="H48" s="70"/>
      <c r="I48" s="70"/>
      <c r="J48" s="52"/>
      <c r="K48" s="52"/>
      <c r="L48" s="52"/>
      <c r="M48" s="52"/>
      <c r="N48" s="70"/>
      <c r="O48" s="70"/>
      <c r="P48" s="70"/>
      <c r="Q48" s="70"/>
      <c r="R48" s="70"/>
      <c r="S48" s="70"/>
      <c r="T48" s="70"/>
      <c r="U48" s="70"/>
      <c r="V48" s="52"/>
      <c r="W48" s="69"/>
      <c r="X48" s="69"/>
      <c r="Y48" s="69"/>
      <c r="Z48" s="69"/>
      <c r="AA48" s="69"/>
      <c r="AB48" s="69"/>
      <c r="AC48" s="69"/>
      <c r="AD48" s="69"/>
      <c r="AE48" s="69"/>
      <c r="AF48" s="69"/>
      <c r="AG48" s="69"/>
      <c r="AH48" s="69"/>
      <c r="AI48" s="69"/>
      <c r="AJ48" s="69"/>
      <c r="AK48" s="69"/>
      <c r="AL48" s="52"/>
    </row>
    <row r="49" spans="1:38" ht="12.75" customHeight="1">
      <c r="A49" s="52"/>
      <c r="B49" s="1106"/>
      <c r="C49" s="1106"/>
      <c r="D49" s="70"/>
      <c r="E49" s="70"/>
      <c r="F49" s="70"/>
      <c r="G49" s="70"/>
      <c r="H49" s="70"/>
      <c r="I49" s="70"/>
      <c r="J49" s="52"/>
      <c r="K49" s="52"/>
      <c r="L49" s="52"/>
      <c r="M49" s="52"/>
      <c r="N49" s="70"/>
      <c r="O49" s="70"/>
      <c r="P49" s="70"/>
      <c r="Q49" s="70"/>
      <c r="R49" s="70"/>
      <c r="S49" s="70"/>
      <c r="T49" s="70"/>
      <c r="U49" s="70"/>
      <c r="V49" s="52"/>
      <c r="W49" s="69"/>
      <c r="X49" s="69"/>
      <c r="Y49" s="69"/>
      <c r="Z49" s="69"/>
      <c r="AA49" s="69"/>
      <c r="AB49" s="69"/>
      <c r="AC49" s="69"/>
      <c r="AD49" s="69"/>
      <c r="AE49" s="69"/>
      <c r="AF49" s="69"/>
      <c r="AG49" s="69"/>
      <c r="AH49" s="69"/>
      <c r="AI49" s="69"/>
      <c r="AJ49" s="69"/>
      <c r="AK49" s="69"/>
      <c r="AL49" s="52"/>
    </row>
    <row r="50" spans="1:38" ht="12.75" customHeight="1">
      <c r="A50" s="52"/>
      <c r="B50" s="1106"/>
      <c r="C50" s="1106"/>
      <c r="D50" s="70"/>
      <c r="E50" s="70"/>
      <c r="F50" s="70"/>
      <c r="G50" s="70"/>
      <c r="H50" s="70"/>
      <c r="I50" s="70"/>
      <c r="J50" s="52"/>
      <c r="K50" s="52"/>
      <c r="L50" s="52"/>
      <c r="M50" s="52"/>
      <c r="N50" s="70"/>
      <c r="O50" s="70"/>
      <c r="P50" s="70"/>
      <c r="Q50" s="70"/>
      <c r="R50" s="70"/>
      <c r="S50" s="70"/>
      <c r="T50" s="70"/>
      <c r="U50" s="70"/>
      <c r="V50" s="52"/>
      <c r="W50" s="69"/>
      <c r="X50" s="69"/>
      <c r="Y50" s="69"/>
      <c r="Z50" s="69"/>
      <c r="AA50" s="69"/>
      <c r="AB50" s="69"/>
      <c r="AC50" s="69"/>
      <c r="AD50" s="69"/>
      <c r="AE50" s="69"/>
      <c r="AF50" s="69"/>
      <c r="AG50" s="69"/>
      <c r="AH50" s="69"/>
      <c r="AI50" s="69"/>
      <c r="AJ50" s="69"/>
      <c r="AK50" s="69"/>
      <c r="AL50" s="52"/>
    </row>
    <row r="51" spans="1:38" ht="12.75" customHeight="1">
      <c r="A51" s="52"/>
      <c r="B51" s="1106"/>
      <c r="C51" s="1106"/>
      <c r="D51" s="52"/>
      <c r="E51" s="52"/>
      <c r="F51" s="52"/>
      <c r="G51" s="1036"/>
      <c r="H51" s="1036"/>
      <c r="I51" s="1036"/>
      <c r="J51" s="52"/>
      <c r="K51" s="52"/>
      <c r="L51" s="52"/>
      <c r="M51" s="52"/>
      <c r="N51" s="1036"/>
      <c r="O51" s="1036"/>
      <c r="P51" s="1036"/>
      <c r="Q51" s="1036"/>
      <c r="R51" s="1036"/>
      <c r="S51" s="1036"/>
      <c r="T51" s="1036"/>
      <c r="U51" s="52"/>
      <c r="V51" s="52"/>
      <c r="W51" s="69"/>
      <c r="X51" s="69"/>
      <c r="Y51" s="69"/>
      <c r="Z51" s="69"/>
      <c r="AA51" s="69"/>
      <c r="AB51" s="69"/>
      <c r="AC51" s="69"/>
      <c r="AD51" s="69"/>
      <c r="AE51" s="69"/>
      <c r="AF51" s="69"/>
      <c r="AG51" s="69"/>
      <c r="AH51" s="69"/>
      <c r="AI51" s="69"/>
      <c r="AJ51" s="69"/>
      <c r="AK51" s="69"/>
      <c r="AL51" s="52"/>
    </row>
    <row r="52" spans="1:38" ht="12.75" customHeight="1">
      <c r="A52" s="52"/>
      <c r="B52" s="1106"/>
      <c r="C52" s="1106"/>
      <c r="D52" s="52"/>
      <c r="E52" s="52"/>
      <c r="F52" s="52"/>
      <c r="G52" s="1036"/>
      <c r="H52" s="1036"/>
      <c r="I52" s="1036"/>
      <c r="J52" s="52"/>
      <c r="K52" s="52"/>
      <c r="L52" s="52"/>
      <c r="M52" s="52"/>
      <c r="N52" s="1036"/>
      <c r="O52" s="1036"/>
      <c r="P52" s="1036"/>
      <c r="Q52" s="1036"/>
      <c r="R52" s="1036"/>
      <c r="S52" s="1036"/>
      <c r="T52" s="1036"/>
      <c r="U52" s="52"/>
      <c r="V52" s="52"/>
      <c r="W52" s="69"/>
      <c r="X52" s="69"/>
      <c r="Y52" s="69"/>
      <c r="Z52" s="69"/>
      <c r="AA52" s="69"/>
      <c r="AB52" s="69"/>
      <c r="AC52" s="69"/>
      <c r="AD52" s="69"/>
      <c r="AE52" s="69"/>
      <c r="AF52" s="69"/>
      <c r="AG52" s="69"/>
      <c r="AH52" s="69"/>
      <c r="AI52" s="69"/>
      <c r="AJ52" s="69"/>
      <c r="AK52" s="69"/>
      <c r="AL52" s="52"/>
    </row>
    <row r="53" spans="1:38" ht="12.75" customHeight="1">
      <c r="A53" s="52"/>
      <c r="B53" s="1106"/>
      <c r="C53" s="1106"/>
      <c r="D53" s="52"/>
      <c r="E53" s="52"/>
      <c r="F53" s="52"/>
      <c r="G53" s="1036"/>
      <c r="H53" s="1036"/>
      <c r="I53" s="1036"/>
      <c r="J53" s="52"/>
      <c r="K53" s="52"/>
      <c r="L53" s="52"/>
      <c r="M53" s="52"/>
      <c r="N53" s="1036"/>
      <c r="O53" s="1036"/>
      <c r="P53" s="1036"/>
      <c r="Q53" s="1036"/>
      <c r="R53" s="1036"/>
      <c r="S53" s="1036"/>
      <c r="T53" s="1036"/>
      <c r="U53" s="52"/>
      <c r="V53" s="52"/>
      <c r="W53" s="69"/>
      <c r="X53" s="69"/>
      <c r="Y53" s="69"/>
      <c r="Z53" s="69"/>
      <c r="AA53" s="69"/>
      <c r="AB53" s="69"/>
      <c r="AC53" s="69"/>
      <c r="AD53" s="69"/>
      <c r="AE53" s="69"/>
      <c r="AF53" s="69"/>
      <c r="AG53" s="69"/>
      <c r="AH53" s="69"/>
      <c r="AI53" s="69"/>
      <c r="AJ53" s="69"/>
      <c r="AK53" s="69"/>
      <c r="AL53" s="52"/>
    </row>
    <row r="54" spans="1:38" ht="12.75" customHeight="1">
      <c r="A54" s="52"/>
      <c r="B54" s="1106"/>
      <c r="C54" s="1106"/>
      <c r="D54" s="52"/>
      <c r="E54" s="52"/>
      <c r="F54" s="52"/>
      <c r="G54" s="1036"/>
      <c r="H54" s="1036"/>
      <c r="I54" s="1036"/>
      <c r="J54" s="1036"/>
      <c r="K54" s="1036"/>
      <c r="L54" s="1036"/>
      <c r="M54" s="1036"/>
      <c r="N54" s="1036"/>
      <c r="O54" s="1036"/>
      <c r="P54" s="1036"/>
      <c r="Q54" s="52"/>
      <c r="R54" s="52"/>
      <c r="S54" s="52"/>
      <c r="T54" s="52"/>
      <c r="U54" s="52"/>
      <c r="V54" s="52"/>
      <c r="W54" s="69"/>
      <c r="X54" s="69"/>
      <c r="Y54" s="69"/>
      <c r="Z54" s="69"/>
      <c r="AA54" s="69"/>
      <c r="AB54" s="69"/>
      <c r="AC54" s="69"/>
      <c r="AD54" s="69"/>
      <c r="AE54" s="69"/>
      <c r="AF54" s="69"/>
      <c r="AG54" s="69"/>
      <c r="AH54" s="69"/>
      <c r="AI54" s="69"/>
      <c r="AJ54" s="69"/>
      <c r="AK54" s="69"/>
      <c r="AL54" s="52"/>
    </row>
    <row r="55" spans="1:38" ht="12.75" customHeight="1">
      <c r="A55" s="52"/>
      <c r="B55" s="1106"/>
      <c r="C55" s="1106"/>
      <c r="D55" s="52"/>
      <c r="E55" s="52"/>
      <c r="F55" s="52"/>
      <c r="G55" s="1036"/>
      <c r="H55" s="1036"/>
      <c r="I55" s="1036"/>
      <c r="J55" s="1036"/>
      <c r="K55" s="1036"/>
      <c r="L55" s="1036"/>
      <c r="M55" s="1036"/>
      <c r="N55" s="1036"/>
      <c r="O55" s="1036"/>
      <c r="P55" s="1036"/>
      <c r="Q55" s="52"/>
      <c r="R55" s="52"/>
      <c r="S55" s="52"/>
      <c r="T55" s="52"/>
      <c r="U55" s="52"/>
      <c r="V55" s="52"/>
      <c r="W55" s="69"/>
      <c r="X55" s="69"/>
      <c r="Y55" s="69"/>
      <c r="Z55" s="69"/>
      <c r="AA55" s="69"/>
      <c r="AB55" s="69"/>
      <c r="AC55" s="69"/>
      <c r="AD55" s="69"/>
      <c r="AE55" s="69"/>
      <c r="AF55" s="69"/>
      <c r="AG55" s="69"/>
      <c r="AH55" s="69"/>
      <c r="AI55" s="69"/>
      <c r="AJ55" s="69"/>
      <c r="AK55" s="69"/>
      <c r="AL55" s="52"/>
    </row>
    <row r="56" spans="1:38" ht="12.75" customHeight="1">
      <c r="A56" s="52"/>
      <c r="B56" s="1106"/>
      <c r="C56" s="1106"/>
      <c r="D56" s="52"/>
      <c r="E56" s="52"/>
      <c r="F56" s="52"/>
      <c r="G56" s="1036"/>
      <c r="H56" s="1036"/>
      <c r="I56" s="1036"/>
      <c r="J56" s="1036"/>
      <c r="K56" s="1036"/>
      <c r="L56" s="1036"/>
      <c r="M56" s="1036"/>
      <c r="N56" s="1036"/>
      <c r="O56" s="1036"/>
      <c r="P56" s="1036"/>
      <c r="Q56" s="52"/>
      <c r="R56" s="52"/>
      <c r="S56" s="52"/>
      <c r="T56" s="52"/>
      <c r="U56" s="52"/>
      <c r="V56" s="52"/>
      <c r="W56" s="69"/>
      <c r="X56" s="69"/>
      <c r="Y56" s="69"/>
      <c r="Z56" s="69"/>
      <c r="AA56" s="69"/>
      <c r="AB56" s="69"/>
      <c r="AC56" s="69"/>
      <c r="AD56" s="69"/>
      <c r="AE56" s="69"/>
      <c r="AF56" s="69"/>
      <c r="AG56" s="69"/>
      <c r="AH56" s="69"/>
      <c r="AI56" s="69"/>
      <c r="AJ56" s="69"/>
      <c r="AK56" s="69"/>
      <c r="AL56" s="52"/>
    </row>
    <row r="57" spans="1:38" ht="12.75" customHeight="1">
      <c r="A57" s="52"/>
      <c r="B57" s="1106"/>
      <c r="C57" s="1106"/>
      <c r="D57" s="52"/>
      <c r="E57" s="52"/>
      <c r="F57" s="52"/>
      <c r="G57" s="1036"/>
      <c r="H57" s="1036"/>
      <c r="I57" s="1036"/>
      <c r="J57" s="1036"/>
      <c r="K57" s="1036"/>
      <c r="L57" s="1036"/>
      <c r="M57" s="1036"/>
      <c r="N57" s="1036"/>
      <c r="O57" s="1036"/>
      <c r="P57" s="1036"/>
      <c r="Q57" s="52"/>
      <c r="R57" s="52"/>
      <c r="S57" s="52"/>
      <c r="T57" s="52"/>
      <c r="U57" s="52"/>
      <c r="V57" s="52"/>
      <c r="W57" s="69"/>
      <c r="X57" s="69"/>
      <c r="Y57" s="69"/>
      <c r="Z57" s="69"/>
      <c r="AA57" s="69"/>
      <c r="AB57" s="69"/>
      <c r="AC57" s="69"/>
      <c r="AD57" s="69"/>
      <c r="AE57" s="69"/>
      <c r="AF57" s="69"/>
      <c r="AG57" s="69"/>
      <c r="AH57" s="69"/>
      <c r="AI57" s="69"/>
      <c r="AJ57" s="69"/>
      <c r="AK57" s="69"/>
      <c r="AL57" s="52"/>
    </row>
    <row r="58" spans="1:38" ht="12.75" customHeight="1">
      <c r="A58" s="52"/>
      <c r="B58" s="1106"/>
      <c r="C58" s="1106"/>
      <c r="D58" s="52"/>
      <c r="E58" s="52"/>
      <c r="F58" s="52"/>
      <c r="G58" s="1036"/>
      <c r="H58" s="1036"/>
      <c r="I58" s="1036"/>
      <c r="J58" s="1036"/>
      <c r="K58" s="1036"/>
      <c r="L58" s="1036"/>
      <c r="M58" s="1036"/>
      <c r="N58" s="1036"/>
      <c r="O58" s="1036"/>
      <c r="P58" s="1036"/>
      <c r="Q58" s="52"/>
      <c r="R58" s="52"/>
      <c r="S58" s="52"/>
      <c r="T58" s="52"/>
      <c r="U58" s="52"/>
      <c r="V58" s="52"/>
      <c r="W58" s="69"/>
      <c r="X58" s="69"/>
      <c r="Y58" s="69"/>
      <c r="Z58" s="69"/>
      <c r="AA58" s="69"/>
      <c r="AB58" s="69"/>
      <c r="AC58" s="69"/>
      <c r="AD58" s="69"/>
      <c r="AE58" s="69"/>
      <c r="AF58" s="69"/>
      <c r="AG58" s="69"/>
      <c r="AH58" s="69"/>
      <c r="AI58" s="69"/>
      <c r="AJ58" s="69"/>
      <c r="AK58" s="69"/>
      <c r="AL58" s="52"/>
    </row>
    <row r="59" spans="1:38" ht="12.75" customHeight="1">
      <c r="A59" s="52"/>
      <c r="B59" s="1106"/>
      <c r="C59" s="1106"/>
      <c r="D59" s="52"/>
      <c r="E59" s="52"/>
      <c r="F59" s="52"/>
      <c r="G59" s="1036"/>
      <c r="H59" s="1036"/>
      <c r="I59" s="1036"/>
      <c r="J59" s="1036"/>
      <c r="K59" s="1036"/>
      <c r="L59" s="1036"/>
      <c r="M59" s="1036"/>
      <c r="N59" s="1036"/>
      <c r="O59" s="1036"/>
      <c r="P59" s="1036"/>
      <c r="Q59" s="52"/>
      <c r="R59" s="52"/>
      <c r="S59" s="52"/>
      <c r="T59" s="52"/>
      <c r="U59" s="52"/>
      <c r="V59" s="52"/>
      <c r="W59" s="69"/>
      <c r="X59" s="69"/>
      <c r="Y59" s="69"/>
      <c r="Z59" s="69"/>
      <c r="AA59" s="69"/>
      <c r="AB59" s="69"/>
      <c r="AC59" s="69"/>
      <c r="AD59" s="69"/>
      <c r="AE59" s="69"/>
      <c r="AF59" s="69"/>
      <c r="AG59" s="69"/>
      <c r="AH59" s="69"/>
      <c r="AI59" s="69"/>
      <c r="AJ59" s="69"/>
      <c r="AK59" s="69"/>
      <c r="AL59" s="52"/>
    </row>
    <row r="60" spans="1:38" ht="12.75" customHeight="1">
      <c r="A60" s="52"/>
      <c r="B60" s="1106"/>
      <c r="C60" s="1106"/>
      <c r="D60" s="52"/>
      <c r="E60" s="52"/>
      <c r="F60" s="52"/>
      <c r="G60" s="1036"/>
      <c r="H60" s="1036"/>
      <c r="I60" s="1036"/>
      <c r="J60" s="1036"/>
      <c r="K60" s="1036"/>
      <c r="L60" s="1036"/>
      <c r="M60" s="1036"/>
      <c r="N60" s="1036"/>
      <c r="O60" s="1036"/>
      <c r="P60" s="1036"/>
      <c r="Q60" s="52"/>
      <c r="R60" s="52"/>
      <c r="S60" s="52"/>
      <c r="T60" s="52"/>
      <c r="U60" s="52"/>
      <c r="V60" s="52"/>
      <c r="W60" s="69"/>
      <c r="X60" s="69"/>
      <c r="Y60" s="69"/>
      <c r="Z60" s="69"/>
      <c r="AA60" s="69"/>
      <c r="AB60" s="69"/>
      <c r="AC60" s="69"/>
      <c r="AD60" s="69"/>
      <c r="AE60" s="69"/>
      <c r="AF60" s="69"/>
      <c r="AG60" s="69"/>
      <c r="AH60" s="69"/>
      <c r="AI60" s="69"/>
      <c r="AJ60" s="69"/>
      <c r="AK60" s="69"/>
      <c r="AL60" s="52"/>
    </row>
    <row r="61" spans="1:38" ht="12.75" customHeight="1">
      <c r="A61" s="52"/>
      <c r="B61" s="1106"/>
      <c r="C61" s="1106"/>
      <c r="D61" s="52"/>
      <c r="E61" s="52"/>
      <c r="F61" s="52"/>
      <c r="G61" s="1036"/>
      <c r="H61" s="1036"/>
      <c r="I61" s="1036"/>
      <c r="J61" s="1036"/>
      <c r="K61" s="1036"/>
      <c r="L61" s="1036"/>
      <c r="M61" s="1036"/>
      <c r="N61" s="1036"/>
      <c r="O61" s="1036"/>
      <c r="P61" s="1036"/>
      <c r="Q61" s="52"/>
      <c r="R61" s="52"/>
      <c r="S61" s="52"/>
      <c r="T61" s="52"/>
      <c r="U61" s="52"/>
      <c r="V61" s="52"/>
      <c r="W61" s="69"/>
      <c r="X61" s="69"/>
      <c r="Y61" s="69"/>
      <c r="Z61" s="69"/>
      <c r="AA61" s="69"/>
      <c r="AB61" s="69"/>
      <c r="AC61" s="69"/>
      <c r="AD61" s="69"/>
      <c r="AE61" s="69"/>
      <c r="AF61" s="69"/>
      <c r="AG61" s="69"/>
      <c r="AH61" s="69"/>
      <c r="AI61" s="69"/>
      <c r="AJ61" s="69"/>
      <c r="AK61" s="69"/>
      <c r="AL61" s="52"/>
    </row>
    <row r="62" spans="1:38" ht="12.75" customHeight="1">
      <c r="A62" s="52"/>
      <c r="B62" s="1106"/>
      <c r="C62" s="1106"/>
      <c r="D62" s="52"/>
      <c r="E62" s="52"/>
      <c r="F62" s="52"/>
      <c r="G62" s="1036"/>
      <c r="H62" s="1036"/>
      <c r="I62" s="1036"/>
      <c r="J62" s="1036"/>
      <c r="K62" s="1036"/>
      <c r="L62" s="1036"/>
      <c r="M62" s="1036"/>
      <c r="N62" s="1036"/>
      <c r="O62" s="1036"/>
      <c r="P62" s="1036"/>
      <c r="Q62" s="52"/>
      <c r="R62" s="52"/>
      <c r="S62" s="52"/>
      <c r="T62" s="52"/>
      <c r="U62" s="52"/>
      <c r="V62" s="52"/>
      <c r="W62" s="69"/>
      <c r="X62" s="69"/>
      <c r="Y62" s="69"/>
      <c r="Z62" s="69"/>
      <c r="AA62" s="69"/>
      <c r="AB62" s="69"/>
      <c r="AC62" s="69"/>
      <c r="AD62" s="69"/>
      <c r="AE62" s="69"/>
      <c r="AF62" s="69"/>
      <c r="AG62" s="69"/>
      <c r="AH62" s="69"/>
      <c r="AI62" s="69"/>
      <c r="AJ62" s="69"/>
      <c r="AK62" s="69"/>
      <c r="AL62" s="52"/>
    </row>
    <row r="63" spans="1:38" ht="12.75" customHeight="1">
      <c r="A63" s="52"/>
      <c r="B63" s="1106"/>
      <c r="C63" s="1106"/>
      <c r="D63" s="52"/>
      <c r="E63" s="52"/>
      <c r="F63" s="52"/>
      <c r="G63" s="1036"/>
      <c r="H63" s="1036"/>
      <c r="I63" s="1036"/>
      <c r="J63" s="1036"/>
      <c r="K63" s="1036"/>
      <c r="L63" s="1036"/>
      <c r="M63" s="1036"/>
      <c r="N63" s="1036"/>
      <c r="O63" s="1036"/>
      <c r="P63" s="1036"/>
      <c r="Q63" s="52"/>
      <c r="R63" s="52"/>
      <c r="S63" s="52"/>
      <c r="T63" s="52"/>
      <c r="U63" s="52"/>
      <c r="V63" s="52"/>
      <c r="W63" s="69"/>
      <c r="X63" s="69"/>
      <c r="Y63" s="69"/>
      <c r="Z63" s="69"/>
      <c r="AA63" s="69"/>
      <c r="AB63" s="69"/>
      <c r="AC63" s="69"/>
      <c r="AD63" s="69"/>
      <c r="AE63" s="69"/>
      <c r="AF63" s="69"/>
      <c r="AG63" s="69"/>
      <c r="AH63" s="69"/>
      <c r="AI63" s="69"/>
      <c r="AJ63" s="69"/>
      <c r="AK63" s="69"/>
      <c r="AL63" s="52"/>
    </row>
    <row r="64" spans="1:38">
      <c r="A64" s="52"/>
      <c r="B64" s="1106"/>
      <c r="C64" s="1106"/>
      <c r="D64" s="52"/>
      <c r="E64" s="52"/>
      <c r="F64" s="52"/>
      <c r="G64" s="1036"/>
      <c r="H64" s="1036"/>
      <c r="I64" s="1036"/>
      <c r="J64" s="1036"/>
      <c r="K64" s="1036"/>
      <c r="L64" s="1036"/>
      <c r="M64" s="1036"/>
      <c r="N64" s="1036"/>
      <c r="O64" s="1036"/>
      <c r="P64" s="1036"/>
      <c r="Q64" s="52"/>
      <c r="R64" s="52"/>
      <c r="S64" s="52"/>
      <c r="T64" s="52"/>
      <c r="U64" s="52"/>
      <c r="V64" s="52"/>
      <c r="W64" s="69"/>
      <c r="X64" s="69"/>
      <c r="Y64" s="69"/>
      <c r="Z64" s="69"/>
      <c r="AA64" s="69"/>
      <c r="AB64" s="69"/>
      <c r="AC64" s="69"/>
      <c r="AD64" s="69"/>
      <c r="AE64" s="69"/>
      <c r="AF64" s="69"/>
      <c r="AG64" s="69"/>
      <c r="AH64" s="69"/>
      <c r="AI64" s="69"/>
      <c r="AJ64" s="69"/>
      <c r="AK64" s="69"/>
      <c r="AL64" s="52"/>
    </row>
    <row r="65" spans="2:37">
      <c r="B65" s="788"/>
      <c r="C65" s="788"/>
      <c r="D65" s="776"/>
      <c r="E65" s="52"/>
      <c r="F65" s="776"/>
      <c r="G65" s="8"/>
      <c r="H65" s="8"/>
      <c r="I65" s="8"/>
      <c r="J65" s="8"/>
      <c r="K65" s="8"/>
      <c r="L65" s="8"/>
      <c r="M65" s="8"/>
      <c r="N65" s="8"/>
      <c r="O65" s="8"/>
      <c r="P65" s="8"/>
      <c r="Q65" s="776"/>
      <c r="R65" s="776"/>
      <c r="S65" s="776"/>
      <c r="T65" s="776"/>
      <c r="U65" s="776"/>
      <c r="V65" s="776"/>
      <c r="W65" s="10"/>
      <c r="X65" s="10"/>
      <c r="Y65" s="10"/>
      <c r="Z65" s="10"/>
      <c r="AA65" s="10"/>
      <c r="AB65" s="10"/>
      <c r="AC65" s="10"/>
      <c r="AD65" s="10"/>
      <c r="AE65" s="10"/>
      <c r="AF65" s="10"/>
      <c r="AG65" s="10"/>
      <c r="AH65" s="10"/>
      <c r="AI65" s="10"/>
      <c r="AJ65" s="10"/>
      <c r="AK65" s="10"/>
    </row>
    <row r="66" spans="2:37">
      <c r="B66" s="788"/>
      <c r="C66" s="788"/>
      <c r="D66" s="776"/>
      <c r="E66" s="52"/>
      <c r="F66" s="776"/>
      <c r="G66" s="8"/>
      <c r="H66" s="8"/>
      <c r="I66" s="8"/>
      <c r="J66" s="8"/>
      <c r="K66" s="8"/>
      <c r="L66" s="8"/>
      <c r="M66" s="8"/>
      <c r="N66" s="8"/>
      <c r="O66" s="8"/>
      <c r="P66" s="8"/>
      <c r="Q66" s="776"/>
      <c r="R66" s="776"/>
      <c r="S66" s="776"/>
      <c r="T66" s="776"/>
      <c r="U66" s="776"/>
      <c r="V66" s="776"/>
      <c r="W66" s="10"/>
      <c r="X66" s="10"/>
      <c r="Y66" s="10"/>
      <c r="Z66" s="10"/>
      <c r="AA66" s="10"/>
      <c r="AB66" s="10"/>
      <c r="AC66" s="10"/>
      <c r="AD66" s="10"/>
      <c r="AE66" s="10"/>
      <c r="AF66" s="10"/>
      <c r="AG66" s="10"/>
      <c r="AH66" s="10"/>
      <c r="AI66" s="10"/>
      <c r="AJ66" s="10"/>
      <c r="AK66" s="10"/>
    </row>
    <row r="67" spans="2:37">
      <c r="B67" s="788"/>
      <c r="C67" s="788"/>
      <c r="D67" s="776"/>
      <c r="E67" s="52"/>
      <c r="F67" s="776"/>
      <c r="G67" s="8"/>
      <c r="H67" s="8"/>
      <c r="I67" s="8"/>
      <c r="J67" s="8"/>
      <c r="K67" s="8"/>
      <c r="L67" s="8"/>
      <c r="M67" s="8"/>
      <c r="N67" s="8"/>
      <c r="O67" s="8"/>
      <c r="P67" s="8"/>
      <c r="Q67" s="776"/>
      <c r="R67" s="776"/>
      <c r="S67" s="776"/>
      <c r="T67" s="776"/>
      <c r="U67" s="776"/>
      <c r="V67" s="776"/>
      <c r="W67" s="10"/>
      <c r="X67" s="10"/>
      <c r="Y67" s="10"/>
      <c r="Z67" s="10"/>
      <c r="AA67" s="10"/>
      <c r="AB67" s="10"/>
      <c r="AC67" s="10"/>
      <c r="AD67" s="10"/>
      <c r="AE67" s="10"/>
      <c r="AF67" s="10"/>
      <c r="AG67" s="10"/>
      <c r="AH67" s="10"/>
      <c r="AI67" s="10"/>
      <c r="AJ67" s="10"/>
      <c r="AK67" s="10"/>
    </row>
    <row r="68" spans="2:37">
      <c r="B68" s="788"/>
      <c r="C68" s="788"/>
      <c r="D68" s="776"/>
      <c r="E68" s="52"/>
      <c r="F68" s="776"/>
      <c r="G68" s="8"/>
      <c r="H68" s="8"/>
      <c r="I68" s="8"/>
      <c r="J68" s="8"/>
      <c r="K68" s="8"/>
      <c r="L68" s="8"/>
      <c r="M68" s="8"/>
      <c r="N68" s="8"/>
      <c r="O68" s="8"/>
      <c r="P68" s="8"/>
      <c r="Q68" s="776"/>
      <c r="R68" s="776"/>
      <c r="S68" s="776"/>
      <c r="T68" s="776"/>
      <c r="U68" s="776"/>
      <c r="V68" s="776"/>
      <c r="W68" s="10"/>
      <c r="X68" s="10"/>
      <c r="Y68" s="10"/>
      <c r="Z68" s="10"/>
      <c r="AA68" s="10"/>
      <c r="AB68" s="10"/>
      <c r="AC68" s="10"/>
      <c r="AD68" s="10"/>
      <c r="AE68" s="10"/>
      <c r="AF68" s="10"/>
      <c r="AG68" s="10"/>
      <c r="AH68" s="10"/>
      <c r="AI68" s="10"/>
      <c r="AJ68" s="10"/>
      <c r="AK68" s="10"/>
    </row>
    <row r="69" spans="2:37">
      <c r="B69" s="788"/>
      <c r="C69" s="788"/>
      <c r="D69" s="776"/>
      <c r="E69" s="52"/>
      <c r="F69" s="776"/>
      <c r="G69" s="8"/>
      <c r="H69" s="8"/>
      <c r="I69" s="8"/>
      <c r="J69" s="8"/>
      <c r="K69" s="8"/>
      <c r="L69" s="8"/>
      <c r="M69" s="8"/>
      <c r="N69" s="8"/>
      <c r="O69" s="8"/>
      <c r="P69" s="8"/>
      <c r="Q69" s="776"/>
      <c r="R69" s="776"/>
      <c r="S69" s="776"/>
      <c r="T69" s="776"/>
      <c r="U69" s="776"/>
      <c r="V69" s="776"/>
      <c r="W69" s="10"/>
      <c r="X69" s="10"/>
      <c r="Y69" s="10"/>
      <c r="Z69" s="10"/>
      <c r="AA69" s="10"/>
      <c r="AB69" s="10"/>
      <c r="AC69" s="10"/>
      <c r="AD69" s="10"/>
      <c r="AE69" s="10"/>
      <c r="AF69" s="10"/>
      <c r="AG69" s="10"/>
      <c r="AH69" s="10"/>
      <c r="AI69" s="10"/>
      <c r="AJ69" s="10"/>
      <c r="AK69" s="10"/>
    </row>
    <row r="70" spans="2:37">
      <c r="B70" s="788"/>
      <c r="C70" s="788"/>
      <c r="D70" s="776"/>
      <c r="E70" s="52"/>
      <c r="F70" s="776"/>
      <c r="G70" s="8"/>
      <c r="H70" s="8"/>
      <c r="I70" s="8"/>
      <c r="J70" s="8"/>
      <c r="K70" s="8"/>
      <c r="L70" s="8"/>
      <c r="M70" s="8"/>
      <c r="N70" s="8"/>
      <c r="O70" s="8"/>
      <c r="P70" s="8"/>
      <c r="Q70" s="776"/>
      <c r="R70" s="776"/>
      <c r="S70" s="776"/>
      <c r="T70" s="776"/>
      <c r="U70" s="776"/>
      <c r="V70" s="776"/>
      <c r="W70" s="10"/>
      <c r="X70" s="10"/>
      <c r="Y70" s="10"/>
      <c r="Z70" s="10"/>
      <c r="AA70" s="10"/>
      <c r="AB70" s="10"/>
      <c r="AC70" s="10"/>
      <c r="AD70" s="10"/>
      <c r="AE70" s="10"/>
      <c r="AF70" s="10"/>
      <c r="AG70" s="10"/>
      <c r="AH70" s="10"/>
      <c r="AI70" s="10"/>
      <c r="AJ70" s="10"/>
      <c r="AK70" s="10"/>
    </row>
    <row r="71" spans="2:37">
      <c r="B71" s="788"/>
      <c r="C71" s="788"/>
      <c r="D71" s="776"/>
      <c r="E71" s="52"/>
      <c r="F71" s="776"/>
      <c r="G71" s="8"/>
      <c r="H71" s="8"/>
      <c r="I71" s="8"/>
      <c r="J71" s="8"/>
      <c r="K71" s="8"/>
      <c r="L71" s="8"/>
      <c r="M71" s="8"/>
      <c r="N71" s="8"/>
      <c r="O71" s="8"/>
      <c r="P71" s="8"/>
      <c r="Q71" s="776"/>
      <c r="R71" s="776"/>
      <c r="S71" s="776"/>
      <c r="T71" s="776"/>
      <c r="U71" s="776"/>
      <c r="V71" s="776"/>
      <c r="W71" s="10"/>
      <c r="X71" s="10"/>
      <c r="Y71" s="10"/>
      <c r="Z71" s="10"/>
      <c r="AA71" s="10"/>
      <c r="AB71" s="10"/>
      <c r="AC71" s="10"/>
      <c r="AD71" s="10"/>
      <c r="AE71" s="10"/>
      <c r="AF71" s="10"/>
      <c r="AG71" s="10"/>
      <c r="AH71" s="10"/>
      <c r="AI71" s="10"/>
      <c r="AJ71" s="10"/>
      <c r="AK71" s="10"/>
    </row>
    <row r="72" spans="2:37">
      <c r="B72" s="788"/>
      <c r="C72" s="788"/>
      <c r="D72" s="776"/>
      <c r="E72" s="52"/>
      <c r="F72" s="776"/>
      <c r="G72" s="8"/>
      <c r="H72" s="8"/>
      <c r="I72" s="8"/>
      <c r="J72" s="8"/>
      <c r="K72" s="8"/>
      <c r="L72" s="8"/>
      <c r="M72" s="8"/>
      <c r="N72" s="8"/>
      <c r="O72" s="8"/>
      <c r="P72" s="8"/>
      <c r="Q72" s="776"/>
      <c r="R72" s="776"/>
      <c r="S72" s="776"/>
      <c r="T72" s="776"/>
      <c r="U72" s="776"/>
      <c r="V72" s="776"/>
      <c r="W72" s="10"/>
      <c r="X72" s="10"/>
      <c r="Y72" s="10"/>
      <c r="Z72" s="10"/>
      <c r="AA72" s="10"/>
      <c r="AB72" s="10"/>
      <c r="AC72" s="10"/>
      <c r="AD72" s="10"/>
      <c r="AE72" s="10"/>
      <c r="AF72" s="10"/>
      <c r="AG72" s="10"/>
      <c r="AH72" s="10"/>
      <c r="AI72" s="10"/>
      <c r="AJ72" s="10"/>
      <c r="AK72" s="10"/>
    </row>
    <row r="73" spans="2:37">
      <c r="B73" s="788"/>
      <c r="C73" s="788"/>
      <c r="D73" s="776"/>
      <c r="E73" s="52"/>
      <c r="F73" s="776"/>
      <c r="G73" s="776"/>
      <c r="H73" s="776"/>
      <c r="I73" s="776"/>
      <c r="J73" s="776"/>
      <c r="K73" s="776"/>
      <c r="L73" s="776"/>
      <c r="M73" s="776"/>
      <c r="N73" s="776"/>
      <c r="O73" s="776"/>
      <c r="P73" s="776"/>
      <c r="Q73" s="776"/>
      <c r="R73" s="776"/>
      <c r="S73" s="776"/>
      <c r="T73" s="776"/>
      <c r="U73" s="776"/>
      <c r="V73" s="776"/>
      <c r="W73" s="10"/>
      <c r="X73" s="10"/>
      <c r="Y73" s="10"/>
      <c r="Z73" s="10"/>
      <c r="AA73" s="10"/>
      <c r="AB73" s="10"/>
      <c r="AC73" s="10"/>
      <c r="AD73" s="10"/>
      <c r="AE73" s="10"/>
      <c r="AF73" s="10"/>
      <c r="AG73" s="10"/>
      <c r="AH73" s="10"/>
      <c r="AI73" s="10"/>
      <c r="AJ73" s="10"/>
      <c r="AK73" s="10"/>
    </row>
    <row r="74" spans="2:37">
      <c r="B74" s="788"/>
      <c r="C74" s="788"/>
      <c r="D74" s="776"/>
      <c r="E74" s="52"/>
      <c r="F74" s="776"/>
      <c r="G74" s="776"/>
      <c r="H74" s="776"/>
      <c r="I74" s="776"/>
      <c r="J74" s="776"/>
      <c r="K74" s="776"/>
      <c r="L74" s="776"/>
      <c r="M74" s="776"/>
      <c r="N74" s="776"/>
      <c r="O74" s="776"/>
      <c r="P74" s="776"/>
      <c r="Q74" s="776"/>
      <c r="R74" s="776"/>
      <c r="S74" s="776"/>
      <c r="T74" s="776"/>
      <c r="U74" s="776"/>
      <c r="V74" s="776"/>
      <c r="W74" s="10"/>
      <c r="X74" s="10"/>
      <c r="Y74" s="10"/>
      <c r="Z74" s="10"/>
      <c r="AA74" s="10"/>
      <c r="AB74" s="10"/>
      <c r="AC74" s="10"/>
      <c r="AD74" s="10"/>
      <c r="AE74" s="10"/>
      <c r="AF74" s="10"/>
      <c r="AG74" s="10"/>
      <c r="AH74" s="10"/>
      <c r="AI74" s="10"/>
      <c r="AJ74" s="10"/>
      <c r="AK74" s="10"/>
    </row>
    <row r="75" spans="2:37">
      <c r="B75" s="788"/>
      <c r="C75" s="788"/>
      <c r="D75" s="776"/>
      <c r="E75" s="52"/>
      <c r="F75" s="776"/>
      <c r="G75" s="776"/>
      <c r="H75" s="776"/>
      <c r="I75" s="776"/>
      <c r="J75" s="776"/>
      <c r="K75" s="776"/>
      <c r="L75" s="776"/>
      <c r="M75" s="776"/>
      <c r="N75" s="776"/>
      <c r="O75" s="776"/>
      <c r="P75" s="776"/>
      <c r="Q75" s="776"/>
      <c r="R75" s="776"/>
      <c r="S75" s="776"/>
      <c r="T75" s="776"/>
      <c r="U75" s="776"/>
      <c r="V75" s="776"/>
      <c r="W75" s="10"/>
      <c r="X75" s="10"/>
      <c r="Y75" s="10"/>
      <c r="Z75" s="10"/>
      <c r="AA75" s="10"/>
      <c r="AB75" s="10"/>
      <c r="AC75" s="10"/>
      <c r="AD75" s="10"/>
      <c r="AE75" s="10"/>
      <c r="AF75" s="10"/>
      <c r="AG75" s="10"/>
      <c r="AH75" s="10"/>
      <c r="AI75" s="10"/>
      <c r="AJ75" s="10"/>
      <c r="AK75" s="10"/>
    </row>
    <row r="76" spans="2:37">
      <c r="B76" s="788"/>
      <c r="C76" s="788"/>
      <c r="D76" s="776"/>
      <c r="E76" s="52"/>
      <c r="F76" s="776"/>
      <c r="G76" s="776"/>
      <c r="H76" s="776"/>
      <c r="I76" s="776"/>
      <c r="J76" s="776"/>
      <c r="K76" s="776"/>
      <c r="L76" s="776"/>
      <c r="M76" s="776"/>
      <c r="N76" s="776"/>
      <c r="O76" s="776"/>
      <c r="P76" s="776"/>
      <c r="Q76" s="776"/>
      <c r="R76" s="776"/>
      <c r="S76" s="776"/>
      <c r="T76" s="776"/>
      <c r="U76" s="776"/>
      <c r="V76" s="776"/>
      <c r="W76" s="10"/>
      <c r="X76" s="10"/>
      <c r="Y76" s="10"/>
      <c r="Z76" s="10"/>
      <c r="AA76" s="10"/>
      <c r="AB76" s="10"/>
      <c r="AC76" s="10"/>
      <c r="AD76" s="10"/>
      <c r="AE76" s="10"/>
      <c r="AF76" s="10"/>
      <c r="AG76" s="10"/>
      <c r="AH76" s="10"/>
      <c r="AI76" s="10"/>
      <c r="AJ76" s="10"/>
      <c r="AK76" s="10"/>
    </row>
    <row r="77" spans="2:37">
      <c r="B77" s="788"/>
      <c r="C77" s="788"/>
      <c r="D77" s="776"/>
      <c r="E77" s="52"/>
      <c r="F77" s="776"/>
      <c r="G77" s="776"/>
      <c r="H77" s="776"/>
      <c r="I77" s="776"/>
      <c r="J77" s="776"/>
      <c r="K77" s="776"/>
      <c r="L77" s="776"/>
      <c r="M77" s="776"/>
      <c r="N77" s="776"/>
      <c r="O77" s="776"/>
      <c r="P77" s="776"/>
      <c r="Q77" s="776"/>
      <c r="R77" s="776"/>
      <c r="S77" s="776"/>
      <c r="T77" s="776"/>
      <c r="U77" s="776"/>
      <c r="V77" s="776"/>
      <c r="W77" s="10"/>
      <c r="X77" s="10"/>
      <c r="Y77" s="10"/>
      <c r="Z77" s="10"/>
      <c r="AA77" s="10"/>
      <c r="AB77" s="10"/>
      <c r="AC77" s="10"/>
      <c r="AD77" s="10"/>
      <c r="AE77" s="10"/>
      <c r="AF77" s="10"/>
      <c r="AG77" s="10"/>
      <c r="AH77" s="10"/>
      <c r="AI77" s="10"/>
      <c r="AJ77" s="10"/>
      <c r="AK77" s="10"/>
    </row>
    <row r="78" spans="2:37">
      <c r="B78" s="788"/>
      <c r="C78" s="788"/>
      <c r="D78" s="776"/>
      <c r="E78" s="52"/>
      <c r="F78" s="776"/>
      <c r="G78" s="776"/>
      <c r="H78" s="776"/>
      <c r="I78" s="776"/>
      <c r="J78" s="776"/>
      <c r="K78" s="776"/>
      <c r="L78" s="776"/>
      <c r="M78" s="776"/>
      <c r="N78" s="776"/>
      <c r="O78" s="776"/>
      <c r="P78" s="776"/>
      <c r="Q78" s="776"/>
      <c r="R78" s="776"/>
      <c r="S78" s="776"/>
      <c r="T78" s="776"/>
      <c r="U78" s="776"/>
      <c r="V78" s="776"/>
      <c r="W78" s="10"/>
      <c r="X78" s="10"/>
      <c r="Y78" s="10"/>
      <c r="Z78" s="10"/>
      <c r="AA78" s="10"/>
      <c r="AB78" s="10"/>
      <c r="AC78" s="10"/>
      <c r="AD78" s="10"/>
      <c r="AE78" s="10"/>
      <c r="AF78" s="10"/>
      <c r="AG78" s="10"/>
      <c r="AH78" s="10"/>
      <c r="AI78" s="10"/>
      <c r="AJ78" s="10"/>
      <c r="AK78" s="10"/>
    </row>
    <row r="79" spans="2:37">
      <c r="B79" s="788"/>
      <c r="C79" s="788"/>
      <c r="D79" s="776"/>
      <c r="E79" s="52"/>
      <c r="F79" s="776"/>
      <c r="G79" s="776"/>
      <c r="H79" s="776"/>
      <c r="I79" s="776"/>
      <c r="J79" s="776"/>
      <c r="K79" s="776"/>
      <c r="L79" s="776"/>
      <c r="M79" s="776"/>
      <c r="N79" s="776"/>
      <c r="O79" s="776"/>
      <c r="P79" s="776"/>
      <c r="Q79" s="776"/>
      <c r="R79" s="776"/>
      <c r="S79" s="776"/>
      <c r="T79" s="776"/>
      <c r="U79" s="776"/>
      <c r="V79" s="776"/>
      <c r="W79" s="10"/>
      <c r="X79" s="10"/>
      <c r="Y79" s="10"/>
      <c r="Z79" s="10"/>
      <c r="AA79" s="10"/>
      <c r="AB79" s="10"/>
      <c r="AC79" s="10"/>
      <c r="AD79" s="10"/>
      <c r="AE79" s="10"/>
      <c r="AF79" s="10"/>
      <c r="AG79" s="10"/>
      <c r="AH79" s="10"/>
      <c r="AI79" s="10"/>
      <c r="AJ79" s="10"/>
      <c r="AK79" s="10"/>
    </row>
    <row r="80" spans="2:37">
      <c r="B80" s="788"/>
      <c r="C80" s="788"/>
      <c r="D80" s="776"/>
      <c r="E80" s="52"/>
      <c r="F80" s="776"/>
      <c r="G80" s="776"/>
      <c r="H80" s="776"/>
      <c r="I80" s="776"/>
      <c r="J80" s="776"/>
      <c r="K80" s="776"/>
      <c r="L80" s="776"/>
      <c r="M80" s="776"/>
      <c r="N80" s="776"/>
      <c r="O80" s="776"/>
      <c r="P80" s="776"/>
      <c r="Q80" s="776"/>
      <c r="R80" s="776"/>
      <c r="S80" s="776"/>
      <c r="T80" s="776"/>
      <c r="U80" s="776"/>
      <c r="V80" s="776"/>
      <c r="W80" s="10"/>
      <c r="X80" s="10"/>
      <c r="Y80" s="10"/>
      <c r="Z80" s="10"/>
      <c r="AA80" s="10"/>
      <c r="AB80" s="10"/>
      <c r="AC80" s="10"/>
      <c r="AD80" s="10"/>
      <c r="AE80" s="10"/>
      <c r="AF80" s="10"/>
      <c r="AG80" s="10"/>
      <c r="AH80" s="10"/>
      <c r="AI80" s="10"/>
      <c r="AJ80" s="10"/>
      <c r="AK80" s="10"/>
    </row>
    <row r="81" spans="2:37">
      <c r="B81" s="788"/>
      <c r="C81" s="788"/>
      <c r="D81" s="776"/>
      <c r="E81" s="52"/>
      <c r="F81" s="776"/>
      <c r="G81" s="776"/>
      <c r="H81" s="776"/>
      <c r="I81" s="776"/>
      <c r="J81" s="776"/>
      <c r="K81" s="776"/>
      <c r="L81" s="776"/>
      <c r="M81" s="776"/>
      <c r="N81" s="776"/>
      <c r="O81" s="776"/>
      <c r="P81" s="776"/>
      <c r="Q81" s="776"/>
      <c r="R81" s="776"/>
      <c r="S81" s="776"/>
      <c r="T81" s="776"/>
      <c r="U81" s="776"/>
      <c r="V81" s="776"/>
      <c r="W81" s="10"/>
      <c r="X81" s="10"/>
      <c r="Y81" s="10"/>
      <c r="Z81" s="10"/>
      <c r="AA81" s="10"/>
      <c r="AB81" s="10"/>
      <c r="AC81" s="10"/>
      <c r="AD81" s="10"/>
      <c r="AE81" s="10"/>
      <c r="AF81" s="10"/>
      <c r="AG81" s="10"/>
      <c r="AH81" s="10"/>
      <c r="AI81" s="10"/>
      <c r="AJ81" s="10"/>
      <c r="AK81" s="10"/>
    </row>
    <row r="82" spans="2:37">
      <c r="B82" s="788"/>
      <c r="C82" s="788"/>
      <c r="D82" s="776"/>
      <c r="E82" s="52"/>
      <c r="F82" s="776"/>
      <c r="G82" s="776"/>
      <c r="H82" s="776"/>
      <c r="I82" s="776"/>
      <c r="J82" s="776"/>
      <c r="K82" s="776"/>
      <c r="L82" s="776"/>
      <c r="M82" s="776"/>
      <c r="N82" s="776"/>
      <c r="O82" s="776"/>
      <c r="P82" s="776"/>
      <c r="Q82" s="776"/>
      <c r="R82" s="776"/>
      <c r="S82" s="776"/>
      <c r="T82" s="776"/>
      <c r="U82" s="776"/>
      <c r="V82" s="776"/>
      <c r="W82" s="10"/>
      <c r="X82" s="10"/>
      <c r="Y82" s="10"/>
      <c r="Z82" s="10"/>
      <c r="AA82" s="10"/>
      <c r="AB82" s="10"/>
      <c r="AC82" s="10"/>
      <c r="AD82" s="10"/>
      <c r="AE82" s="10"/>
      <c r="AF82" s="10"/>
      <c r="AG82" s="10"/>
      <c r="AH82" s="10"/>
      <c r="AI82" s="10"/>
      <c r="AJ82" s="10"/>
      <c r="AK82" s="10"/>
    </row>
    <row r="83" spans="2:37">
      <c r="B83" s="788"/>
      <c r="C83" s="788"/>
      <c r="D83" s="776"/>
      <c r="E83" s="52"/>
      <c r="F83" s="776"/>
      <c r="G83" s="776"/>
      <c r="H83" s="776"/>
      <c r="I83" s="776"/>
      <c r="J83" s="776"/>
      <c r="K83" s="776"/>
      <c r="L83" s="776"/>
      <c r="M83" s="776"/>
      <c r="N83" s="776"/>
      <c r="O83" s="776"/>
      <c r="P83" s="776"/>
      <c r="Q83" s="776"/>
      <c r="R83" s="776"/>
      <c r="S83" s="776"/>
      <c r="T83" s="776"/>
      <c r="U83" s="776"/>
      <c r="V83" s="776"/>
      <c r="W83" s="10"/>
      <c r="X83" s="10"/>
      <c r="Y83" s="10"/>
      <c r="Z83" s="10"/>
      <c r="AA83" s="10"/>
      <c r="AB83" s="10"/>
      <c r="AC83" s="10"/>
      <c r="AD83" s="10"/>
      <c r="AE83" s="10"/>
      <c r="AF83" s="10"/>
      <c r="AG83" s="10"/>
      <c r="AH83" s="10"/>
      <c r="AI83" s="10"/>
      <c r="AJ83" s="10"/>
      <c r="AK83" s="10"/>
    </row>
    <row r="84" spans="2:37">
      <c r="B84" s="788"/>
      <c r="C84" s="788"/>
      <c r="D84" s="776"/>
      <c r="E84" s="52"/>
      <c r="F84" s="776"/>
      <c r="G84" s="776"/>
      <c r="H84" s="776"/>
      <c r="I84" s="776"/>
      <c r="J84" s="776"/>
      <c r="K84" s="776"/>
      <c r="L84" s="776"/>
      <c r="M84" s="776"/>
      <c r="N84" s="776"/>
      <c r="O84" s="776"/>
      <c r="P84" s="776"/>
      <c r="Q84" s="776"/>
      <c r="R84" s="776"/>
      <c r="S84" s="776"/>
      <c r="T84" s="776"/>
      <c r="U84" s="776"/>
      <c r="V84" s="776"/>
      <c r="W84" s="10"/>
      <c r="X84" s="10"/>
      <c r="Y84" s="10"/>
      <c r="Z84" s="10"/>
      <c r="AA84" s="10"/>
      <c r="AB84" s="10"/>
      <c r="AC84" s="10"/>
      <c r="AD84" s="10"/>
      <c r="AE84" s="10"/>
      <c r="AF84" s="10"/>
      <c r="AG84" s="10"/>
      <c r="AH84" s="10"/>
      <c r="AI84" s="10"/>
      <c r="AJ84" s="10"/>
      <c r="AK84" s="10"/>
    </row>
    <row r="85" spans="2:37">
      <c r="B85" s="788"/>
      <c r="C85" s="788"/>
      <c r="D85" s="776"/>
      <c r="E85" s="52"/>
      <c r="F85" s="776"/>
      <c r="G85" s="776"/>
      <c r="H85" s="776"/>
      <c r="I85" s="776"/>
      <c r="J85" s="776"/>
      <c r="K85" s="776"/>
      <c r="L85" s="776"/>
      <c r="M85" s="776"/>
      <c r="N85" s="776"/>
      <c r="O85" s="776"/>
      <c r="P85" s="776"/>
      <c r="Q85" s="776"/>
      <c r="R85" s="776"/>
      <c r="S85" s="776"/>
      <c r="T85" s="776"/>
      <c r="U85" s="776"/>
      <c r="V85" s="776"/>
      <c r="W85" s="10"/>
      <c r="X85" s="10"/>
      <c r="Y85" s="10"/>
      <c r="Z85" s="10"/>
      <c r="AA85" s="10"/>
      <c r="AB85" s="10"/>
      <c r="AC85" s="10"/>
      <c r="AD85" s="10"/>
      <c r="AE85" s="10"/>
      <c r="AF85" s="10"/>
      <c r="AG85" s="10"/>
      <c r="AH85" s="10"/>
      <c r="AI85" s="10"/>
      <c r="AJ85" s="10"/>
      <c r="AK85" s="10"/>
    </row>
    <row r="86" spans="2:37">
      <c r="B86" s="788"/>
      <c r="C86" s="788"/>
      <c r="D86" s="776"/>
      <c r="E86" s="52"/>
      <c r="F86" s="776"/>
      <c r="G86" s="776"/>
      <c r="H86" s="776"/>
      <c r="I86" s="776"/>
      <c r="J86" s="776"/>
      <c r="K86" s="776"/>
      <c r="L86" s="776"/>
      <c r="M86" s="776"/>
      <c r="N86" s="776"/>
      <c r="O86" s="776"/>
      <c r="P86" s="776"/>
      <c r="Q86" s="776"/>
      <c r="R86" s="776"/>
      <c r="S86" s="776"/>
      <c r="T86" s="776"/>
      <c r="U86" s="776"/>
      <c r="V86" s="776"/>
      <c r="W86" s="10"/>
      <c r="X86" s="10"/>
      <c r="Y86" s="10"/>
      <c r="Z86" s="10"/>
      <c r="AA86" s="10"/>
      <c r="AB86" s="10"/>
      <c r="AC86" s="10"/>
      <c r="AD86" s="10"/>
      <c r="AE86" s="10"/>
      <c r="AF86" s="10"/>
      <c r="AG86" s="10"/>
      <c r="AH86" s="10"/>
      <c r="AI86" s="10"/>
      <c r="AJ86" s="10"/>
      <c r="AK86" s="10"/>
    </row>
    <row r="87" spans="2:37">
      <c r="B87" s="788"/>
      <c r="C87" s="788"/>
      <c r="D87" s="776"/>
      <c r="E87" s="52"/>
      <c r="F87" s="776"/>
      <c r="G87" s="776"/>
      <c r="H87" s="776"/>
      <c r="I87" s="776"/>
      <c r="J87" s="776"/>
      <c r="K87" s="776"/>
      <c r="L87" s="776"/>
      <c r="M87" s="776"/>
      <c r="N87" s="776"/>
      <c r="O87" s="776"/>
      <c r="P87" s="776"/>
      <c r="Q87" s="776"/>
      <c r="R87" s="776"/>
      <c r="S87" s="776"/>
      <c r="T87" s="776"/>
      <c r="U87" s="776"/>
      <c r="V87" s="776"/>
      <c r="W87" s="10"/>
      <c r="X87" s="10"/>
      <c r="Y87" s="10"/>
      <c r="Z87" s="10"/>
      <c r="AA87" s="10"/>
      <c r="AB87" s="10"/>
      <c r="AC87" s="10"/>
      <c r="AD87" s="10"/>
      <c r="AE87" s="10"/>
      <c r="AF87" s="10"/>
      <c r="AG87" s="10"/>
      <c r="AH87" s="10"/>
      <c r="AI87" s="10"/>
      <c r="AJ87" s="10"/>
      <c r="AK87" s="10"/>
    </row>
    <row r="88" spans="2:37">
      <c r="B88" s="788"/>
      <c r="C88" s="788"/>
      <c r="D88" s="776"/>
      <c r="E88" s="52"/>
      <c r="F88" s="776"/>
      <c r="G88" s="776"/>
      <c r="H88" s="776"/>
      <c r="I88" s="776"/>
      <c r="J88" s="776"/>
      <c r="K88" s="776"/>
      <c r="L88" s="776"/>
      <c r="M88" s="776"/>
      <c r="N88" s="776"/>
      <c r="O88" s="776"/>
      <c r="P88" s="776"/>
      <c r="Q88" s="776"/>
      <c r="R88" s="776"/>
      <c r="S88" s="776"/>
      <c r="T88" s="776"/>
      <c r="U88" s="776"/>
      <c r="V88" s="776"/>
      <c r="W88" s="10"/>
      <c r="X88" s="10"/>
      <c r="Y88" s="10"/>
      <c r="Z88" s="10"/>
      <c r="AA88" s="10"/>
      <c r="AB88" s="10"/>
      <c r="AC88" s="10"/>
      <c r="AD88" s="10"/>
      <c r="AE88" s="10"/>
      <c r="AF88" s="10"/>
      <c r="AG88" s="10"/>
      <c r="AH88" s="10"/>
      <c r="AI88" s="10"/>
      <c r="AJ88" s="10"/>
      <c r="AK88" s="10"/>
    </row>
    <row r="89" spans="2:37">
      <c r="B89" s="788"/>
      <c r="C89" s="788"/>
      <c r="D89" s="776"/>
      <c r="E89" s="52"/>
      <c r="F89" s="776"/>
      <c r="G89" s="776"/>
      <c r="H89" s="776"/>
      <c r="I89" s="776"/>
      <c r="J89" s="776"/>
      <c r="K89" s="776"/>
      <c r="L89" s="776"/>
      <c r="M89" s="776"/>
      <c r="N89" s="776"/>
      <c r="O89" s="776"/>
      <c r="P89" s="776"/>
      <c r="Q89" s="776"/>
      <c r="R89" s="776"/>
      <c r="S89" s="776"/>
      <c r="T89" s="776"/>
      <c r="U89" s="776"/>
      <c r="V89" s="776"/>
      <c r="W89" s="10"/>
      <c r="X89" s="10"/>
      <c r="Y89" s="10"/>
      <c r="Z89" s="10"/>
      <c r="AA89" s="10"/>
      <c r="AB89" s="10"/>
      <c r="AC89" s="10"/>
      <c r="AD89" s="10"/>
      <c r="AE89" s="10"/>
      <c r="AF89" s="10"/>
      <c r="AG89" s="10"/>
      <c r="AH89" s="10"/>
      <c r="AI89" s="10"/>
      <c r="AJ89" s="10"/>
      <c r="AK89" s="10"/>
    </row>
    <row r="90" spans="2:37">
      <c r="B90" s="788"/>
      <c r="C90" s="788"/>
      <c r="D90" s="776"/>
      <c r="E90" s="52"/>
      <c r="F90" s="776"/>
      <c r="G90" s="776"/>
      <c r="H90" s="776"/>
      <c r="I90" s="776"/>
      <c r="J90" s="776"/>
      <c r="K90" s="776"/>
      <c r="L90" s="776"/>
      <c r="M90" s="776"/>
      <c r="N90" s="776"/>
      <c r="O90" s="776"/>
      <c r="P90" s="776"/>
      <c r="Q90" s="776"/>
      <c r="R90" s="776"/>
      <c r="S90" s="776"/>
      <c r="T90" s="776"/>
      <c r="U90" s="776"/>
      <c r="V90" s="776"/>
      <c r="W90" s="10"/>
      <c r="X90" s="10"/>
      <c r="Y90" s="10"/>
      <c r="Z90" s="10"/>
      <c r="AA90" s="10"/>
      <c r="AB90" s="10"/>
      <c r="AC90" s="10"/>
      <c r="AD90" s="10"/>
      <c r="AE90" s="10"/>
      <c r="AF90" s="10"/>
      <c r="AG90" s="10"/>
      <c r="AH90" s="10"/>
      <c r="AI90" s="10"/>
      <c r="AJ90" s="10"/>
      <c r="AK90" s="10"/>
    </row>
    <row r="91" spans="2:37">
      <c r="B91" s="788"/>
      <c r="C91" s="788"/>
      <c r="D91" s="776"/>
      <c r="E91" s="52"/>
      <c r="F91" s="776"/>
      <c r="G91" s="776"/>
      <c r="H91" s="776"/>
      <c r="I91" s="776"/>
      <c r="J91" s="776"/>
      <c r="K91" s="776"/>
      <c r="L91" s="776"/>
      <c r="M91" s="776"/>
      <c r="N91" s="776"/>
      <c r="O91" s="776"/>
      <c r="P91" s="776"/>
      <c r="Q91" s="776"/>
      <c r="R91" s="776"/>
      <c r="S91" s="776"/>
      <c r="T91" s="776"/>
      <c r="U91" s="776"/>
      <c r="V91" s="776"/>
      <c r="W91" s="10"/>
      <c r="X91" s="10"/>
      <c r="Y91" s="10"/>
      <c r="Z91" s="10"/>
      <c r="AA91" s="10"/>
      <c r="AB91" s="10"/>
      <c r="AC91" s="10"/>
      <c r="AD91" s="10"/>
      <c r="AE91" s="10"/>
      <c r="AF91" s="10"/>
      <c r="AG91" s="10"/>
      <c r="AH91" s="10"/>
      <c r="AI91" s="10"/>
      <c r="AJ91" s="10"/>
      <c r="AK91" s="10"/>
    </row>
    <row r="92" spans="2:37">
      <c r="B92" s="788"/>
      <c r="C92" s="788"/>
      <c r="D92" s="776"/>
      <c r="E92" s="52"/>
      <c r="F92" s="776"/>
      <c r="G92" s="776"/>
      <c r="H92" s="776"/>
      <c r="I92" s="776"/>
      <c r="J92" s="776"/>
      <c r="K92" s="776"/>
      <c r="L92" s="776"/>
      <c r="M92" s="776"/>
      <c r="N92" s="776"/>
      <c r="O92" s="776"/>
      <c r="P92" s="776"/>
      <c r="Q92" s="776"/>
      <c r="R92" s="776"/>
      <c r="S92" s="776"/>
      <c r="T92" s="776"/>
      <c r="U92" s="776"/>
      <c r="V92" s="776"/>
      <c r="W92" s="10"/>
      <c r="X92" s="10"/>
      <c r="Y92" s="10"/>
      <c r="Z92" s="10"/>
      <c r="AA92" s="10"/>
      <c r="AB92" s="10"/>
      <c r="AC92" s="10"/>
      <c r="AD92" s="10"/>
      <c r="AE92" s="10"/>
      <c r="AF92" s="10"/>
      <c r="AG92" s="10"/>
      <c r="AH92" s="10"/>
      <c r="AI92" s="10"/>
      <c r="AJ92" s="10"/>
      <c r="AK92" s="10"/>
    </row>
    <row r="93" spans="2:37">
      <c r="B93" s="788"/>
      <c r="C93" s="788"/>
      <c r="D93" s="776"/>
      <c r="E93" s="52"/>
      <c r="F93" s="776"/>
      <c r="G93" s="776"/>
      <c r="H93" s="776"/>
      <c r="I93" s="776"/>
      <c r="J93" s="776"/>
      <c r="K93" s="776"/>
      <c r="L93" s="776"/>
      <c r="M93" s="776"/>
      <c r="N93" s="776"/>
      <c r="O93" s="776"/>
      <c r="P93" s="776"/>
      <c r="Q93" s="776"/>
      <c r="R93" s="776"/>
      <c r="S93" s="776"/>
      <c r="T93" s="776"/>
      <c r="U93" s="776"/>
      <c r="V93" s="776"/>
      <c r="W93" s="10"/>
      <c r="X93" s="10"/>
      <c r="Y93" s="10"/>
      <c r="Z93" s="10"/>
      <c r="AA93" s="10"/>
      <c r="AB93" s="10"/>
      <c r="AC93" s="10"/>
      <c r="AD93" s="10"/>
      <c r="AE93" s="10"/>
      <c r="AF93" s="10"/>
      <c r="AG93" s="10"/>
      <c r="AH93" s="10"/>
      <c r="AI93" s="10"/>
      <c r="AJ93" s="10"/>
      <c r="AK93" s="10"/>
    </row>
    <row r="94" spans="2:37">
      <c r="B94" s="788"/>
      <c r="C94" s="788"/>
      <c r="D94" s="776"/>
      <c r="E94" s="52"/>
      <c r="F94" s="776"/>
      <c r="G94" s="776"/>
      <c r="H94" s="776"/>
      <c r="I94" s="776"/>
      <c r="J94" s="776"/>
      <c r="K94" s="776"/>
      <c r="L94" s="776"/>
      <c r="M94" s="776"/>
      <c r="N94" s="776"/>
      <c r="O94" s="776"/>
      <c r="P94" s="776"/>
      <c r="Q94" s="776"/>
      <c r="R94" s="776"/>
      <c r="S94" s="776"/>
      <c r="T94" s="776"/>
      <c r="U94" s="776"/>
      <c r="V94" s="776"/>
      <c r="W94" s="10"/>
      <c r="X94" s="10"/>
      <c r="Y94" s="10"/>
      <c r="Z94" s="10"/>
      <c r="AA94" s="10"/>
      <c r="AB94" s="10"/>
      <c r="AC94" s="10"/>
      <c r="AD94" s="10"/>
      <c r="AE94" s="10"/>
      <c r="AF94" s="10"/>
      <c r="AG94" s="10"/>
      <c r="AH94" s="10"/>
      <c r="AI94" s="10"/>
      <c r="AJ94" s="10"/>
      <c r="AK94" s="10"/>
    </row>
    <row r="95" spans="2:37">
      <c r="B95" s="788"/>
      <c r="C95" s="788"/>
      <c r="D95" s="776"/>
      <c r="E95" s="52"/>
      <c r="F95" s="776"/>
      <c r="G95" s="776"/>
      <c r="H95" s="776"/>
      <c r="I95" s="776"/>
      <c r="J95" s="776"/>
      <c r="K95" s="776"/>
      <c r="L95" s="776"/>
      <c r="M95" s="776"/>
      <c r="N95" s="776"/>
      <c r="O95" s="776"/>
      <c r="P95" s="776"/>
      <c r="Q95" s="776"/>
      <c r="R95" s="776"/>
      <c r="S95" s="776"/>
      <c r="T95" s="776"/>
      <c r="U95" s="776"/>
      <c r="V95" s="776"/>
      <c r="W95" s="10"/>
      <c r="X95" s="10"/>
      <c r="Y95" s="10"/>
      <c r="Z95" s="10"/>
      <c r="AA95" s="10"/>
      <c r="AB95" s="10"/>
      <c r="AC95" s="10"/>
      <c r="AD95" s="10"/>
      <c r="AE95" s="10"/>
      <c r="AF95" s="10"/>
      <c r="AG95" s="10"/>
      <c r="AH95" s="10"/>
      <c r="AI95" s="10"/>
      <c r="AJ95" s="10"/>
      <c r="AK95" s="10"/>
    </row>
    <row r="96" spans="2:37">
      <c r="B96" s="788"/>
      <c r="C96" s="788"/>
      <c r="D96" s="776"/>
      <c r="E96" s="52"/>
      <c r="F96" s="776"/>
      <c r="G96" s="776"/>
      <c r="H96" s="776"/>
      <c r="I96" s="776"/>
      <c r="J96" s="776"/>
      <c r="K96" s="776"/>
      <c r="L96" s="776"/>
      <c r="M96" s="776"/>
      <c r="N96" s="776"/>
      <c r="O96" s="776"/>
      <c r="P96" s="776"/>
      <c r="Q96" s="776"/>
      <c r="R96" s="776"/>
      <c r="S96" s="776"/>
      <c r="T96" s="776"/>
      <c r="U96" s="776"/>
      <c r="V96" s="776"/>
      <c r="W96" s="10"/>
      <c r="X96" s="10"/>
      <c r="Y96" s="10"/>
      <c r="Z96" s="10"/>
      <c r="AA96" s="10"/>
      <c r="AB96" s="10"/>
      <c r="AC96" s="10"/>
      <c r="AD96" s="10"/>
      <c r="AE96" s="10"/>
      <c r="AF96" s="10"/>
      <c r="AG96" s="10"/>
      <c r="AH96" s="10"/>
      <c r="AI96" s="10"/>
      <c r="AJ96" s="10"/>
      <c r="AK96" s="10"/>
    </row>
    <row r="97" spans="2:37">
      <c r="B97" s="788"/>
      <c r="C97" s="788"/>
      <c r="D97" s="776"/>
      <c r="E97" s="52"/>
      <c r="F97" s="776"/>
      <c r="G97" s="776"/>
      <c r="H97" s="776"/>
      <c r="I97" s="776"/>
      <c r="J97" s="776"/>
      <c r="K97" s="776"/>
      <c r="L97" s="776"/>
      <c r="M97" s="776"/>
      <c r="N97" s="776"/>
      <c r="O97" s="776"/>
      <c r="P97" s="776"/>
      <c r="Q97" s="776"/>
      <c r="R97" s="776"/>
      <c r="S97" s="776"/>
      <c r="T97" s="776"/>
      <c r="U97" s="776"/>
      <c r="V97" s="776"/>
      <c r="W97" s="10"/>
      <c r="X97" s="10"/>
      <c r="Y97" s="10"/>
      <c r="Z97" s="10"/>
      <c r="AA97" s="10"/>
      <c r="AB97" s="10"/>
      <c r="AC97" s="10"/>
      <c r="AD97" s="10"/>
      <c r="AE97" s="10"/>
      <c r="AF97" s="10"/>
      <c r="AG97" s="10"/>
      <c r="AH97" s="10"/>
      <c r="AI97" s="10"/>
      <c r="AJ97" s="10"/>
      <c r="AK97" s="10"/>
    </row>
    <row r="98" spans="2:37">
      <c r="B98" s="788"/>
      <c r="C98" s="788"/>
      <c r="D98" s="776"/>
      <c r="E98" s="52"/>
      <c r="F98" s="776"/>
      <c r="G98" s="776"/>
      <c r="H98" s="776"/>
      <c r="I98" s="776"/>
      <c r="J98" s="776"/>
      <c r="K98" s="776"/>
      <c r="L98" s="776"/>
      <c r="M98" s="776"/>
      <c r="N98" s="776"/>
      <c r="O98" s="776"/>
      <c r="P98" s="776"/>
      <c r="Q98" s="776"/>
      <c r="R98" s="776"/>
      <c r="S98" s="776"/>
      <c r="T98" s="776"/>
      <c r="U98" s="776"/>
      <c r="V98" s="776"/>
      <c r="W98" s="10"/>
      <c r="X98" s="10"/>
      <c r="Y98" s="10"/>
      <c r="Z98" s="10"/>
      <c r="AA98" s="10"/>
      <c r="AB98" s="10"/>
      <c r="AC98" s="10"/>
      <c r="AD98" s="10"/>
      <c r="AE98" s="10"/>
      <c r="AF98" s="10"/>
      <c r="AG98" s="10"/>
      <c r="AH98" s="10"/>
      <c r="AI98" s="10"/>
      <c r="AJ98" s="10"/>
      <c r="AK98" s="10"/>
    </row>
    <row r="99" spans="2:37">
      <c r="B99" s="788"/>
      <c r="C99" s="788"/>
      <c r="D99" s="776"/>
      <c r="E99" s="52"/>
      <c r="F99" s="776"/>
      <c r="G99" s="776"/>
      <c r="H99" s="776"/>
      <c r="I99" s="776"/>
      <c r="J99" s="776"/>
      <c r="K99" s="776"/>
      <c r="L99" s="776"/>
      <c r="M99" s="776"/>
      <c r="N99" s="776"/>
      <c r="O99" s="776"/>
      <c r="P99" s="776"/>
      <c r="Q99" s="776"/>
      <c r="R99" s="776"/>
      <c r="S99" s="776"/>
      <c r="T99" s="776"/>
      <c r="U99" s="776"/>
      <c r="V99" s="776"/>
      <c r="W99" s="10"/>
      <c r="X99" s="10"/>
      <c r="Y99" s="10"/>
      <c r="Z99" s="10"/>
      <c r="AA99" s="10"/>
      <c r="AB99" s="10"/>
      <c r="AC99" s="10"/>
      <c r="AD99" s="10"/>
      <c r="AE99" s="10"/>
      <c r="AF99" s="10"/>
      <c r="AG99" s="10"/>
      <c r="AH99" s="10"/>
      <c r="AI99" s="10"/>
      <c r="AJ99" s="10"/>
      <c r="AK99" s="10"/>
    </row>
    <row r="100" spans="2:37">
      <c r="B100" s="788"/>
      <c r="C100" s="788"/>
      <c r="D100" s="776"/>
      <c r="E100" s="52"/>
      <c r="F100" s="776"/>
      <c r="G100" s="776"/>
      <c r="H100" s="776"/>
      <c r="I100" s="776"/>
      <c r="J100" s="776"/>
      <c r="K100" s="776"/>
      <c r="L100" s="776"/>
      <c r="M100" s="776"/>
      <c r="N100" s="776"/>
      <c r="O100" s="776"/>
      <c r="P100" s="776"/>
      <c r="Q100" s="776"/>
      <c r="R100" s="776"/>
      <c r="S100" s="776"/>
      <c r="T100" s="776"/>
      <c r="U100" s="776"/>
      <c r="V100" s="776"/>
      <c r="W100" s="10"/>
      <c r="X100" s="10"/>
      <c r="Y100" s="10"/>
      <c r="Z100" s="10"/>
      <c r="AA100" s="10"/>
      <c r="AB100" s="10"/>
      <c r="AC100" s="10"/>
      <c r="AD100" s="10"/>
      <c r="AE100" s="10"/>
      <c r="AF100" s="10"/>
      <c r="AG100" s="10"/>
      <c r="AH100" s="10"/>
      <c r="AI100" s="10"/>
      <c r="AJ100" s="10"/>
      <c r="AK100" s="10"/>
    </row>
    <row r="101" spans="2:37">
      <c r="B101" s="788"/>
      <c r="C101" s="788"/>
      <c r="D101" s="776"/>
      <c r="E101" s="52"/>
      <c r="F101" s="776"/>
      <c r="G101" s="776"/>
      <c r="H101" s="776"/>
      <c r="I101" s="776"/>
      <c r="J101" s="776"/>
      <c r="K101" s="776"/>
      <c r="L101" s="776"/>
      <c r="M101" s="776"/>
      <c r="N101" s="776"/>
      <c r="O101" s="776"/>
      <c r="P101" s="776"/>
      <c r="Q101" s="776"/>
      <c r="R101" s="776"/>
      <c r="S101" s="776"/>
      <c r="T101" s="776"/>
      <c r="U101" s="776"/>
      <c r="V101" s="776"/>
      <c r="W101" s="10"/>
      <c r="X101" s="10"/>
      <c r="Y101" s="10"/>
      <c r="Z101" s="10"/>
      <c r="AA101" s="10"/>
      <c r="AB101" s="10"/>
      <c r="AC101" s="10"/>
      <c r="AD101" s="10"/>
      <c r="AE101" s="10"/>
      <c r="AF101" s="10"/>
      <c r="AG101" s="10"/>
      <c r="AH101" s="10"/>
      <c r="AI101" s="10"/>
      <c r="AJ101" s="10"/>
      <c r="AK101" s="10"/>
    </row>
    <row r="102" spans="2:37">
      <c r="B102" s="788"/>
      <c r="C102" s="788"/>
      <c r="D102" s="776"/>
      <c r="E102" s="52"/>
      <c r="F102" s="776"/>
      <c r="G102" s="776"/>
      <c r="H102" s="776"/>
      <c r="I102" s="776"/>
      <c r="J102" s="776"/>
      <c r="K102" s="776"/>
      <c r="L102" s="776"/>
      <c r="M102" s="776"/>
      <c r="N102" s="776"/>
      <c r="O102" s="776"/>
      <c r="P102" s="776"/>
      <c r="Q102" s="776"/>
      <c r="R102" s="776"/>
      <c r="S102" s="776"/>
      <c r="T102" s="776"/>
      <c r="U102" s="776"/>
      <c r="V102" s="776"/>
      <c r="W102" s="10"/>
      <c r="X102" s="10"/>
      <c r="Y102" s="10"/>
      <c r="Z102" s="10"/>
      <c r="AA102" s="10"/>
      <c r="AB102" s="10"/>
      <c r="AC102" s="10"/>
      <c r="AD102" s="10"/>
      <c r="AE102" s="10"/>
      <c r="AF102" s="10"/>
      <c r="AG102" s="10"/>
      <c r="AH102" s="10"/>
      <c r="AI102" s="10"/>
      <c r="AJ102" s="10"/>
      <c r="AK102" s="10"/>
    </row>
    <row r="103" spans="2:37">
      <c r="B103" s="788"/>
      <c r="C103" s="788"/>
      <c r="D103" s="776"/>
      <c r="E103" s="52"/>
      <c r="F103" s="776"/>
      <c r="G103" s="776"/>
      <c r="H103" s="776"/>
      <c r="I103" s="776"/>
      <c r="J103" s="776"/>
      <c r="K103" s="776"/>
      <c r="L103" s="776"/>
      <c r="M103" s="776"/>
      <c r="N103" s="776"/>
      <c r="O103" s="776"/>
      <c r="P103" s="776"/>
      <c r="Q103" s="776"/>
      <c r="R103" s="776"/>
      <c r="S103" s="776"/>
      <c r="T103" s="776"/>
      <c r="U103" s="776"/>
      <c r="V103" s="776"/>
      <c r="W103" s="10"/>
      <c r="X103" s="10"/>
      <c r="Y103" s="10"/>
      <c r="Z103" s="10"/>
      <c r="AA103" s="10"/>
      <c r="AB103" s="10"/>
      <c r="AC103" s="10"/>
      <c r="AD103" s="10"/>
      <c r="AE103" s="10"/>
      <c r="AF103" s="10"/>
      <c r="AG103" s="10"/>
      <c r="AH103" s="10"/>
      <c r="AI103" s="10"/>
      <c r="AJ103" s="10"/>
      <c r="AK103" s="10"/>
    </row>
    <row r="104" spans="2:37">
      <c r="B104" s="788"/>
      <c r="C104" s="788"/>
      <c r="D104" s="776"/>
      <c r="E104" s="52"/>
      <c r="F104" s="776"/>
      <c r="G104" s="776"/>
      <c r="H104" s="776"/>
      <c r="I104" s="776"/>
      <c r="J104" s="776"/>
      <c r="K104" s="776"/>
      <c r="L104" s="776"/>
      <c r="M104" s="776"/>
      <c r="N104" s="776"/>
      <c r="O104" s="776"/>
      <c r="P104" s="776"/>
      <c r="Q104" s="776"/>
      <c r="R104" s="776"/>
      <c r="S104" s="776"/>
      <c r="T104" s="776"/>
      <c r="U104" s="776"/>
      <c r="V104" s="776"/>
      <c r="W104" s="10"/>
      <c r="X104" s="10"/>
      <c r="Y104" s="10"/>
      <c r="Z104" s="10"/>
      <c r="AA104" s="10"/>
      <c r="AB104" s="10"/>
      <c r="AC104" s="10"/>
      <c r="AD104" s="10"/>
      <c r="AE104" s="10"/>
      <c r="AF104" s="10"/>
      <c r="AG104" s="10"/>
      <c r="AH104" s="10"/>
      <c r="AI104" s="10"/>
      <c r="AJ104" s="10"/>
      <c r="AK104" s="10"/>
    </row>
    <row r="105" spans="2:37">
      <c r="B105" s="788"/>
      <c r="C105" s="788"/>
      <c r="D105" s="776"/>
      <c r="E105" s="52"/>
      <c r="F105" s="776"/>
      <c r="G105" s="776"/>
      <c r="H105" s="776"/>
      <c r="I105" s="776"/>
      <c r="J105" s="776"/>
      <c r="K105" s="776"/>
      <c r="L105" s="776"/>
      <c r="M105" s="776"/>
      <c r="N105" s="776"/>
      <c r="O105" s="776"/>
      <c r="P105" s="776"/>
      <c r="Q105" s="776"/>
      <c r="R105" s="776"/>
      <c r="S105" s="776"/>
      <c r="T105" s="776"/>
      <c r="U105" s="776"/>
      <c r="V105" s="776"/>
      <c r="W105" s="10"/>
      <c r="X105" s="10"/>
      <c r="Y105" s="10"/>
      <c r="Z105" s="10"/>
      <c r="AA105" s="10"/>
      <c r="AB105" s="10"/>
      <c r="AC105" s="10"/>
      <c r="AD105" s="10"/>
      <c r="AE105" s="10"/>
      <c r="AF105" s="10"/>
      <c r="AG105" s="10"/>
      <c r="AH105" s="10"/>
      <c r="AI105" s="10"/>
      <c r="AJ105" s="10"/>
      <c r="AK105" s="10"/>
    </row>
    <row r="106" spans="2:37">
      <c r="B106" s="788"/>
      <c r="C106" s="788"/>
      <c r="D106" s="776"/>
      <c r="E106" s="52"/>
      <c r="F106" s="776"/>
      <c r="G106" s="776"/>
      <c r="H106" s="776"/>
      <c r="I106" s="776"/>
      <c r="J106" s="776"/>
      <c r="K106" s="776"/>
      <c r="L106" s="776"/>
      <c r="M106" s="776"/>
      <c r="N106" s="776"/>
      <c r="O106" s="776"/>
      <c r="P106" s="776"/>
      <c r="Q106" s="776"/>
      <c r="R106" s="776"/>
      <c r="S106" s="776"/>
      <c r="T106" s="776"/>
      <c r="U106" s="776"/>
      <c r="V106" s="776"/>
      <c r="W106" s="10"/>
      <c r="X106" s="10"/>
      <c r="Y106" s="10"/>
      <c r="Z106" s="10"/>
      <c r="AA106" s="10"/>
      <c r="AB106" s="10"/>
      <c r="AC106" s="10"/>
      <c r="AD106" s="10"/>
      <c r="AE106" s="10"/>
      <c r="AF106" s="10"/>
      <c r="AG106" s="10"/>
      <c r="AH106" s="10"/>
      <c r="AI106" s="10"/>
      <c r="AJ106" s="10"/>
      <c r="AK106" s="10"/>
    </row>
    <row r="107" spans="2:37">
      <c r="B107" s="788"/>
      <c r="C107" s="788"/>
      <c r="D107" s="776"/>
      <c r="E107" s="52"/>
      <c r="F107" s="776"/>
      <c r="G107" s="776"/>
      <c r="H107" s="776"/>
      <c r="I107" s="776"/>
      <c r="J107" s="776"/>
      <c r="K107" s="776"/>
      <c r="L107" s="776"/>
      <c r="M107" s="776"/>
      <c r="N107" s="776"/>
      <c r="O107" s="776"/>
      <c r="P107" s="776"/>
      <c r="Q107" s="776"/>
      <c r="R107" s="776"/>
      <c r="S107" s="776"/>
      <c r="T107" s="776"/>
      <c r="U107" s="776"/>
      <c r="V107" s="776"/>
      <c r="W107" s="10"/>
      <c r="X107" s="10"/>
      <c r="Y107" s="10"/>
      <c r="Z107" s="10"/>
      <c r="AA107" s="10"/>
      <c r="AB107" s="10"/>
      <c r="AC107" s="10"/>
      <c r="AD107" s="10"/>
      <c r="AE107" s="10"/>
      <c r="AF107" s="10"/>
      <c r="AG107" s="10"/>
      <c r="AH107" s="10"/>
      <c r="AI107" s="10"/>
      <c r="AJ107" s="10"/>
      <c r="AK107" s="10"/>
    </row>
    <row r="108" spans="2:37">
      <c r="B108" s="788"/>
      <c r="C108" s="788"/>
      <c r="D108" s="776"/>
      <c r="E108" s="52"/>
      <c r="F108" s="776"/>
      <c r="G108" s="776"/>
      <c r="H108" s="776"/>
      <c r="I108" s="776"/>
      <c r="J108" s="776"/>
      <c r="K108" s="776"/>
      <c r="L108" s="776"/>
      <c r="M108" s="776"/>
      <c r="N108" s="776"/>
      <c r="O108" s="776"/>
      <c r="P108" s="776"/>
      <c r="Q108" s="776"/>
      <c r="R108" s="776"/>
      <c r="S108" s="776"/>
      <c r="T108" s="776"/>
      <c r="U108" s="776"/>
      <c r="V108" s="776"/>
      <c r="W108" s="10"/>
      <c r="X108" s="10"/>
      <c r="Y108" s="10"/>
      <c r="Z108" s="10"/>
      <c r="AA108" s="10"/>
      <c r="AB108" s="10"/>
      <c r="AC108" s="10"/>
      <c r="AD108" s="10"/>
      <c r="AE108" s="10"/>
      <c r="AF108" s="10"/>
      <c r="AG108" s="10"/>
      <c r="AH108" s="10"/>
      <c r="AI108" s="10"/>
      <c r="AJ108" s="10"/>
      <c r="AK108" s="10"/>
    </row>
    <row r="109" spans="2:37">
      <c r="B109" s="788"/>
      <c r="C109" s="788"/>
      <c r="D109" s="776"/>
      <c r="E109" s="52"/>
      <c r="F109" s="776"/>
      <c r="G109" s="776"/>
      <c r="H109" s="776"/>
      <c r="I109" s="776"/>
      <c r="J109" s="776"/>
      <c r="K109" s="776"/>
      <c r="L109" s="776"/>
      <c r="M109" s="776"/>
      <c r="N109" s="776"/>
      <c r="O109" s="776"/>
      <c r="P109" s="776"/>
      <c r="Q109" s="776"/>
      <c r="R109" s="776"/>
      <c r="S109" s="776"/>
      <c r="T109" s="776"/>
      <c r="U109" s="776"/>
      <c r="V109" s="776"/>
      <c r="W109" s="10"/>
      <c r="X109" s="10"/>
      <c r="Y109" s="10"/>
      <c r="Z109" s="10"/>
      <c r="AA109" s="10"/>
      <c r="AB109" s="10"/>
      <c r="AC109" s="10"/>
      <c r="AD109" s="10"/>
      <c r="AE109" s="10"/>
      <c r="AF109" s="10"/>
      <c r="AG109" s="10"/>
      <c r="AH109" s="10"/>
      <c r="AI109" s="10"/>
      <c r="AJ109" s="10"/>
      <c r="AK109" s="10"/>
    </row>
    <row r="110" spans="2:37">
      <c r="B110" s="788"/>
      <c r="C110" s="788"/>
      <c r="D110" s="776"/>
      <c r="E110" s="52"/>
      <c r="F110" s="776"/>
      <c r="G110" s="776"/>
      <c r="H110" s="776"/>
      <c r="I110" s="776"/>
      <c r="J110" s="776"/>
      <c r="K110" s="776"/>
      <c r="L110" s="776"/>
      <c r="M110" s="776"/>
      <c r="N110" s="776"/>
      <c r="O110" s="776"/>
      <c r="P110" s="776"/>
      <c r="Q110" s="776"/>
      <c r="R110" s="776"/>
      <c r="S110" s="776"/>
      <c r="T110" s="776"/>
      <c r="U110" s="776"/>
      <c r="V110" s="776"/>
      <c r="W110" s="10"/>
      <c r="X110" s="10"/>
      <c r="Y110" s="10"/>
      <c r="Z110" s="10"/>
      <c r="AA110" s="10"/>
      <c r="AB110" s="10"/>
      <c r="AC110" s="10"/>
      <c r="AD110" s="10"/>
      <c r="AE110" s="10"/>
      <c r="AF110" s="10"/>
      <c r="AG110" s="10"/>
      <c r="AH110" s="10"/>
      <c r="AI110" s="10"/>
      <c r="AJ110" s="10"/>
      <c r="AK110" s="10"/>
    </row>
    <row r="111" spans="2:37">
      <c r="B111" s="788"/>
      <c r="C111" s="788"/>
      <c r="D111" s="776"/>
      <c r="E111" s="52"/>
      <c r="F111" s="776"/>
      <c r="G111" s="776"/>
      <c r="H111" s="776"/>
      <c r="I111" s="776"/>
      <c r="J111" s="776"/>
      <c r="K111" s="776"/>
      <c r="L111" s="776"/>
      <c r="M111" s="776"/>
      <c r="N111" s="776"/>
      <c r="O111" s="776"/>
      <c r="P111" s="776"/>
      <c r="Q111" s="776"/>
      <c r="R111" s="776"/>
      <c r="S111" s="776"/>
      <c r="T111" s="776"/>
      <c r="U111" s="776"/>
      <c r="V111" s="776"/>
      <c r="W111" s="10"/>
      <c r="X111" s="10"/>
      <c r="Y111" s="10"/>
      <c r="Z111" s="10"/>
      <c r="AA111" s="10"/>
      <c r="AB111" s="10"/>
      <c r="AC111" s="10"/>
      <c r="AD111" s="10"/>
      <c r="AE111" s="10"/>
      <c r="AF111" s="10"/>
      <c r="AG111" s="10"/>
      <c r="AH111" s="10"/>
      <c r="AI111" s="10"/>
      <c r="AJ111" s="10"/>
      <c r="AK111" s="10"/>
    </row>
    <row r="112" spans="2:37">
      <c r="B112" s="788"/>
      <c r="C112" s="788"/>
      <c r="D112" s="776"/>
      <c r="E112" s="52"/>
      <c r="F112" s="776"/>
      <c r="G112" s="776"/>
      <c r="H112" s="776"/>
      <c r="I112" s="776"/>
      <c r="J112" s="776"/>
      <c r="K112" s="776"/>
      <c r="L112" s="776"/>
      <c r="M112" s="776"/>
      <c r="N112" s="776"/>
      <c r="O112" s="776"/>
      <c r="P112" s="776"/>
      <c r="Q112" s="776"/>
      <c r="R112" s="776"/>
      <c r="S112" s="776"/>
      <c r="T112" s="776"/>
      <c r="U112" s="776"/>
      <c r="V112" s="776"/>
      <c r="W112" s="10"/>
      <c r="X112" s="10"/>
      <c r="Y112" s="10"/>
      <c r="Z112" s="10"/>
      <c r="AA112" s="10"/>
      <c r="AB112" s="10"/>
      <c r="AC112" s="10"/>
      <c r="AD112" s="10"/>
      <c r="AE112" s="10"/>
      <c r="AF112" s="10"/>
      <c r="AG112" s="10"/>
      <c r="AH112" s="10"/>
      <c r="AI112" s="10"/>
      <c r="AJ112" s="10"/>
      <c r="AK112" s="10"/>
    </row>
    <row r="113" spans="2:37">
      <c r="B113" s="788"/>
      <c r="C113" s="788"/>
      <c r="D113" s="776"/>
      <c r="E113" s="52"/>
      <c r="F113" s="776"/>
      <c r="G113" s="776"/>
      <c r="H113" s="776"/>
      <c r="I113" s="776"/>
      <c r="J113" s="776"/>
      <c r="K113" s="776"/>
      <c r="L113" s="776"/>
      <c r="M113" s="776"/>
      <c r="N113" s="776"/>
      <c r="O113" s="776"/>
      <c r="P113" s="776"/>
      <c r="Q113" s="776"/>
      <c r="R113" s="776"/>
      <c r="S113" s="776"/>
      <c r="T113" s="776"/>
      <c r="U113" s="776"/>
      <c r="V113" s="776"/>
      <c r="W113" s="10"/>
      <c r="X113" s="10"/>
      <c r="Y113" s="10"/>
      <c r="Z113" s="10"/>
      <c r="AA113" s="10"/>
      <c r="AB113" s="10"/>
      <c r="AC113" s="10"/>
      <c r="AD113" s="10"/>
      <c r="AE113" s="10"/>
      <c r="AF113" s="10"/>
      <c r="AG113" s="10"/>
      <c r="AH113" s="10"/>
      <c r="AI113" s="10"/>
      <c r="AJ113" s="10"/>
      <c r="AK113" s="10"/>
    </row>
    <row r="114" spans="2:37">
      <c r="B114" s="788"/>
      <c r="C114" s="788"/>
      <c r="D114" s="776"/>
      <c r="E114" s="52"/>
      <c r="F114" s="776"/>
      <c r="G114" s="776"/>
      <c r="H114" s="776"/>
      <c r="I114" s="776"/>
      <c r="J114" s="776"/>
      <c r="K114" s="776"/>
      <c r="L114" s="776"/>
      <c r="M114" s="776"/>
      <c r="N114" s="776"/>
      <c r="O114" s="776"/>
      <c r="P114" s="776"/>
      <c r="Q114" s="776"/>
      <c r="R114" s="776"/>
      <c r="S114" s="776"/>
      <c r="T114" s="776"/>
      <c r="U114" s="776"/>
      <c r="V114" s="776"/>
      <c r="W114" s="10"/>
      <c r="X114" s="10"/>
      <c r="Y114" s="10"/>
      <c r="Z114" s="10"/>
      <c r="AA114" s="10"/>
      <c r="AB114" s="10"/>
      <c r="AC114" s="10"/>
      <c r="AD114" s="10"/>
      <c r="AE114" s="10"/>
      <c r="AF114" s="10"/>
      <c r="AG114" s="10"/>
      <c r="AH114" s="10"/>
      <c r="AI114" s="10"/>
      <c r="AJ114" s="10"/>
      <c r="AK114" s="10"/>
    </row>
    <row r="115" spans="2:37">
      <c r="B115" s="788"/>
      <c r="C115" s="788"/>
      <c r="D115" s="776"/>
      <c r="E115" s="52"/>
      <c r="F115" s="776"/>
      <c r="G115" s="776"/>
      <c r="H115" s="776"/>
      <c r="I115" s="776"/>
      <c r="J115" s="776"/>
      <c r="K115" s="776"/>
      <c r="L115" s="776"/>
      <c r="M115" s="776"/>
      <c r="N115" s="776"/>
      <c r="O115" s="776"/>
      <c r="P115" s="776"/>
      <c r="Q115" s="776"/>
      <c r="R115" s="776"/>
      <c r="S115" s="776"/>
      <c r="T115" s="776"/>
      <c r="U115" s="776"/>
      <c r="V115" s="776"/>
      <c r="W115" s="10"/>
      <c r="X115" s="10"/>
      <c r="Y115" s="10"/>
      <c r="Z115" s="10"/>
      <c r="AA115" s="10"/>
      <c r="AB115" s="10"/>
      <c r="AC115" s="10"/>
      <c r="AD115" s="10"/>
      <c r="AE115" s="10"/>
      <c r="AF115" s="10"/>
      <c r="AG115" s="10"/>
      <c r="AH115" s="10"/>
      <c r="AI115" s="10"/>
      <c r="AJ115" s="10"/>
      <c r="AK115" s="10"/>
    </row>
    <row r="116" spans="2:37">
      <c r="B116" s="788"/>
      <c r="C116" s="788"/>
      <c r="D116" s="776"/>
      <c r="E116" s="52"/>
      <c r="F116" s="776"/>
      <c r="G116" s="776"/>
      <c r="H116" s="776"/>
      <c r="I116" s="776"/>
      <c r="J116" s="776"/>
      <c r="K116" s="776"/>
      <c r="L116" s="776"/>
      <c r="M116" s="776"/>
      <c r="N116" s="776"/>
      <c r="O116" s="776"/>
      <c r="P116" s="776"/>
      <c r="Q116" s="776"/>
      <c r="R116" s="776"/>
      <c r="S116" s="776"/>
      <c r="T116" s="776"/>
      <c r="U116" s="776"/>
      <c r="V116" s="776"/>
      <c r="W116" s="10"/>
      <c r="X116" s="10"/>
      <c r="Y116" s="10"/>
      <c r="Z116" s="10"/>
      <c r="AA116" s="10"/>
      <c r="AB116" s="10"/>
      <c r="AC116" s="10"/>
      <c r="AD116" s="10"/>
      <c r="AE116" s="10"/>
      <c r="AF116" s="10"/>
      <c r="AG116" s="10"/>
      <c r="AH116" s="10"/>
      <c r="AI116" s="10"/>
      <c r="AJ116" s="10"/>
      <c r="AK116" s="10"/>
    </row>
    <row r="117" spans="2:37">
      <c r="B117" s="788"/>
      <c r="C117" s="788"/>
      <c r="D117" s="776"/>
      <c r="E117" s="52"/>
      <c r="F117" s="776"/>
      <c r="G117" s="776"/>
      <c r="H117" s="776"/>
      <c r="I117" s="776"/>
      <c r="J117" s="776"/>
      <c r="K117" s="776"/>
      <c r="L117" s="776"/>
      <c r="M117" s="776"/>
      <c r="N117" s="776"/>
      <c r="O117" s="776"/>
      <c r="P117" s="776"/>
      <c r="Q117" s="776"/>
      <c r="R117" s="776"/>
      <c r="S117" s="776"/>
      <c r="T117" s="776"/>
      <c r="U117" s="776"/>
      <c r="V117" s="776"/>
      <c r="W117" s="10"/>
      <c r="X117" s="10"/>
      <c r="Y117" s="10"/>
      <c r="Z117" s="10"/>
      <c r="AA117" s="10"/>
      <c r="AB117" s="10"/>
      <c r="AC117" s="10"/>
      <c r="AD117" s="10"/>
      <c r="AE117" s="10"/>
      <c r="AF117" s="10"/>
      <c r="AG117" s="10"/>
      <c r="AH117" s="10"/>
      <c r="AI117" s="10"/>
      <c r="AJ117" s="10"/>
      <c r="AK117" s="10"/>
    </row>
    <row r="118" spans="2:37">
      <c r="B118" s="788"/>
      <c r="C118" s="788"/>
      <c r="D118" s="776"/>
      <c r="E118" s="52"/>
      <c r="F118" s="776"/>
      <c r="G118" s="776"/>
      <c r="H118" s="776"/>
      <c r="I118" s="776"/>
      <c r="J118" s="776"/>
      <c r="K118" s="776"/>
      <c r="L118" s="776"/>
      <c r="M118" s="776"/>
      <c r="N118" s="776"/>
      <c r="O118" s="776"/>
      <c r="P118" s="776"/>
      <c r="Q118" s="776"/>
      <c r="R118" s="776"/>
      <c r="S118" s="776"/>
      <c r="T118" s="776"/>
      <c r="U118" s="776"/>
      <c r="V118" s="776"/>
      <c r="W118" s="10"/>
      <c r="X118" s="10"/>
      <c r="Y118" s="10"/>
      <c r="Z118" s="10"/>
      <c r="AA118" s="10"/>
      <c r="AB118" s="10"/>
      <c r="AC118" s="10"/>
      <c r="AD118" s="10"/>
      <c r="AE118" s="10"/>
      <c r="AF118" s="10"/>
      <c r="AG118" s="10"/>
      <c r="AH118" s="10"/>
      <c r="AI118" s="10"/>
      <c r="AJ118" s="10"/>
      <c r="AK118" s="10"/>
    </row>
    <row r="119" spans="2:37">
      <c r="B119" s="788"/>
      <c r="C119" s="788"/>
      <c r="D119" s="776"/>
      <c r="E119" s="52"/>
      <c r="F119" s="776"/>
      <c r="G119" s="776"/>
      <c r="H119" s="776"/>
      <c r="I119" s="776"/>
      <c r="J119" s="776"/>
      <c r="K119" s="776"/>
      <c r="L119" s="776"/>
      <c r="M119" s="776"/>
      <c r="N119" s="776"/>
      <c r="O119" s="776"/>
      <c r="P119" s="776"/>
      <c r="Q119" s="776"/>
      <c r="R119" s="776"/>
      <c r="S119" s="776"/>
      <c r="T119" s="776"/>
      <c r="U119" s="776"/>
      <c r="V119" s="776"/>
      <c r="W119" s="10"/>
      <c r="X119" s="10"/>
      <c r="Y119" s="10"/>
      <c r="Z119" s="10"/>
      <c r="AA119" s="10"/>
      <c r="AB119" s="10"/>
      <c r="AC119" s="10"/>
      <c r="AD119" s="10"/>
      <c r="AE119" s="10"/>
      <c r="AF119" s="10"/>
      <c r="AG119" s="10"/>
      <c r="AH119" s="10"/>
      <c r="AI119" s="10"/>
      <c r="AJ119" s="10"/>
      <c r="AK119" s="10"/>
    </row>
    <row r="120" spans="2:37">
      <c r="B120" s="788"/>
      <c r="C120" s="788"/>
      <c r="D120" s="776"/>
      <c r="E120" s="52"/>
      <c r="F120" s="776"/>
      <c r="G120" s="776"/>
      <c r="H120" s="776"/>
      <c r="I120" s="776"/>
      <c r="J120" s="776"/>
      <c r="K120" s="776"/>
      <c r="L120" s="776"/>
      <c r="M120" s="776"/>
      <c r="N120" s="776"/>
      <c r="O120" s="776"/>
      <c r="P120" s="776"/>
      <c r="Q120" s="776"/>
      <c r="R120" s="776"/>
      <c r="S120" s="776"/>
      <c r="T120" s="776"/>
      <c r="U120" s="776"/>
      <c r="V120" s="776"/>
      <c r="W120" s="10"/>
      <c r="X120" s="10"/>
      <c r="Y120" s="10"/>
      <c r="Z120" s="10"/>
      <c r="AA120" s="10"/>
      <c r="AB120" s="10"/>
      <c r="AC120" s="10"/>
      <c r="AD120" s="10"/>
      <c r="AE120" s="10"/>
      <c r="AF120" s="10"/>
      <c r="AG120" s="10"/>
      <c r="AH120" s="10"/>
      <c r="AI120" s="10"/>
      <c r="AJ120" s="10"/>
      <c r="AK120" s="10"/>
    </row>
    <row r="121" spans="2:37">
      <c r="B121" s="776"/>
      <c r="D121" s="776"/>
      <c r="E121" s="776"/>
      <c r="F121" s="776"/>
      <c r="G121" s="776"/>
      <c r="H121" s="776"/>
      <c r="I121" s="776"/>
      <c r="J121" s="776"/>
      <c r="K121" s="776"/>
      <c r="L121" s="776"/>
      <c r="M121" s="776"/>
      <c r="N121" s="776"/>
      <c r="O121" s="776"/>
      <c r="P121" s="776"/>
      <c r="Q121" s="776"/>
      <c r="R121" s="776"/>
      <c r="S121" s="776"/>
      <c r="T121" s="776"/>
      <c r="U121" s="776"/>
      <c r="V121" s="776"/>
      <c r="W121" s="10"/>
      <c r="X121" s="10"/>
      <c r="Y121" s="10"/>
      <c r="Z121" s="10"/>
      <c r="AA121" s="10"/>
      <c r="AB121" s="10"/>
      <c r="AC121" s="10"/>
      <c r="AD121" s="10"/>
      <c r="AE121" s="10"/>
      <c r="AF121" s="10"/>
      <c r="AG121" s="10"/>
      <c r="AH121" s="10"/>
      <c r="AI121" s="10"/>
      <c r="AJ121" s="10"/>
      <c r="AK121" s="10"/>
    </row>
    <row r="122" spans="2:37">
      <c r="B122" s="776"/>
      <c r="D122" s="776"/>
      <c r="E122" s="776"/>
      <c r="F122" s="776"/>
      <c r="G122" s="776"/>
      <c r="H122" s="776"/>
      <c r="I122" s="776"/>
      <c r="J122" s="776"/>
      <c r="K122" s="776"/>
      <c r="L122" s="776"/>
      <c r="M122" s="776"/>
      <c r="N122" s="776"/>
      <c r="O122" s="776"/>
      <c r="P122" s="776"/>
      <c r="Q122" s="776"/>
      <c r="R122" s="776"/>
      <c r="S122" s="776"/>
      <c r="T122" s="776"/>
      <c r="U122" s="776"/>
      <c r="V122" s="776"/>
      <c r="W122" s="10"/>
      <c r="X122" s="10"/>
      <c r="Y122" s="10"/>
      <c r="Z122" s="10"/>
      <c r="AA122" s="10"/>
      <c r="AB122" s="10"/>
      <c r="AC122" s="10"/>
      <c r="AD122" s="10"/>
      <c r="AE122" s="10"/>
      <c r="AF122" s="10"/>
      <c r="AG122" s="10"/>
      <c r="AH122" s="10"/>
      <c r="AI122" s="10"/>
      <c r="AJ122" s="10"/>
      <c r="AK122" s="10"/>
    </row>
    <row r="123" spans="2:37">
      <c r="B123" s="776"/>
      <c r="D123" s="776"/>
      <c r="E123" s="776"/>
      <c r="F123" s="776"/>
      <c r="G123" s="776"/>
      <c r="H123" s="776"/>
      <c r="I123" s="776"/>
      <c r="J123" s="776"/>
      <c r="K123" s="776"/>
      <c r="L123" s="776"/>
      <c r="M123" s="776"/>
      <c r="N123" s="776"/>
      <c r="O123" s="776"/>
      <c r="P123" s="776"/>
      <c r="Q123" s="776"/>
      <c r="R123" s="776"/>
      <c r="S123" s="776"/>
      <c r="T123" s="776"/>
      <c r="U123" s="776"/>
      <c r="V123" s="776"/>
      <c r="W123" s="10"/>
      <c r="X123" s="10"/>
      <c r="Y123" s="10"/>
      <c r="Z123" s="10"/>
      <c r="AA123" s="10"/>
      <c r="AB123" s="10"/>
      <c r="AC123" s="10"/>
      <c r="AD123" s="10"/>
      <c r="AE123" s="10"/>
      <c r="AF123" s="10"/>
      <c r="AG123" s="10"/>
      <c r="AH123" s="10"/>
      <c r="AI123" s="10"/>
      <c r="AJ123" s="10"/>
      <c r="AK123" s="10"/>
    </row>
    <row r="124" spans="2:37">
      <c r="B124" s="776"/>
      <c r="D124" s="776"/>
      <c r="E124" s="776"/>
      <c r="F124" s="776"/>
      <c r="G124" s="776"/>
      <c r="H124" s="776"/>
      <c r="I124" s="776"/>
      <c r="J124" s="776"/>
      <c r="K124" s="776"/>
      <c r="L124" s="776"/>
      <c r="M124" s="776"/>
      <c r="N124" s="776"/>
      <c r="O124" s="776"/>
      <c r="P124" s="776"/>
      <c r="Q124" s="776"/>
      <c r="R124" s="776"/>
      <c r="S124" s="776"/>
      <c r="T124" s="776"/>
      <c r="U124" s="776"/>
      <c r="V124" s="776"/>
      <c r="W124" s="10"/>
      <c r="X124" s="10"/>
      <c r="Y124" s="10"/>
      <c r="Z124" s="10"/>
      <c r="AA124" s="10"/>
      <c r="AB124" s="10"/>
      <c r="AC124" s="10"/>
      <c r="AD124" s="10"/>
      <c r="AE124" s="10"/>
      <c r="AF124" s="10"/>
      <c r="AG124" s="10"/>
      <c r="AH124" s="10"/>
      <c r="AI124" s="10"/>
      <c r="AJ124" s="10"/>
      <c r="AK124" s="10"/>
    </row>
    <row r="125" spans="2:37">
      <c r="B125" s="776"/>
      <c r="D125" s="776"/>
      <c r="E125" s="776"/>
      <c r="F125" s="776"/>
      <c r="G125" s="776"/>
      <c r="H125" s="776"/>
      <c r="I125" s="776"/>
      <c r="J125" s="776"/>
      <c r="K125" s="776"/>
      <c r="L125" s="776"/>
      <c r="M125" s="776"/>
      <c r="N125" s="776"/>
      <c r="O125" s="776"/>
      <c r="P125" s="776"/>
      <c r="Q125" s="776"/>
      <c r="R125" s="776"/>
      <c r="S125" s="776"/>
      <c r="T125" s="776"/>
      <c r="U125" s="776"/>
      <c r="V125" s="776"/>
      <c r="W125" s="10"/>
      <c r="X125" s="10"/>
      <c r="Y125" s="10"/>
      <c r="Z125" s="10"/>
      <c r="AA125" s="10"/>
      <c r="AB125" s="10"/>
      <c r="AC125" s="10"/>
      <c r="AD125" s="10"/>
      <c r="AE125" s="10"/>
      <c r="AF125" s="10"/>
      <c r="AG125" s="10"/>
      <c r="AH125" s="10"/>
      <c r="AI125" s="10"/>
      <c r="AJ125" s="10"/>
      <c r="AK125" s="10"/>
    </row>
    <row r="126" spans="2:37">
      <c r="B126" s="776"/>
      <c r="D126" s="776"/>
      <c r="E126" s="776"/>
      <c r="F126" s="776"/>
      <c r="G126" s="776"/>
      <c r="H126" s="776"/>
      <c r="I126" s="776"/>
      <c r="J126" s="776"/>
      <c r="K126" s="776"/>
      <c r="L126" s="776"/>
      <c r="M126" s="776"/>
      <c r="N126" s="776"/>
      <c r="O126" s="776"/>
      <c r="P126" s="776"/>
      <c r="Q126" s="776"/>
      <c r="R126" s="776"/>
      <c r="S126" s="776"/>
      <c r="T126" s="776"/>
      <c r="U126" s="776"/>
      <c r="V126" s="776"/>
      <c r="W126" s="10"/>
      <c r="X126" s="10"/>
      <c r="Y126" s="10"/>
      <c r="Z126" s="10"/>
      <c r="AA126" s="10"/>
      <c r="AB126" s="10"/>
      <c r="AC126" s="10"/>
      <c r="AD126" s="10"/>
      <c r="AE126" s="10"/>
      <c r="AF126" s="10"/>
      <c r="AG126" s="10"/>
      <c r="AH126" s="10"/>
      <c r="AI126" s="10"/>
      <c r="AJ126" s="10"/>
      <c r="AK126" s="10"/>
    </row>
    <row r="127" spans="2:37">
      <c r="B127" s="776"/>
      <c r="D127" s="776"/>
      <c r="E127" s="776"/>
      <c r="F127" s="776"/>
      <c r="G127" s="776"/>
      <c r="H127" s="776"/>
      <c r="I127" s="776"/>
      <c r="J127" s="776"/>
      <c r="K127" s="776"/>
      <c r="L127" s="776"/>
      <c r="M127" s="776"/>
      <c r="N127" s="776"/>
      <c r="O127" s="776"/>
      <c r="P127" s="776"/>
      <c r="Q127" s="776"/>
      <c r="R127" s="776"/>
      <c r="S127" s="776"/>
      <c r="T127" s="776"/>
      <c r="U127" s="776"/>
      <c r="V127" s="776"/>
      <c r="W127" s="10"/>
      <c r="X127" s="10"/>
      <c r="Y127" s="10"/>
      <c r="Z127" s="10"/>
      <c r="AA127" s="10"/>
      <c r="AB127" s="10"/>
      <c r="AC127" s="10"/>
      <c r="AD127" s="10"/>
      <c r="AE127" s="10"/>
      <c r="AF127" s="10"/>
      <c r="AG127" s="10"/>
      <c r="AH127" s="10"/>
      <c r="AI127" s="10"/>
      <c r="AJ127" s="10"/>
      <c r="AK127" s="10"/>
    </row>
    <row r="128" spans="2:37">
      <c r="B128" s="776"/>
      <c r="D128" s="776"/>
      <c r="E128" s="776"/>
      <c r="F128" s="776"/>
      <c r="G128" s="776"/>
      <c r="H128" s="776"/>
      <c r="I128" s="776"/>
      <c r="J128" s="776"/>
      <c r="K128" s="776"/>
      <c r="L128" s="776"/>
      <c r="M128" s="776"/>
      <c r="N128" s="776"/>
      <c r="O128" s="776"/>
      <c r="P128" s="776"/>
      <c r="Q128" s="776"/>
      <c r="R128" s="776"/>
      <c r="S128" s="776"/>
      <c r="T128" s="776"/>
      <c r="U128" s="776"/>
      <c r="V128" s="776"/>
      <c r="W128" s="10"/>
      <c r="X128" s="10"/>
      <c r="Y128" s="10"/>
      <c r="Z128" s="10"/>
      <c r="AA128" s="10"/>
      <c r="AB128" s="10"/>
      <c r="AC128" s="10"/>
      <c r="AD128" s="10"/>
      <c r="AE128" s="10"/>
      <c r="AF128" s="10"/>
      <c r="AG128" s="10"/>
      <c r="AH128" s="10"/>
      <c r="AI128" s="10"/>
      <c r="AJ128" s="10"/>
      <c r="AK128" s="10"/>
    </row>
  </sheetData>
  <customSheetViews>
    <customSheetView guid="{5826E3E6-173D-429F-ABE1-D868EE9E034B}" fitToPage="1" hiddenColumns="1" topLeftCell="A43">
      <selection activeCell="G59" sqref="G59"/>
      <pageMargins left="0" right="0" top="0" bottom="0" header="0" footer="0"/>
      <pageSetup paperSize="9" scale="62" orientation="landscape" horizontalDpi="1200" verticalDpi="1200" r:id="rId1"/>
    </customSheetView>
  </customSheetViews>
  <mergeCells count="53">
    <mergeCell ref="AB5:AC5"/>
    <mergeCell ref="AD5:AE5"/>
    <mergeCell ref="A1:D1"/>
    <mergeCell ref="F1:G1"/>
    <mergeCell ref="H1:J1"/>
    <mergeCell ref="X7:Y7"/>
    <mergeCell ref="Z7:AA7"/>
    <mergeCell ref="AB7:AC7"/>
    <mergeCell ref="AD7:AE7"/>
    <mergeCell ref="X8:Y8"/>
    <mergeCell ref="Z8:AA8"/>
    <mergeCell ref="AB8:AC8"/>
    <mergeCell ref="AD8:AE8"/>
    <mergeCell ref="X9:Y9"/>
    <mergeCell ref="Z9:AA9"/>
    <mergeCell ref="AB9:AC9"/>
    <mergeCell ref="AD9:AE9"/>
    <mergeCell ref="X10:Y10"/>
    <mergeCell ref="Z10:AA10"/>
    <mergeCell ref="AB10:AC10"/>
    <mergeCell ref="AD10:AE10"/>
    <mergeCell ref="X13:Y13"/>
    <mergeCell ref="Z13:AA13"/>
    <mergeCell ref="AB13:AC13"/>
    <mergeCell ref="AD13:AE13"/>
    <mergeCell ref="X11:Y11"/>
    <mergeCell ref="Z11:AA11"/>
    <mergeCell ref="AB11:AC11"/>
    <mergeCell ref="AD11:AE11"/>
    <mergeCell ref="X12:Y12"/>
    <mergeCell ref="Z12:AA12"/>
    <mergeCell ref="AB12:AC12"/>
    <mergeCell ref="AD12:AE12"/>
    <mergeCell ref="AD15:AE15"/>
    <mergeCell ref="X16:Y16"/>
    <mergeCell ref="Z16:AA16"/>
    <mergeCell ref="AB16:AC16"/>
    <mergeCell ref="AD16:AE16"/>
    <mergeCell ref="X15:Y15"/>
    <mergeCell ref="Z15:AA15"/>
    <mergeCell ref="AB15:AC15"/>
    <mergeCell ref="X20:Y20"/>
    <mergeCell ref="Z20:AA20"/>
    <mergeCell ref="AB20:AC20"/>
    <mergeCell ref="AD20:AE20"/>
    <mergeCell ref="X17:Y17"/>
    <mergeCell ref="Z17:AA17"/>
    <mergeCell ref="AB17:AC17"/>
    <mergeCell ref="AD17:AE17"/>
    <mergeCell ref="X18:Y18"/>
    <mergeCell ref="Z18:AA18"/>
    <mergeCell ref="AB18:AC18"/>
    <mergeCell ref="AD18:AE18"/>
  </mergeCells>
  <printOptions headings="1" gridLines="1"/>
  <pageMargins left="0.70866141732283472" right="0.70866141732283472" top="0.74803149606299213" bottom="0.74803149606299213" header="0.31496062992125984" footer="0.31496062992125984"/>
  <pageSetup paperSize="9" scale="50" orientation="landscape" horizontalDpi="1200" verticalDpi="1200" r:id="rId2"/>
  <headerFooter>
    <oddHeader>&amp;L&amp;8&amp;D&amp;C&amp;8DRAFT&amp;R&amp;8&amp;A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499984740745262"/>
    <pageSetUpPr fitToPage="1"/>
  </sheetPr>
  <dimension ref="A1:AF63"/>
  <sheetViews>
    <sheetView workbookViewId="0">
      <selection sqref="A1:B1"/>
    </sheetView>
  </sheetViews>
  <sheetFormatPr defaultRowHeight="12.75"/>
  <cols>
    <col min="1" max="1" width="3" style="238" customWidth="1"/>
    <col min="2" max="2" width="11.5703125" style="238" customWidth="1"/>
    <col min="3" max="3" width="17.85546875" style="238" customWidth="1"/>
    <col min="4" max="4" width="4.5703125" style="238" bestFit="1" customWidth="1"/>
    <col min="5" max="5" width="1.5703125" style="238" customWidth="1"/>
    <col min="6" max="6" width="10" bestFit="1" customWidth="1"/>
    <col min="7" max="7" width="1.5703125" style="280" customWidth="1"/>
    <col min="8" max="8" width="9" customWidth="1"/>
    <col min="9" max="9" width="1.5703125" style="280" customWidth="1"/>
    <col min="10" max="10" width="8.28515625" customWidth="1"/>
    <col min="11" max="11" width="2.28515625" style="280" customWidth="1"/>
    <col min="12" max="12" width="2.85546875" style="239" customWidth="1"/>
    <col min="13" max="13" width="9.85546875" bestFit="1" customWidth="1"/>
    <col min="14" max="14" width="2" style="280" customWidth="1"/>
    <col min="15" max="15" width="10" customWidth="1"/>
    <col min="16" max="16" width="1.85546875" style="280" customWidth="1"/>
    <col min="17" max="17" width="8.5703125" customWidth="1"/>
    <col min="18" max="18" width="3" style="281" customWidth="1"/>
    <col min="19" max="19" width="2.85546875" customWidth="1"/>
    <col min="20" max="20" width="8.28515625" customWidth="1"/>
    <col min="21" max="21" width="5.85546875" customWidth="1"/>
    <col min="22" max="22" width="2.5703125" customWidth="1"/>
    <col min="23" max="23" width="8.5703125" bestFit="1" customWidth="1"/>
    <col min="24" max="24" width="13.85546875" bestFit="1" customWidth="1"/>
    <col min="25" max="25" width="8.28515625" customWidth="1"/>
    <col min="26" max="26" width="10.85546875" bestFit="1" customWidth="1"/>
    <col min="27" max="27" width="13.85546875" bestFit="1" customWidth="1"/>
  </cols>
  <sheetData>
    <row r="1" spans="1:28" s="117" customFormat="1" ht="13.5">
      <c r="A1" s="1498">
        <f>NOW()</f>
        <v>43966.718486805556</v>
      </c>
      <c r="B1" s="1498"/>
      <c r="C1" s="10"/>
      <c r="D1" s="4"/>
      <c r="E1" s="776"/>
      <c r="F1" s="4"/>
      <c r="G1" s="4"/>
      <c r="H1" s="4"/>
      <c r="I1" s="4"/>
      <c r="J1" s="4"/>
      <c r="K1" s="4"/>
      <c r="L1" s="4"/>
      <c r="M1" s="4"/>
      <c r="N1" s="4"/>
      <c r="O1" s="4"/>
      <c r="P1" s="4"/>
      <c r="Q1" s="4"/>
      <c r="R1" s="4"/>
      <c r="S1" s="4"/>
      <c r="T1" s="4"/>
      <c r="U1" s="4"/>
      <c r="V1" s="4"/>
      <c r="W1" s="10"/>
      <c r="X1" s="10"/>
      <c r="Y1" s="10"/>
      <c r="Z1" s="10"/>
      <c r="AA1" s="10"/>
      <c r="AB1" s="776"/>
    </row>
    <row r="2" spans="1:28" s="117" customFormat="1" ht="21" customHeight="1">
      <c r="A2" s="606"/>
      <c r="B2" s="605"/>
      <c r="C2" s="1499" t="s">
        <v>0</v>
      </c>
      <c r="D2" s="1499"/>
      <c r="E2" s="237"/>
      <c r="F2" s="240"/>
      <c r="G2" s="240"/>
      <c r="H2" s="240"/>
      <c r="I2" s="240"/>
      <c r="J2" s="240"/>
      <c r="K2" s="240"/>
      <c r="L2" s="776"/>
      <c r="M2" s="776"/>
      <c r="N2" s="776"/>
      <c r="O2" s="776"/>
      <c r="P2" s="776"/>
      <c r="Q2" s="776"/>
      <c r="R2" s="776"/>
      <c r="S2" s="776"/>
      <c r="T2" s="776"/>
      <c r="U2" s="776"/>
      <c r="V2" s="116" t="e">
        <f>'1_Contents'!#REF!</f>
        <v>#REF!</v>
      </c>
      <c r="W2" s="147"/>
      <c r="X2" s="72"/>
      <c r="Y2" s="10"/>
      <c r="Z2" s="10"/>
      <c r="AA2" s="10"/>
      <c r="AB2" s="776"/>
    </row>
    <row r="3" spans="1:28" s="117" customFormat="1" ht="15.75">
      <c r="A3" s="320" t="s">
        <v>814</v>
      </c>
      <c r="B3" s="321"/>
      <c r="C3" s="322"/>
      <c r="D3" s="248"/>
      <c r="E3" s="248"/>
      <c r="F3" s="1493">
        <v>2017</v>
      </c>
      <c r="G3" s="1494"/>
      <c r="H3" s="1494"/>
      <c r="I3" s="1494"/>
      <c r="J3" s="1495"/>
      <c r="K3" s="1496" t="s">
        <v>815</v>
      </c>
      <c r="L3" s="1497"/>
      <c r="M3" s="1493">
        <v>2018</v>
      </c>
      <c r="N3" s="1494"/>
      <c r="O3" s="1494"/>
      <c r="P3" s="1494"/>
      <c r="Q3" s="1495"/>
      <c r="R3" s="251"/>
      <c r="S3" s="10"/>
      <c r="T3" s="776"/>
      <c r="U3" s="776"/>
      <c r="V3" s="56"/>
      <c r="W3" s="776"/>
      <c r="X3" s="776"/>
      <c r="Y3" s="776"/>
      <c r="Z3" s="776"/>
      <c r="AA3" s="776"/>
      <c r="AB3" s="10"/>
    </row>
    <row r="4" spans="1:28" s="238" customFormat="1" ht="15.75">
      <c r="A4" s="248"/>
      <c r="B4" s="248"/>
      <c r="C4" s="248"/>
      <c r="D4" s="248"/>
      <c r="E4" s="248"/>
      <c r="F4" s="249"/>
      <c r="G4" s="249"/>
      <c r="H4" s="250"/>
      <c r="I4" s="250"/>
      <c r="J4" s="776"/>
      <c r="K4" s="776"/>
      <c r="L4" s="776"/>
      <c r="M4" s="255"/>
      <c r="N4" s="251"/>
      <c r="O4" s="251"/>
      <c r="P4" s="251"/>
      <c r="Q4" s="251"/>
      <c r="R4" s="251"/>
      <c r="S4" s="776"/>
      <c r="T4" s="307" t="s">
        <v>525</v>
      </c>
      <c r="U4" s="285" t="s">
        <v>816</v>
      </c>
      <c r="V4" s="56"/>
      <c r="W4" s="776"/>
      <c r="X4" s="776"/>
      <c r="Y4" s="776"/>
      <c r="Z4" s="776"/>
      <c r="AA4" s="776"/>
      <c r="AB4" s="10"/>
    </row>
    <row r="5" spans="1:28" s="117" customFormat="1">
      <c r="A5" s="776"/>
      <c r="B5" s="1" t="s">
        <v>817</v>
      </c>
      <c r="C5" s="776"/>
      <c r="D5" s="7"/>
      <c r="E5" s="776"/>
      <c r="F5" s="45" t="e">
        <f>'Econ-Perf 2'!#REF!</f>
        <v>#REF!</v>
      </c>
      <c r="G5" s="45"/>
      <c r="H5" s="776"/>
      <c r="I5" s="776"/>
      <c r="J5" s="776"/>
      <c r="K5" s="260"/>
      <c r="L5" s="776"/>
      <c r="M5" s="45" t="e">
        <f>'Econ-Perf 2'!#REF!</f>
        <v>#REF!</v>
      </c>
      <c r="N5" s="45"/>
      <c r="O5" s="776"/>
      <c r="P5" s="776"/>
      <c r="Q5" s="776"/>
      <c r="R5" s="13"/>
      <c r="S5" s="3" t="s">
        <v>818</v>
      </c>
      <c r="T5" s="308" t="e">
        <f>M5-F5</f>
        <v>#REF!</v>
      </c>
      <c r="U5" s="3" t="s">
        <v>819</v>
      </c>
      <c r="V5" s="776"/>
      <c r="W5" s="776"/>
      <c r="X5" s="776"/>
      <c r="Y5" s="776"/>
      <c r="Z5" s="776"/>
      <c r="AA5" s="776"/>
      <c r="AB5" s="776"/>
    </row>
    <row r="6" spans="1:28" s="117" customFormat="1">
      <c r="A6" s="776"/>
      <c r="B6" s="776"/>
      <c r="C6" s="776"/>
      <c r="D6" s="7"/>
      <c r="E6" s="776"/>
      <c r="F6" s="776"/>
      <c r="G6" s="13"/>
      <c r="H6" s="11"/>
      <c r="I6" s="11"/>
      <c r="J6" s="776"/>
      <c r="K6" s="264"/>
      <c r="L6" s="776"/>
      <c r="M6" s="776"/>
      <c r="N6" s="776"/>
      <c r="O6" s="11"/>
      <c r="P6" s="11"/>
      <c r="Q6" s="776"/>
      <c r="R6" s="13"/>
      <c r="S6" s="776"/>
      <c r="T6" s="279"/>
      <c r="U6" s="3"/>
      <c r="V6" s="776"/>
      <c r="W6" s="776"/>
      <c r="X6" s="776"/>
      <c r="Y6" s="776"/>
      <c r="Z6" s="776"/>
      <c r="AA6" s="776"/>
      <c r="AB6" s="776"/>
    </row>
    <row r="7" spans="1:28">
      <c r="A7" s="10"/>
      <c r="B7" s="1492" t="s">
        <v>820</v>
      </c>
      <c r="C7" s="1492"/>
      <c r="D7" s="60" t="s">
        <v>821</v>
      </c>
      <c r="E7" s="776"/>
      <c r="F7" s="776"/>
      <c r="G7" s="13"/>
      <c r="H7" s="45" t="e">
        <f>'Econ-Perf 2'!#REF!</f>
        <v>#REF!</v>
      </c>
      <c r="I7" s="45"/>
      <c r="J7" s="11"/>
      <c r="K7" s="257"/>
      <c r="L7" s="13"/>
      <c r="M7" s="13"/>
      <c r="N7" s="13"/>
      <c r="O7" s="45" t="e">
        <f>'Econ-Perf 2'!#REF!</f>
        <v>#REF!</v>
      </c>
      <c r="P7" s="45"/>
      <c r="Q7" s="11"/>
      <c r="R7" s="11"/>
      <c r="S7" s="32" t="s">
        <v>818</v>
      </c>
      <c r="T7" s="309" t="e">
        <f>O7-H7</f>
        <v>#REF!</v>
      </c>
      <c r="U7" s="60" t="s">
        <v>821</v>
      </c>
      <c r="V7" s="247"/>
      <c r="W7" s="776"/>
      <c r="X7" s="776"/>
      <c r="Y7" s="776"/>
      <c r="Z7" s="776"/>
      <c r="AA7" s="776"/>
      <c r="AB7" s="776"/>
    </row>
    <row r="8" spans="1:28" s="117" customFormat="1">
      <c r="A8" s="10"/>
      <c r="B8" s="4"/>
      <c r="C8" s="12"/>
      <c r="D8" s="246"/>
      <c r="E8" s="10"/>
      <c r="F8" s="11"/>
      <c r="G8" s="11"/>
      <c r="H8" s="11"/>
      <c r="I8" s="11"/>
      <c r="J8" s="11"/>
      <c r="K8" s="257"/>
      <c r="L8" s="10"/>
      <c r="M8" s="11"/>
      <c r="N8" s="11"/>
      <c r="O8" s="11"/>
      <c r="P8" s="11"/>
      <c r="Q8" s="11"/>
      <c r="R8" s="11"/>
      <c r="S8" s="10"/>
      <c r="T8" s="328"/>
      <c r="U8" s="246"/>
      <c r="V8" s="10"/>
      <c r="W8" s="776"/>
      <c r="X8" s="776"/>
      <c r="Y8" s="776"/>
      <c r="Z8" s="776"/>
      <c r="AA8" s="776"/>
      <c r="AB8" s="776"/>
    </row>
    <row r="9" spans="1:28" s="117" customFormat="1">
      <c r="A9" s="10"/>
      <c r="B9" s="10"/>
      <c r="C9" s="11"/>
      <c r="D9" s="6"/>
      <c r="E9" s="10"/>
      <c r="F9" s="324" t="s">
        <v>774</v>
      </c>
      <c r="G9" s="325"/>
      <c r="H9" s="293" t="s">
        <v>822</v>
      </c>
      <c r="I9" s="326"/>
      <c r="J9" s="327" t="s">
        <v>506</v>
      </c>
      <c r="K9" s="297"/>
      <c r="L9" s="10"/>
      <c r="M9" s="324" t="s">
        <v>774</v>
      </c>
      <c r="N9" s="325"/>
      <c r="O9" s="293" t="s">
        <v>822</v>
      </c>
      <c r="P9" s="326"/>
      <c r="Q9" s="327" t="s">
        <v>506</v>
      </c>
      <c r="R9" s="306"/>
      <c r="S9" s="152"/>
      <c r="T9" s="279"/>
      <c r="U9" s="60"/>
      <c r="V9" s="776"/>
      <c r="W9" s="776"/>
      <c r="X9" s="776"/>
      <c r="Y9" s="776"/>
      <c r="Z9" s="776"/>
      <c r="AA9" s="776"/>
      <c r="AB9" s="776"/>
    </row>
    <row r="10" spans="1:28" s="280" customFormat="1">
      <c r="A10" s="10"/>
      <c r="B10" s="10"/>
      <c r="C10" s="11"/>
      <c r="D10" s="6"/>
      <c r="E10" s="10"/>
      <c r="F10" s="292"/>
      <c r="G10" s="292"/>
      <c r="H10" s="292"/>
      <c r="I10" s="292"/>
      <c r="J10" s="292"/>
      <c r="K10" s="298"/>
      <c r="L10" s="13"/>
      <c r="M10" s="292"/>
      <c r="N10" s="292"/>
      <c r="O10" s="292"/>
      <c r="P10" s="292"/>
      <c r="Q10" s="292"/>
      <c r="R10" s="292"/>
      <c r="S10" s="152"/>
      <c r="T10" s="279"/>
      <c r="U10" s="60"/>
      <c r="V10" s="776"/>
      <c r="W10" s="776"/>
      <c r="X10" s="776"/>
      <c r="Y10" s="776"/>
      <c r="Z10" s="776"/>
      <c r="AA10" s="776"/>
      <c r="AB10" s="776"/>
    </row>
    <row r="11" spans="1:28">
      <c r="A11" s="368">
        <v>1</v>
      </c>
      <c r="B11" s="1" t="s">
        <v>704</v>
      </c>
      <c r="C11" s="776"/>
      <c r="D11" s="60" t="s">
        <v>32</v>
      </c>
      <c r="E11" s="11"/>
      <c r="F11" s="287" t="e">
        <f>'Econ-Perf 2'!#REF!</f>
        <v>#REF!</v>
      </c>
      <c r="G11" s="277"/>
      <c r="H11" s="172"/>
      <c r="I11" s="172"/>
      <c r="J11" s="45"/>
      <c r="K11" s="259"/>
      <c r="L11" s="776"/>
      <c r="M11" s="287" t="e">
        <f>'Econ-Perf 2'!#REF!</f>
        <v>#REF!</v>
      </c>
      <c r="N11" s="277"/>
      <c r="O11" s="172"/>
      <c r="P11" s="172"/>
      <c r="Q11" s="45"/>
      <c r="R11" s="45"/>
      <c r="S11" s="3" t="s">
        <v>818</v>
      </c>
      <c r="T11" s="310" t="e">
        <f>M11-F11</f>
        <v>#REF!</v>
      </c>
      <c r="U11" s="286" t="s">
        <v>823</v>
      </c>
      <c r="V11" s="247"/>
      <c r="W11" s="776"/>
      <c r="X11" s="776"/>
      <c r="Y11" s="776"/>
      <c r="Z11" s="776"/>
      <c r="AA11" s="776"/>
      <c r="AB11" s="776"/>
    </row>
    <row r="12" spans="1:28">
      <c r="A12" s="368"/>
      <c r="B12" s="34"/>
      <c r="C12" s="776"/>
      <c r="D12" s="60"/>
      <c r="E12" s="776"/>
      <c r="F12" s="172"/>
      <c r="G12" s="172"/>
      <c r="H12" s="293" t="e">
        <f>'Econ-Perf 2'!#REF!</f>
        <v>#REF!</v>
      </c>
      <c r="I12" s="296"/>
      <c r="J12" s="45"/>
      <c r="K12" s="259"/>
      <c r="L12" s="776"/>
      <c r="M12" s="172"/>
      <c r="N12" s="172"/>
      <c r="O12" s="293" t="e">
        <f>'Econ-Perf 2'!#REF!</f>
        <v>#REF!</v>
      </c>
      <c r="P12" s="296"/>
      <c r="Q12" s="45"/>
      <c r="R12" s="45"/>
      <c r="S12" s="3" t="s">
        <v>818</v>
      </c>
      <c r="T12" s="311" t="e">
        <f>O12-H12</f>
        <v>#REF!</v>
      </c>
      <c r="U12" s="60" t="s">
        <v>821</v>
      </c>
      <c r="V12" s="776"/>
      <c r="W12" s="776"/>
      <c r="X12" s="776"/>
      <c r="Y12" s="776"/>
      <c r="Z12" s="776"/>
      <c r="AA12" s="776"/>
      <c r="AB12" s="776"/>
    </row>
    <row r="13" spans="1:28">
      <c r="A13" s="368">
        <v>2</v>
      </c>
      <c r="B13" s="1" t="s">
        <v>824</v>
      </c>
      <c r="C13" s="776"/>
      <c r="D13" s="7"/>
      <c r="E13" s="776"/>
      <c r="F13" s="172"/>
      <c r="G13" s="172"/>
      <c r="H13" s="172"/>
      <c r="I13" s="172"/>
      <c r="J13" s="290" t="e">
        <f>'Econ-Perf 2'!#REF!</f>
        <v>#REF!</v>
      </c>
      <c r="K13" s="299"/>
      <c r="L13" s="776"/>
      <c r="M13" s="172"/>
      <c r="N13" s="172"/>
      <c r="O13" s="277"/>
      <c r="P13" s="277"/>
      <c r="Q13" s="290" t="e">
        <f>'Econ-Perf 2'!#REF!</f>
        <v>#REF!</v>
      </c>
      <c r="R13" s="278"/>
      <c r="S13" s="3" t="s">
        <v>818</v>
      </c>
      <c r="T13" s="357" t="e">
        <f>Q13-J13</f>
        <v>#REF!</v>
      </c>
      <c r="U13" s="60"/>
      <c r="V13" s="776"/>
      <c r="W13" s="776"/>
      <c r="X13" s="776"/>
      <c r="Y13" s="776"/>
      <c r="Z13" s="776"/>
      <c r="AA13" s="776"/>
      <c r="AB13" s="776"/>
    </row>
    <row r="14" spans="1:28" s="117" customFormat="1">
      <c r="A14" s="368"/>
      <c r="B14" s="1"/>
      <c r="C14" s="776"/>
      <c r="D14" s="7"/>
      <c r="E14" s="776"/>
      <c r="F14" s="172"/>
      <c r="G14" s="172"/>
      <c r="H14" s="172"/>
      <c r="I14" s="172"/>
      <c r="J14" s="179"/>
      <c r="K14" s="299"/>
      <c r="L14" s="13"/>
      <c r="M14" s="172"/>
      <c r="N14" s="172"/>
      <c r="O14" s="277"/>
      <c r="P14" s="277"/>
      <c r="Q14" s="179"/>
      <c r="R14" s="278"/>
      <c r="S14" s="33"/>
      <c r="T14" s="312"/>
      <c r="U14" s="60"/>
      <c r="V14" s="776"/>
      <c r="W14" s="776"/>
      <c r="X14" s="776"/>
      <c r="Y14" s="776"/>
      <c r="Z14" s="776"/>
      <c r="AA14" s="776"/>
      <c r="AB14" s="776"/>
    </row>
    <row r="15" spans="1:28" s="117" customFormat="1">
      <c r="A15" s="368">
        <v>3</v>
      </c>
      <c r="B15" s="1" t="s">
        <v>825</v>
      </c>
      <c r="C15" s="776"/>
      <c r="D15" s="60" t="s">
        <v>667</v>
      </c>
      <c r="E15" s="776"/>
      <c r="F15" s="288" t="e">
        <f>'Econ-Perf 1'!Q39</f>
        <v>#REF!</v>
      </c>
      <c r="G15" s="172"/>
      <c r="H15" s="172"/>
      <c r="I15" s="172"/>
      <c r="J15" s="179"/>
      <c r="K15" s="299"/>
      <c r="L15" s="776"/>
      <c r="M15" s="288" t="e">
        <f>'Econ-Perf 1'!R39</f>
        <v>#REF!</v>
      </c>
      <c r="N15" s="172"/>
      <c r="O15" s="277"/>
      <c r="P15" s="277"/>
      <c r="Q15" s="179"/>
      <c r="R15" s="278"/>
      <c r="S15" s="153"/>
      <c r="T15" s="313" t="e">
        <f>M15-F15</f>
        <v>#REF!</v>
      </c>
      <c r="U15" s="60" t="s">
        <v>692</v>
      </c>
      <c r="V15" s="776"/>
      <c r="W15" s="776"/>
      <c r="X15" s="776"/>
      <c r="Y15" s="776"/>
      <c r="Z15" s="776"/>
      <c r="AA15" s="776"/>
      <c r="AB15" s="776"/>
    </row>
    <row r="16" spans="1:28" s="117" customFormat="1">
      <c r="A16" s="368"/>
      <c r="B16" s="1"/>
      <c r="C16" s="776"/>
      <c r="D16" s="7"/>
      <c r="E16" s="776"/>
      <c r="F16" s="172"/>
      <c r="G16" s="172"/>
      <c r="H16" s="172"/>
      <c r="I16" s="172"/>
      <c r="J16" s="179"/>
      <c r="K16" s="299"/>
      <c r="L16" s="13"/>
      <c r="M16" s="172"/>
      <c r="N16" s="172"/>
      <c r="O16" s="277"/>
      <c r="P16" s="277"/>
      <c r="Q16" s="179"/>
      <c r="R16" s="278"/>
      <c r="S16" s="153"/>
      <c r="T16" s="314"/>
      <c r="U16" s="60"/>
      <c r="V16" s="776"/>
      <c r="W16" s="776"/>
      <c r="X16" s="776"/>
      <c r="Y16" s="776"/>
      <c r="Z16" s="776"/>
      <c r="AA16" s="776"/>
      <c r="AB16" s="776"/>
    </row>
    <row r="17" spans="1:25" s="117" customFormat="1">
      <c r="A17" s="368">
        <v>4</v>
      </c>
      <c r="B17" s="1" t="s">
        <v>826</v>
      </c>
      <c r="C17" s="776"/>
      <c r="D17" s="60" t="s">
        <v>667</v>
      </c>
      <c r="E17" s="776"/>
      <c r="F17" s="288" t="e">
        <f>'Econ-Perf 1'!Q40</f>
        <v>#REF!</v>
      </c>
      <c r="G17" s="172"/>
      <c r="H17" s="278"/>
      <c r="I17" s="278"/>
      <c r="J17" s="355"/>
      <c r="K17" s="259"/>
      <c r="L17" s="776"/>
      <c r="M17" s="288" t="e">
        <f>'Econ-Perf 1'!R40</f>
        <v>#REF!</v>
      </c>
      <c r="N17" s="172"/>
      <c r="O17" s="277"/>
      <c r="P17" s="277"/>
      <c r="Q17" s="355"/>
      <c r="R17" s="45"/>
      <c r="S17" s="153"/>
      <c r="T17" s="313" t="e">
        <f>M17-F17</f>
        <v>#REF!</v>
      </c>
      <c r="U17" s="60" t="s">
        <v>692</v>
      </c>
      <c r="V17" s="776"/>
      <c r="W17" s="776"/>
      <c r="X17" s="776"/>
      <c r="Y17" s="776"/>
    </row>
    <row r="18" spans="1:25" s="117" customFormat="1">
      <c r="A18" s="368"/>
      <c r="B18" s="776"/>
      <c r="C18" s="776"/>
      <c r="D18" s="7"/>
      <c r="E18" s="776"/>
      <c r="F18" s="172"/>
      <c r="G18" s="172"/>
      <c r="H18" s="278"/>
      <c r="I18" s="278"/>
      <c r="J18" s="355"/>
      <c r="K18" s="259"/>
      <c r="L18" s="13"/>
      <c r="M18" s="172"/>
      <c r="N18" s="172"/>
      <c r="O18" s="277"/>
      <c r="P18" s="277"/>
      <c r="Q18" s="355"/>
      <c r="R18" s="45"/>
      <c r="S18" s="153"/>
      <c r="T18" s="314"/>
      <c r="U18" s="60"/>
      <c r="V18" s="776"/>
      <c r="W18" s="776"/>
      <c r="X18" s="776"/>
      <c r="Y18" s="776"/>
    </row>
    <row r="19" spans="1:25">
      <c r="A19" s="368">
        <v>5</v>
      </c>
      <c r="B19" s="1" t="s">
        <v>658</v>
      </c>
      <c r="C19" s="776"/>
      <c r="D19" s="60" t="s">
        <v>32</v>
      </c>
      <c r="E19" s="776"/>
      <c r="F19" s="287" t="e">
        <f>'Econ-Perf 2'!#REF!</f>
        <v>#REF!</v>
      </c>
      <c r="G19" s="277"/>
      <c r="H19" s="172"/>
      <c r="I19" s="172"/>
      <c r="J19" s="356"/>
      <c r="K19" s="261"/>
      <c r="L19" s="776"/>
      <c r="M19" s="287" t="e">
        <f>'Econ-Perf 2'!#REF!</f>
        <v>#REF!</v>
      </c>
      <c r="N19" s="277"/>
      <c r="O19" s="277"/>
      <c r="P19" s="277"/>
      <c r="Q19" s="356"/>
      <c r="R19" s="172"/>
      <c r="S19" s="3" t="s">
        <v>818</v>
      </c>
      <c r="T19" s="315" t="e">
        <f>M19-F19</f>
        <v>#REF!</v>
      </c>
      <c r="U19" s="286" t="s">
        <v>823</v>
      </c>
      <c r="V19" s="247"/>
      <c r="W19" s="776"/>
      <c r="X19" s="776"/>
      <c r="Y19" s="776"/>
    </row>
    <row r="20" spans="1:25">
      <c r="A20" s="368"/>
      <c r="B20" s="34"/>
      <c r="C20" s="776"/>
      <c r="D20" s="7"/>
      <c r="E20" s="776"/>
      <c r="F20" s="277"/>
      <c r="G20" s="277"/>
      <c r="H20" s="293" t="e">
        <f>'Econ-Perf 2'!#REF!</f>
        <v>#REF!</v>
      </c>
      <c r="I20" s="296"/>
      <c r="J20" s="355"/>
      <c r="K20" s="259"/>
      <c r="L20" s="776"/>
      <c r="M20" s="277"/>
      <c r="N20" s="277"/>
      <c r="O20" s="293" t="e">
        <f>'Econ-Perf 2'!#REF!</f>
        <v>#REF!</v>
      </c>
      <c r="P20" s="296"/>
      <c r="Q20" s="355"/>
      <c r="R20" s="45"/>
      <c r="S20" s="3" t="s">
        <v>818</v>
      </c>
      <c r="T20" s="311" t="e">
        <f>O20-H20</f>
        <v>#REF!</v>
      </c>
      <c r="U20" s="60" t="s">
        <v>821</v>
      </c>
      <c r="V20" s="247"/>
      <c r="W20" s="776"/>
      <c r="X20" s="776"/>
      <c r="Y20" s="776"/>
    </row>
    <row r="21" spans="1:25">
      <c r="A21" s="368">
        <v>6</v>
      </c>
      <c r="B21" s="1" t="s">
        <v>712</v>
      </c>
      <c r="C21" s="776"/>
      <c r="D21" s="7"/>
      <c r="E21" s="776"/>
      <c r="F21" s="277"/>
      <c r="G21" s="277"/>
      <c r="H21" s="277"/>
      <c r="I21" s="277"/>
      <c r="J21" s="290" t="e">
        <f>'Econ-Perf 2'!#REF!</f>
        <v>#REF!</v>
      </c>
      <c r="K21" s="299"/>
      <c r="L21" s="776"/>
      <c r="M21" s="277"/>
      <c r="N21" s="277"/>
      <c r="O21" s="277"/>
      <c r="P21" s="277"/>
      <c r="Q21" s="290" t="e">
        <f>'Econ-Perf 2'!#REF!</f>
        <v>#REF!</v>
      </c>
      <c r="R21" s="278"/>
      <c r="S21" s="3" t="s">
        <v>818</v>
      </c>
      <c r="T21" s="316" t="e">
        <f>Q21-J21</f>
        <v>#REF!</v>
      </c>
      <c r="U21" s="60"/>
      <c r="V21" s="776"/>
      <c r="W21" s="11"/>
      <c r="X21" s="11"/>
      <c r="Y21" s="11"/>
    </row>
    <row r="22" spans="1:25">
      <c r="A22" s="368"/>
      <c r="B22" s="34"/>
      <c r="C22" s="776"/>
      <c r="D22" s="7"/>
      <c r="E22" s="776"/>
      <c r="F22" s="277"/>
      <c r="G22" s="277"/>
      <c r="H22" s="277"/>
      <c r="I22" s="277"/>
      <c r="J22" s="355"/>
      <c r="K22" s="259"/>
      <c r="L22" s="13"/>
      <c r="M22" s="277"/>
      <c r="N22" s="277"/>
      <c r="O22" s="277"/>
      <c r="P22" s="277"/>
      <c r="Q22" s="355"/>
      <c r="R22" s="45"/>
      <c r="S22" s="153"/>
      <c r="T22" s="314"/>
      <c r="U22" s="60"/>
      <c r="V22" s="776"/>
      <c r="W22" s="11"/>
      <c r="X22" s="11"/>
      <c r="Y22" s="11"/>
    </row>
    <row r="23" spans="1:25">
      <c r="A23" s="368">
        <v>7</v>
      </c>
      <c r="B23" s="1" t="s">
        <v>716</v>
      </c>
      <c r="C23" s="776"/>
      <c r="D23" s="60" t="s">
        <v>32</v>
      </c>
      <c r="E23" s="776"/>
      <c r="F23" s="287" t="e">
        <f>'Econ-Perf 2'!#REF!</f>
        <v>#REF!</v>
      </c>
      <c r="G23" s="277"/>
      <c r="H23" s="277"/>
      <c r="I23" s="277"/>
      <c r="J23" s="355"/>
      <c r="K23" s="259"/>
      <c r="L23" s="776"/>
      <c r="M23" s="287" t="e">
        <f>'Econ-Perf 2'!#REF!</f>
        <v>#REF!</v>
      </c>
      <c r="N23" s="277"/>
      <c r="O23" s="277"/>
      <c r="P23" s="277"/>
      <c r="Q23" s="355"/>
      <c r="R23" s="45"/>
      <c r="S23" s="3" t="s">
        <v>818</v>
      </c>
      <c r="T23" s="315" t="e">
        <f>M23-F23</f>
        <v>#REF!</v>
      </c>
      <c r="U23" s="286" t="s">
        <v>823</v>
      </c>
      <c r="V23" s="776"/>
      <c r="W23" s="11"/>
      <c r="X23" s="11"/>
      <c r="Y23" s="11"/>
    </row>
    <row r="24" spans="1:25">
      <c r="A24" s="368"/>
      <c r="B24" s="34"/>
      <c r="C24" s="776"/>
      <c r="D24" s="7"/>
      <c r="E24" s="776"/>
      <c r="F24" s="277"/>
      <c r="G24" s="277"/>
      <c r="H24" s="293" t="e">
        <f>'Econ-Perf 2'!#REF!</f>
        <v>#REF!</v>
      </c>
      <c r="I24" s="296"/>
      <c r="J24" s="355"/>
      <c r="K24" s="259"/>
      <c r="L24" s="776"/>
      <c r="M24" s="277"/>
      <c r="N24" s="277"/>
      <c r="O24" s="293" t="e">
        <f>'Econ-Perf 2'!#REF!</f>
        <v>#REF!</v>
      </c>
      <c r="P24" s="296"/>
      <c r="Q24" s="355"/>
      <c r="R24" s="45"/>
      <c r="S24" s="3" t="s">
        <v>818</v>
      </c>
      <c r="T24" s="311" t="e">
        <f>O24-H24</f>
        <v>#REF!</v>
      </c>
      <c r="U24" s="60" t="s">
        <v>821</v>
      </c>
      <c r="V24" s="776"/>
      <c r="W24" s="11"/>
      <c r="X24" s="11"/>
      <c r="Y24" s="11"/>
    </row>
    <row r="25" spans="1:25">
      <c r="A25" s="368">
        <v>8</v>
      </c>
      <c r="B25" s="1" t="s">
        <v>723</v>
      </c>
      <c r="C25" s="776"/>
      <c r="D25" s="60" t="s">
        <v>32</v>
      </c>
      <c r="E25" s="776"/>
      <c r="F25" s="287" t="e">
        <f>'Econ-Perf 2'!#REF!</f>
        <v>#REF!</v>
      </c>
      <c r="G25" s="277"/>
      <c r="H25" s="277"/>
      <c r="I25" s="277"/>
      <c r="J25" s="355"/>
      <c r="K25" s="259"/>
      <c r="L25" s="776"/>
      <c r="M25" s="287" t="e">
        <f>'Econ-Perf 2'!#REF!</f>
        <v>#REF!</v>
      </c>
      <c r="N25" s="277"/>
      <c r="O25" s="277"/>
      <c r="P25" s="277"/>
      <c r="Q25" s="355"/>
      <c r="R25" s="45"/>
      <c r="S25" s="3" t="s">
        <v>818</v>
      </c>
      <c r="T25" s="315" t="e">
        <f>M25-F25</f>
        <v>#REF!</v>
      </c>
      <c r="U25" s="286" t="s">
        <v>823</v>
      </c>
      <c r="V25" s="247"/>
      <c r="W25" s="11"/>
      <c r="X25" s="11"/>
      <c r="Y25" s="11"/>
    </row>
    <row r="26" spans="1:25">
      <c r="A26" s="368"/>
      <c r="B26" s="34"/>
      <c r="C26" s="776"/>
      <c r="D26" s="7"/>
      <c r="E26" s="776"/>
      <c r="F26" s="277"/>
      <c r="G26" s="277"/>
      <c r="H26" s="293" t="e">
        <f>'Econ-Perf 2'!#REF!</f>
        <v>#REF!</v>
      </c>
      <c r="I26" s="296"/>
      <c r="J26" s="355"/>
      <c r="K26" s="259"/>
      <c r="L26" s="776"/>
      <c r="M26" s="277"/>
      <c r="N26" s="277"/>
      <c r="O26" s="293" t="e">
        <f>'Econ-Perf 2'!#REF!</f>
        <v>#REF!</v>
      </c>
      <c r="P26" s="296"/>
      <c r="Q26" s="355"/>
      <c r="R26" s="45"/>
      <c r="S26" s="3"/>
      <c r="T26" s="311" t="e">
        <f>O26-H26</f>
        <v>#REF!</v>
      </c>
      <c r="U26" s="60" t="s">
        <v>821</v>
      </c>
      <c r="V26" s="776"/>
      <c r="W26" s="11"/>
      <c r="X26" s="11"/>
      <c r="Y26" s="11"/>
    </row>
    <row r="27" spans="1:25">
      <c r="A27" s="368">
        <v>9</v>
      </c>
      <c r="B27" s="1" t="s">
        <v>635</v>
      </c>
      <c r="C27" s="11"/>
      <c r="D27" s="60" t="s">
        <v>32</v>
      </c>
      <c r="E27" s="776"/>
      <c r="F27" s="287" t="e">
        <f>'Econ-Perf 2'!#REF!</f>
        <v>#REF!</v>
      </c>
      <c r="G27" s="277"/>
      <c r="H27" s="277"/>
      <c r="I27" s="277"/>
      <c r="J27" s="355"/>
      <c r="K27" s="259"/>
      <c r="L27" s="776"/>
      <c r="M27" s="287" t="e">
        <f>'Econ-Perf 2'!#REF!</f>
        <v>#REF!</v>
      </c>
      <c r="N27" s="277"/>
      <c r="O27" s="277"/>
      <c r="P27" s="277"/>
      <c r="Q27" s="355"/>
      <c r="R27" s="45"/>
      <c r="S27" s="3" t="s">
        <v>818</v>
      </c>
      <c r="T27" s="315" t="e">
        <f>M27-F27</f>
        <v>#REF!</v>
      </c>
      <c r="U27" s="286" t="s">
        <v>823</v>
      </c>
      <c r="V27" s="776"/>
      <c r="W27" s="11"/>
      <c r="X27" s="11"/>
      <c r="Y27" s="11"/>
    </row>
    <row r="28" spans="1:25">
      <c r="A28" s="368"/>
      <c r="B28" s="34"/>
      <c r="C28" s="11"/>
      <c r="D28" s="7"/>
      <c r="E28" s="776"/>
      <c r="F28" s="277"/>
      <c r="G28" s="277"/>
      <c r="H28" s="293" t="e">
        <f>'Econ-Perf 2'!#REF!</f>
        <v>#REF!</v>
      </c>
      <c r="I28" s="296"/>
      <c r="J28" s="355"/>
      <c r="K28" s="259"/>
      <c r="L28" s="776"/>
      <c r="M28" s="277"/>
      <c r="N28" s="277"/>
      <c r="O28" s="293" t="e">
        <f>'Econ-Perf 2'!#REF!</f>
        <v>#REF!</v>
      </c>
      <c r="P28" s="296"/>
      <c r="Q28" s="355"/>
      <c r="R28" s="45"/>
      <c r="S28" s="3" t="s">
        <v>818</v>
      </c>
      <c r="T28" s="311" t="e">
        <f>O28-H28</f>
        <v>#REF!</v>
      </c>
      <c r="U28" s="60" t="s">
        <v>821</v>
      </c>
      <c r="V28" s="776"/>
      <c r="W28" s="11"/>
      <c r="X28" s="11"/>
      <c r="Y28" s="11"/>
    </row>
    <row r="29" spans="1:25">
      <c r="A29" s="368">
        <v>10</v>
      </c>
      <c r="B29" s="1" t="s">
        <v>607</v>
      </c>
      <c r="C29" s="11"/>
      <c r="D29" s="60" t="s">
        <v>32</v>
      </c>
      <c r="E29" s="776"/>
      <c r="F29" s="287" t="e">
        <f>#REF!/'15-per Store 16-17'!F5</f>
        <v>#REF!</v>
      </c>
      <c r="G29" s="277"/>
      <c r="H29" s="277"/>
      <c r="I29" s="277"/>
      <c r="J29" s="179"/>
      <c r="K29" s="299"/>
      <c r="L29" s="776"/>
      <c r="M29" s="287" t="e">
        <f>#REF!/'15-per Store 16-17'!M5</f>
        <v>#REF!</v>
      </c>
      <c r="N29" s="277"/>
      <c r="O29" s="277"/>
      <c r="P29" s="277"/>
      <c r="Q29" s="179"/>
      <c r="R29" s="278"/>
      <c r="S29" s="3" t="s">
        <v>818</v>
      </c>
      <c r="T29" s="315" t="e">
        <f>M29-F29</f>
        <v>#REF!</v>
      </c>
      <c r="U29" s="286" t="s">
        <v>823</v>
      </c>
      <c r="V29" s="776"/>
      <c r="W29" s="11"/>
      <c r="X29" s="11"/>
      <c r="Y29" s="11"/>
    </row>
    <row r="30" spans="1:25" s="117" customFormat="1">
      <c r="A30" s="368"/>
      <c r="B30" s="1"/>
      <c r="C30" s="11"/>
      <c r="D30" s="7"/>
      <c r="E30" s="776"/>
      <c r="F30" s="277"/>
      <c r="G30" s="277"/>
      <c r="H30" s="277"/>
      <c r="I30" s="277"/>
      <c r="J30" s="179"/>
      <c r="K30" s="300"/>
      <c r="L30" s="13"/>
      <c r="M30" s="277"/>
      <c r="N30" s="277"/>
      <c r="O30" s="277"/>
      <c r="P30" s="277"/>
      <c r="Q30" s="179"/>
      <c r="R30" s="179"/>
      <c r="S30" s="32"/>
      <c r="T30" s="312"/>
      <c r="U30" s="60"/>
      <c r="V30" s="776"/>
      <c r="W30" s="11"/>
      <c r="X30" s="11"/>
      <c r="Y30" s="11"/>
    </row>
    <row r="31" spans="1:25" s="117" customFormat="1">
      <c r="A31" s="368">
        <v>11</v>
      </c>
      <c r="B31" s="1" t="s">
        <v>770</v>
      </c>
      <c r="C31" s="776"/>
      <c r="D31" s="60" t="s">
        <v>32</v>
      </c>
      <c r="E31" s="776"/>
      <c r="F31" s="287">
        <f>'Mark-Expect'!R50</f>
        <v>0</v>
      </c>
      <c r="G31" s="277"/>
      <c r="H31" s="277"/>
      <c r="I31" s="277"/>
      <c r="J31" s="356"/>
      <c r="K31" s="261"/>
      <c r="L31" s="776"/>
      <c r="M31" s="287" t="e">
        <f>'Mark-Expect'!S50</f>
        <v>#REF!</v>
      </c>
      <c r="N31" s="277"/>
      <c r="O31" s="277"/>
      <c r="P31" s="277"/>
      <c r="Q31" s="179"/>
      <c r="R31" s="179"/>
      <c r="S31" s="3" t="s">
        <v>818</v>
      </c>
      <c r="T31" s="315" t="e">
        <f>M31-F31</f>
        <v>#REF!</v>
      </c>
      <c r="U31" s="286" t="s">
        <v>823</v>
      </c>
      <c r="V31" s="776"/>
      <c r="W31" s="11"/>
      <c r="X31" s="50"/>
      <c r="Y31" s="11"/>
    </row>
    <row r="32" spans="1:25" s="239" customFormat="1">
      <c r="A32" s="368"/>
      <c r="B32" s="1"/>
      <c r="C32" s="776"/>
      <c r="D32" s="60"/>
      <c r="E32" s="776"/>
      <c r="F32" s="277"/>
      <c r="G32" s="277"/>
      <c r="H32" s="277"/>
      <c r="I32" s="277"/>
      <c r="J32" s="290" t="e">
        <f>F31/$F$43</f>
        <v>#DIV/0!</v>
      </c>
      <c r="K32" s="262"/>
      <c r="L32" s="776"/>
      <c r="M32" s="277"/>
      <c r="N32" s="277"/>
      <c r="O32" s="277"/>
      <c r="P32" s="277"/>
      <c r="Q32" s="290" t="e">
        <f>M31/$M$43</f>
        <v>#REF!</v>
      </c>
      <c r="R32" s="232"/>
      <c r="S32" s="3"/>
      <c r="T32" s="317" t="e">
        <f>Q32-J32</f>
        <v>#REF!</v>
      </c>
      <c r="U32" s="286"/>
      <c r="V32" s="776"/>
      <c r="W32" s="11"/>
      <c r="X32" s="50"/>
      <c r="Y32" s="11"/>
    </row>
    <row r="33" spans="1:27" s="117" customFormat="1">
      <c r="A33" s="368">
        <v>12</v>
      </c>
      <c r="B33" s="1" t="s">
        <v>771</v>
      </c>
      <c r="C33" s="776"/>
      <c r="D33" s="60" t="s">
        <v>32</v>
      </c>
      <c r="E33" s="776"/>
      <c r="F33" s="287">
        <f>'Mark-Expect'!R51</f>
        <v>0</v>
      </c>
      <c r="G33" s="277"/>
      <c r="H33" s="277"/>
      <c r="I33" s="277"/>
      <c r="J33" s="179"/>
      <c r="K33" s="262"/>
      <c r="L33" s="776"/>
      <c r="M33" s="287" t="e">
        <f>'Mark-Expect'!S51</f>
        <v>#REF!</v>
      </c>
      <c r="N33" s="277"/>
      <c r="O33" s="277"/>
      <c r="P33" s="277"/>
      <c r="Q33" s="179"/>
      <c r="R33" s="232"/>
      <c r="S33" s="3" t="s">
        <v>818</v>
      </c>
      <c r="T33" s="315" t="e">
        <f>M33-F33</f>
        <v>#REF!</v>
      </c>
      <c r="U33" s="286" t="s">
        <v>823</v>
      </c>
      <c r="V33" s="776"/>
      <c r="W33" s="11"/>
      <c r="X33" s="50"/>
      <c r="Y33" s="11"/>
      <c r="Z33" s="776"/>
      <c r="AA33" s="776"/>
    </row>
    <row r="34" spans="1:27" s="239" customFormat="1">
      <c r="A34" s="368"/>
      <c r="B34" s="1"/>
      <c r="C34" s="776"/>
      <c r="D34" s="60"/>
      <c r="E34" s="776"/>
      <c r="F34" s="277"/>
      <c r="G34" s="277"/>
      <c r="H34" s="277"/>
      <c r="I34" s="277"/>
      <c r="J34" s="290" t="e">
        <f>F33/$F$43</f>
        <v>#DIV/0!</v>
      </c>
      <c r="K34" s="262"/>
      <c r="L34" s="776"/>
      <c r="M34" s="277"/>
      <c r="N34" s="277"/>
      <c r="O34" s="277"/>
      <c r="P34" s="277"/>
      <c r="Q34" s="290" t="e">
        <f>M33/$M$43</f>
        <v>#REF!</v>
      </c>
      <c r="R34" s="232"/>
      <c r="S34" s="3" t="s">
        <v>818</v>
      </c>
      <c r="T34" s="317" t="e">
        <f>Q34-J34</f>
        <v>#REF!</v>
      </c>
      <c r="U34" s="286"/>
      <c r="V34" s="776"/>
      <c r="W34" s="11"/>
      <c r="X34" s="50"/>
      <c r="Y34" s="11"/>
      <c r="Z34" s="776"/>
      <c r="AA34" s="776"/>
    </row>
    <row r="35" spans="1:27" s="117" customFormat="1">
      <c r="A35" s="368">
        <v>13</v>
      </c>
      <c r="B35" s="1" t="s">
        <v>608</v>
      </c>
      <c r="C35" s="776"/>
      <c r="D35" s="60" t="s">
        <v>32</v>
      </c>
      <c r="E35" s="776"/>
      <c r="F35" s="287">
        <f>'Mark-Expect'!R52</f>
        <v>0</v>
      </c>
      <c r="G35" s="277"/>
      <c r="H35" s="277"/>
      <c r="I35" s="277"/>
      <c r="J35" s="179"/>
      <c r="K35" s="262"/>
      <c r="L35" s="776"/>
      <c r="M35" s="287" t="e">
        <f>'Mark-Expect'!S52</f>
        <v>#REF!</v>
      </c>
      <c r="N35" s="277"/>
      <c r="O35" s="277"/>
      <c r="P35" s="277"/>
      <c r="Q35" s="179"/>
      <c r="R35" s="232"/>
      <c r="S35" s="3" t="s">
        <v>818</v>
      </c>
      <c r="T35" s="315" t="e">
        <f>M35-F35</f>
        <v>#REF!</v>
      </c>
      <c r="U35" s="286" t="s">
        <v>823</v>
      </c>
      <c r="V35" s="776"/>
      <c r="W35" s="11"/>
      <c r="X35" s="50"/>
      <c r="Y35" s="11"/>
      <c r="Z35" s="776"/>
      <c r="AA35" s="776"/>
    </row>
    <row r="36" spans="1:27" s="239" customFormat="1">
      <c r="A36" s="368"/>
      <c r="B36" s="1"/>
      <c r="C36" s="776"/>
      <c r="D36" s="60"/>
      <c r="E36" s="776"/>
      <c r="F36" s="277"/>
      <c r="G36" s="277"/>
      <c r="H36" s="277"/>
      <c r="I36" s="277"/>
      <c r="J36" s="291" t="e">
        <f>F35/$F$43</f>
        <v>#DIV/0!</v>
      </c>
      <c r="K36" s="262"/>
      <c r="L36" s="776"/>
      <c r="M36" s="277"/>
      <c r="N36" s="277"/>
      <c r="O36" s="277"/>
      <c r="P36" s="277"/>
      <c r="Q36" s="291" t="e">
        <f>M35/$M$43</f>
        <v>#REF!</v>
      </c>
      <c r="R36" s="232"/>
      <c r="S36" s="3" t="s">
        <v>818</v>
      </c>
      <c r="T36" s="317" t="e">
        <f>Q36-J36</f>
        <v>#REF!</v>
      </c>
      <c r="U36" s="286"/>
      <c r="V36" s="776"/>
      <c r="W36" s="11"/>
      <c r="X36" s="50"/>
      <c r="Y36" s="11"/>
      <c r="Z36" s="776"/>
      <c r="AA36" s="776"/>
    </row>
    <row r="37" spans="1:27" s="353" customFormat="1">
      <c r="A37" s="368"/>
      <c r="B37" s="1"/>
      <c r="C37" s="776"/>
      <c r="D37" s="60"/>
      <c r="E37" s="776"/>
      <c r="F37" s="277"/>
      <c r="G37" s="277"/>
      <c r="H37" s="277"/>
      <c r="I37" s="277"/>
      <c r="J37" s="179" t="e">
        <f>SUM(J32:J36)</f>
        <v>#DIV/0!</v>
      </c>
      <c r="K37" s="262"/>
      <c r="L37" s="776"/>
      <c r="M37" s="277"/>
      <c r="N37" s="277"/>
      <c r="O37" s="277"/>
      <c r="P37" s="277"/>
      <c r="Q37" s="179" t="e">
        <f>SUM(Q32:Q36)</f>
        <v>#REF!</v>
      </c>
      <c r="R37" s="232"/>
      <c r="S37" s="3"/>
      <c r="T37" s="359"/>
      <c r="U37" s="286"/>
      <c r="V37" s="776"/>
      <c r="W37" s="11"/>
      <c r="X37" s="50"/>
      <c r="Y37" s="11"/>
      <c r="Z37" s="776"/>
      <c r="AA37" s="776"/>
    </row>
    <row r="38" spans="1:27" s="369" customFormat="1">
      <c r="A38" s="368"/>
      <c r="B38" s="16"/>
      <c r="C38" s="4"/>
      <c r="D38" s="351"/>
      <c r="E38" s="4"/>
      <c r="F38" s="374"/>
      <c r="G38" s="374"/>
      <c r="H38" s="374"/>
      <c r="I38" s="374"/>
      <c r="J38" s="375"/>
      <c r="K38" s="376"/>
      <c r="L38" s="4"/>
      <c r="M38" s="374"/>
      <c r="N38" s="374"/>
      <c r="O38" s="374"/>
      <c r="P38" s="374"/>
      <c r="Q38" s="375"/>
      <c r="R38" s="377"/>
      <c r="S38" s="49"/>
      <c r="T38" s="378"/>
      <c r="U38" s="286"/>
      <c r="V38" s="776"/>
      <c r="W38" s="11"/>
      <c r="X38" s="50"/>
      <c r="Y38" s="11"/>
      <c r="Z38" s="776"/>
      <c r="AA38" s="776"/>
    </row>
    <row r="39" spans="1:27" s="369" customFormat="1">
      <c r="A39" s="368">
        <v>14</v>
      </c>
      <c r="B39" s="1" t="s">
        <v>827</v>
      </c>
      <c r="C39" s="11"/>
      <c r="D39" s="7"/>
      <c r="E39" s="776"/>
      <c r="F39" s="277"/>
      <c r="G39" s="277"/>
      <c r="H39" s="277"/>
      <c r="I39" s="277"/>
      <c r="J39" s="290" t="e">
        <f>'Econ-Perf 2'!#REF!</f>
        <v>#REF!</v>
      </c>
      <c r="K39" s="300"/>
      <c r="L39" s="776"/>
      <c r="M39" s="277"/>
      <c r="N39" s="277"/>
      <c r="O39" s="277"/>
      <c r="P39" s="277"/>
      <c r="Q39" s="290" t="e">
        <f>'Econ-Perf 2'!#REF!</f>
        <v>#REF!</v>
      </c>
      <c r="R39" s="179"/>
      <c r="S39" s="3" t="s">
        <v>818</v>
      </c>
      <c r="T39" s="317" t="e">
        <f>Q39-J39</f>
        <v>#REF!</v>
      </c>
      <c r="U39" s="60"/>
      <c r="V39" s="776"/>
      <c r="W39" s="11"/>
      <c r="X39" s="50"/>
      <c r="Y39" s="11"/>
      <c r="Z39" s="776"/>
      <c r="AA39" s="776"/>
    </row>
    <row r="40" spans="1:27" s="369" customFormat="1">
      <c r="A40" s="368">
        <v>15</v>
      </c>
      <c r="B40" s="121" t="s">
        <v>632</v>
      </c>
      <c r="C40" s="11"/>
      <c r="D40" s="7"/>
      <c r="E40" s="776"/>
      <c r="F40" s="277"/>
      <c r="G40" s="277"/>
      <c r="H40" s="277"/>
      <c r="I40" s="277"/>
      <c r="J40" s="291" t="e">
        <f>'Econ-Perf 2'!#REF!</f>
        <v>#REF!</v>
      </c>
      <c r="K40" s="300"/>
      <c r="L40" s="776"/>
      <c r="M40" s="277"/>
      <c r="N40" s="277"/>
      <c r="O40" s="277"/>
      <c r="P40" s="277"/>
      <c r="Q40" s="291" t="e">
        <f>'Econ-Perf 2'!#REF!</f>
        <v>#REF!</v>
      </c>
      <c r="R40" s="179"/>
      <c r="S40" s="3"/>
      <c r="T40" s="318" t="e">
        <f>Q40-J40</f>
        <v>#REF!</v>
      </c>
      <c r="U40" s="60"/>
      <c r="V40" s="776"/>
      <c r="W40" s="11"/>
      <c r="X40" s="50"/>
      <c r="Y40" s="11"/>
      <c r="Z40" s="776"/>
      <c r="AA40" s="776"/>
    </row>
    <row r="41" spans="1:27" s="369" customFormat="1">
      <c r="A41" s="368">
        <v>16</v>
      </c>
      <c r="B41" s="16" t="s">
        <v>732</v>
      </c>
      <c r="C41" s="12"/>
      <c r="D41" s="120"/>
      <c r="E41" s="4"/>
      <c r="F41" s="374"/>
      <c r="G41" s="374"/>
      <c r="H41" s="374"/>
      <c r="I41" s="374"/>
      <c r="J41" s="291" t="e">
        <f>J39-J40</f>
        <v>#REF!</v>
      </c>
      <c r="K41" s="379"/>
      <c r="L41" s="4"/>
      <c r="M41" s="374"/>
      <c r="N41" s="374"/>
      <c r="O41" s="374"/>
      <c r="P41" s="374"/>
      <c r="Q41" s="291" t="e">
        <f>Q39-Q40</f>
        <v>#REF!</v>
      </c>
      <c r="R41" s="375"/>
      <c r="S41" s="49" t="s">
        <v>818</v>
      </c>
      <c r="T41" s="318" t="e">
        <f>Q41-J41</f>
        <v>#REF!</v>
      </c>
      <c r="U41" s="60"/>
      <c r="V41" s="776"/>
      <c r="W41" s="11"/>
      <c r="X41" s="50"/>
      <c r="Y41" s="11"/>
      <c r="Z41" s="776"/>
      <c r="AA41" s="776"/>
    </row>
    <row r="42" spans="1:27" s="369" customFormat="1">
      <c r="A42" s="368"/>
      <c r="B42" s="1"/>
      <c r="C42" s="776"/>
      <c r="D42" s="60"/>
      <c r="E42" s="776"/>
      <c r="F42" s="277"/>
      <c r="G42" s="277"/>
      <c r="H42" s="277"/>
      <c r="I42" s="277"/>
      <c r="J42" s="179"/>
      <c r="K42" s="262"/>
      <c r="L42" s="776"/>
      <c r="M42" s="277"/>
      <c r="N42" s="277"/>
      <c r="O42" s="277"/>
      <c r="P42" s="277"/>
      <c r="Q42" s="179"/>
      <c r="R42" s="232"/>
      <c r="S42" s="3"/>
      <c r="T42" s="359"/>
      <c r="U42" s="286"/>
      <c r="V42" s="776"/>
      <c r="W42" s="11"/>
      <c r="X42" s="50"/>
      <c r="Y42" s="11"/>
      <c r="Z42" s="776"/>
      <c r="AA42" s="776"/>
    </row>
    <row r="43" spans="1:27" s="117" customFormat="1">
      <c r="A43" s="368">
        <v>17</v>
      </c>
      <c r="B43" s="62" t="s">
        <v>828</v>
      </c>
      <c r="C43" s="776"/>
      <c r="D43" s="60" t="s">
        <v>32</v>
      </c>
      <c r="E43" s="776"/>
      <c r="F43" s="287">
        <f>SUM(F31:F35)</f>
        <v>0</v>
      </c>
      <c r="G43" s="277"/>
      <c r="H43" s="277"/>
      <c r="I43" s="277"/>
      <c r="J43" s="776"/>
      <c r="K43" s="262"/>
      <c r="L43" s="776"/>
      <c r="M43" s="287" t="e">
        <f>SUM(M31:M35)</f>
        <v>#REF!</v>
      </c>
      <c r="N43" s="277"/>
      <c r="O43" s="277"/>
      <c r="P43" s="277"/>
      <c r="Q43" s="776"/>
      <c r="R43" s="232"/>
      <c r="S43" s="3"/>
      <c r="T43" s="315" t="e">
        <f>M43-F43</f>
        <v>#REF!</v>
      </c>
      <c r="U43" s="286" t="s">
        <v>823</v>
      </c>
      <c r="V43" s="776"/>
      <c r="W43" s="11"/>
      <c r="X43" s="50"/>
      <c r="Y43" s="11"/>
      <c r="Z43" s="776"/>
      <c r="AA43" s="776"/>
    </row>
    <row r="44" spans="1:27">
      <c r="A44" s="149"/>
      <c r="B44" s="1"/>
      <c r="C44" s="776"/>
      <c r="D44" s="776"/>
      <c r="E44" s="11"/>
      <c r="F44" s="45"/>
      <c r="G44" s="45"/>
      <c r="H44" s="277"/>
      <c r="I44" s="277"/>
      <c r="J44" s="355"/>
      <c r="K44" s="259"/>
      <c r="L44" s="13"/>
      <c r="M44" s="45"/>
      <c r="N44" s="45"/>
      <c r="O44" s="277"/>
      <c r="P44" s="277"/>
      <c r="Q44" s="355"/>
      <c r="R44" s="45"/>
      <c r="S44" s="32"/>
      <c r="T44" s="314"/>
      <c r="U44" s="60"/>
      <c r="V44" s="776"/>
      <c r="W44" s="11"/>
      <c r="X44" s="11"/>
      <c r="Y44" s="11"/>
      <c r="Z44" s="776"/>
      <c r="AA44" s="776"/>
    </row>
    <row r="45" spans="1:27">
      <c r="A45" s="150">
        <v>18</v>
      </c>
      <c r="B45" s="1" t="s">
        <v>829</v>
      </c>
      <c r="C45" s="776"/>
      <c r="D45" s="60" t="s">
        <v>667</v>
      </c>
      <c r="E45" s="11"/>
      <c r="F45" s="289" t="e">
        <f>F43/F35</f>
        <v>#DIV/0!</v>
      </c>
      <c r="G45" s="254"/>
      <c r="H45" s="380" t="s">
        <v>830</v>
      </c>
      <c r="I45" s="277"/>
      <c r="J45" s="355"/>
      <c r="K45" s="259"/>
      <c r="L45" s="776"/>
      <c r="M45" s="289" t="e">
        <f>M43/M35</f>
        <v>#REF!</v>
      </c>
      <c r="N45" s="254"/>
      <c r="O45" s="380" t="s">
        <v>830</v>
      </c>
      <c r="P45" s="277"/>
      <c r="Q45" s="355"/>
      <c r="R45" s="45"/>
      <c r="S45" s="3"/>
      <c r="T45" s="358" t="e">
        <f>M45-F45</f>
        <v>#REF!</v>
      </c>
      <c r="U45" s="60" t="s">
        <v>830</v>
      </c>
      <c r="V45" s="776"/>
      <c r="W45" s="11"/>
      <c r="X45" s="11"/>
      <c r="Y45" s="11"/>
      <c r="Z45" s="776"/>
      <c r="AA45" s="776"/>
    </row>
    <row r="46" spans="1:27" s="175" customFormat="1">
      <c r="A46" s="150"/>
      <c r="B46" s="172"/>
      <c r="C46" s="13"/>
      <c r="D46" s="178"/>
      <c r="E46" s="11"/>
      <c r="F46" s="83"/>
      <c r="G46" s="83"/>
      <c r="H46" s="11"/>
      <c r="I46" s="11"/>
      <c r="J46" s="11"/>
      <c r="K46" s="257"/>
      <c r="L46" s="776"/>
      <c r="M46" s="83"/>
      <c r="N46" s="83"/>
      <c r="O46" s="11"/>
      <c r="P46" s="11"/>
      <c r="Q46" s="11"/>
      <c r="R46" s="11"/>
      <c r="S46" s="3"/>
      <c r="T46" s="279"/>
      <c r="U46" s="60"/>
      <c r="V46" s="776"/>
      <c r="W46" s="11"/>
      <c r="X46" s="11"/>
      <c r="Y46" s="11"/>
      <c r="Z46" s="776"/>
      <c r="AA46" s="776"/>
    </row>
    <row r="47" spans="1:27" s="175" customFormat="1" ht="15.75">
      <c r="A47" s="150">
        <v>19</v>
      </c>
      <c r="B47" s="1" t="s">
        <v>831</v>
      </c>
      <c r="C47" s="13"/>
      <c r="D47" s="178"/>
      <c r="E47" s="11"/>
      <c r="F47" s="83"/>
      <c r="G47" s="83"/>
      <c r="H47" s="323">
        <v>2015</v>
      </c>
      <c r="I47" s="45"/>
      <c r="J47" s="295" t="e">
        <f>#REF!</f>
        <v>#REF!</v>
      </c>
      <c r="K47" s="301"/>
      <c r="L47" s="1"/>
      <c r="M47" s="254"/>
      <c r="N47" s="254"/>
      <c r="O47" s="323">
        <v>2016</v>
      </c>
      <c r="P47" s="45"/>
      <c r="Q47" s="295" t="e">
        <f>#REF!</f>
        <v>#REF!</v>
      </c>
      <c r="R47" s="294"/>
      <c r="S47" s="3"/>
      <c r="T47" s="319" t="e">
        <f>Q47-J47</f>
        <v>#REF!</v>
      </c>
      <c r="U47" s="60" t="s">
        <v>832</v>
      </c>
      <c r="V47" s="776"/>
      <c r="W47" s="11"/>
      <c r="X47" s="11"/>
      <c r="Y47" s="11"/>
      <c r="Z47" s="776"/>
      <c r="AA47" s="776"/>
    </row>
    <row r="48" spans="1:27" s="280" customFormat="1">
      <c r="A48" s="150"/>
      <c r="B48" s="1"/>
      <c r="C48" s="13"/>
      <c r="D48" s="178"/>
      <c r="E48" s="11"/>
      <c r="F48" s="83"/>
      <c r="G48" s="83"/>
      <c r="H48" s="45"/>
      <c r="I48" s="45"/>
      <c r="J48" s="294"/>
      <c r="K48" s="294"/>
      <c r="L48" s="172"/>
      <c r="M48" s="254"/>
      <c r="N48" s="254"/>
      <c r="O48" s="45"/>
      <c r="P48" s="45"/>
      <c r="Q48" s="294"/>
      <c r="R48" s="294"/>
      <c r="S48" s="3"/>
      <c r="T48" s="253"/>
      <c r="U48" s="60"/>
      <c r="V48" s="776"/>
      <c r="W48" s="11"/>
      <c r="X48" s="11"/>
      <c r="Y48" s="11"/>
      <c r="Z48" s="10"/>
      <c r="AA48" s="10"/>
    </row>
    <row r="49" spans="1:32">
      <c r="A49" s="151"/>
      <c r="B49" s="4"/>
      <c r="C49" s="12"/>
      <c r="D49" s="12"/>
      <c r="E49" s="12"/>
      <c r="F49" s="12"/>
      <c r="G49" s="12"/>
      <c r="H49" s="12"/>
      <c r="I49" s="12"/>
      <c r="J49" s="12"/>
      <c r="K49" s="12"/>
      <c r="L49" s="4"/>
      <c r="M49" s="4" t="s">
        <v>833</v>
      </c>
      <c r="N49" s="22"/>
      <c r="O49" s="345">
        <v>42766</v>
      </c>
      <c r="P49" s="345"/>
      <c r="Q49" s="595" t="e">
        <f>'Mark-Expect'!T26</f>
        <v>#REF!</v>
      </c>
      <c r="R49" s="302" t="s">
        <v>834</v>
      </c>
      <c r="S49" s="4"/>
      <c r="T49" s="329" t="e">
        <f>Q49-Q47</f>
        <v>#REF!</v>
      </c>
      <c r="U49" s="120"/>
      <c r="V49" s="146"/>
      <c r="W49" s="11"/>
      <c r="X49" s="11"/>
      <c r="Y49" s="11"/>
      <c r="Z49" s="10"/>
      <c r="AA49" s="10"/>
      <c r="AB49" s="776"/>
      <c r="AC49" s="776"/>
      <c r="AD49" s="776"/>
      <c r="AE49" s="776"/>
      <c r="AF49" s="776"/>
    </row>
    <row r="50" spans="1:32">
      <c r="A50" s="776"/>
      <c r="B50" s="776"/>
      <c r="C50" s="776"/>
      <c r="D50" s="776"/>
      <c r="E50" s="776"/>
      <c r="F50" s="11"/>
      <c r="G50" s="11"/>
      <c r="H50" s="11"/>
      <c r="I50" s="11"/>
      <c r="J50" s="11"/>
      <c r="K50" s="11"/>
      <c r="L50" s="11"/>
      <c r="M50" s="11"/>
      <c r="N50" s="11"/>
      <c r="O50" s="776"/>
      <c r="P50" s="776"/>
      <c r="Q50" s="776"/>
      <c r="R50" s="776"/>
      <c r="S50" s="776"/>
      <c r="T50" s="776"/>
      <c r="U50" s="776"/>
      <c r="V50" s="776"/>
      <c r="W50" s="776"/>
      <c r="X50" s="776"/>
      <c r="Y50" s="776"/>
      <c r="Z50" s="776"/>
      <c r="AA50" s="776"/>
      <c r="AB50" s="776"/>
      <c r="AC50" s="776"/>
      <c r="AD50" s="776"/>
      <c r="AE50" s="776"/>
      <c r="AF50" s="776"/>
    </row>
    <row r="51" spans="1:32">
      <c r="A51" s="776"/>
      <c r="B51" s="776"/>
      <c r="C51" s="776"/>
      <c r="D51" s="776"/>
      <c r="E51" s="776"/>
      <c r="F51" s="776"/>
      <c r="G51" s="776"/>
      <c r="H51" s="776"/>
      <c r="I51" s="776"/>
      <c r="J51" s="776"/>
      <c r="K51" s="776"/>
      <c r="L51" s="11"/>
      <c r="M51" s="596" t="s">
        <v>835</v>
      </c>
      <c r="N51" s="597"/>
      <c r="O51" s="598" t="e">
        <f>#REF!</f>
        <v>#REF!</v>
      </c>
      <c r="P51" s="597"/>
      <c r="Q51" s="601" t="e">
        <f>#REF!</f>
        <v>#REF!</v>
      </c>
      <c r="R51" s="48"/>
      <c r="S51" s="599"/>
      <c r="T51" s="600"/>
      <c r="U51" s="776"/>
      <c r="V51" s="776"/>
      <c r="W51" s="776"/>
      <c r="X51" s="776"/>
      <c r="Y51" s="776"/>
      <c r="Z51" s="776"/>
      <c r="AA51" s="776"/>
      <c r="AB51" s="776"/>
      <c r="AC51" s="776"/>
      <c r="AD51" s="776"/>
      <c r="AE51" s="776"/>
      <c r="AF51" s="776"/>
    </row>
    <row r="52" spans="1:32">
      <c r="A52" s="776"/>
      <c r="B52" s="776"/>
      <c r="C52" s="776"/>
      <c r="D52" s="776"/>
      <c r="E52" s="776"/>
      <c r="F52" s="17"/>
      <c r="G52" s="17"/>
      <c r="H52" s="776"/>
      <c r="I52" s="776"/>
      <c r="J52" s="776"/>
      <c r="K52" s="776"/>
      <c r="L52" s="11"/>
      <c r="M52" s="11"/>
      <c r="N52" s="11"/>
      <c r="O52" s="776"/>
      <c r="P52" s="776"/>
      <c r="Q52" s="776"/>
      <c r="R52" s="776"/>
      <c r="S52" s="776"/>
      <c r="T52" s="776"/>
      <c r="U52" s="776"/>
      <c r="V52" s="776"/>
      <c r="W52" s="776"/>
      <c r="X52" s="776"/>
      <c r="Y52" s="776"/>
      <c r="Z52" s="776"/>
      <c r="AA52" s="776"/>
      <c r="AB52" s="776"/>
      <c r="AC52" s="3" t="s">
        <v>836</v>
      </c>
      <c r="AD52" s="3" t="s">
        <v>837</v>
      </c>
      <c r="AE52" s="3" t="s">
        <v>838</v>
      </c>
      <c r="AF52" s="3" t="s">
        <v>837</v>
      </c>
    </row>
    <row r="53" spans="1:32">
      <c r="A53" s="776"/>
      <c r="B53" s="776"/>
      <c r="C53" s="776"/>
      <c r="D53" s="776"/>
      <c r="E53" s="776"/>
      <c r="F53" s="776"/>
      <c r="G53" s="776"/>
      <c r="H53" s="776"/>
      <c r="I53" s="776"/>
      <c r="J53" s="776"/>
      <c r="K53" s="776"/>
      <c r="L53" s="11"/>
      <c r="M53" s="11"/>
      <c r="N53" s="11"/>
      <c r="O53" s="776"/>
      <c r="P53" s="776"/>
      <c r="Q53" s="776"/>
      <c r="R53" s="776"/>
      <c r="S53" s="776"/>
      <c r="T53" s="776"/>
      <c r="U53" s="776"/>
      <c r="V53" s="776"/>
      <c r="W53" s="776"/>
      <c r="X53" s="776"/>
      <c r="Y53" s="776"/>
      <c r="Z53" s="776"/>
      <c r="AA53" s="776"/>
      <c r="AB53" s="776"/>
      <c r="AC53" s="177">
        <v>2015</v>
      </c>
      <c r="AD53" s="176">
        <v>2015</v>
      </c>
      <c r="AE53" s="177">
        <v>2016</v>
      </c>
      <c r="AF53" s="176">
        <v>2015</v>
      </c>
    </row>
    <row r="54" spans="1:32">
      <c r="A54" s="776"/>
      <c r="B54" s="776"/>
      <c r="C54" s="776"/>
      <c r="D54" s="776"/>
      <c r="E54" s="776"/>
      <c r="F54" s="776"/>
      <c r="G54" s="776"/>
      <c r="H54" s="776"/>
      <c r="I54" s="776"/>
      <c r="J54" s="776"/>
      <c r="K54" s="776"/>
      <c r="L54" s="11"/>
      <c r="M54" s="11"/>
      <c r="N54" s="11"/>
      <c r="O54" s="776"/>
      <c r="P54" s="776"/>
      <c r="Q54" s="776"/>
      <c r="R54" s="776"/>
      <c r="S54" s="776"/>
      <c r="T54" s="776"/>
      <c r="U54" s="776"/>
      <c r="V54" s="776"/>
      <c r="W54" s="776"/>
      <c r="X54" s="776"/>
      <c r="Y54" s="776"/>
      <c r="Z54" s="776"/>
      <c r="AA54" s="776"/>
      <c r="AB54" s="776"/>
      <c r="AC54" s="135" t="s">
        <v>839</v>
      </c>
      <c r="AD54" s="136" t="s">
        <v>840</v>
      </c>
      <c r="AE54" s="135" t="s">
        <v>839</v>
      </c>
      <c r="AF54" s="136" t="s">
        <v>840</v>
      </c>
    </row>
    <row r="55" spans="1:32">
      <c r="A55" s="776"/>
      <c r="B55" s="776"/>
      <c r="C55" s="776"/>
      <c r="D55" s="776"/>
      <c r="E55" s="776"/>
      <c r="F55" s="776"/>
      <c r="G55" s="776"/>
      <c r="H55" s="776"/>
      <c r="I55" s="776"/>
      <c r="J55" s="776"/>
      <c r="K55" s="776"/>
      <c r="L55" s="11"/>
      <c r="M55" s="11"/>
      <c r="N55" s="11"/>
      <c r="O55" s="776"/>
      <c r="P55" s="776"/>
      <c r="Q55" s="776"/>
      <c r="R55" s="776"/>
      <c r="S55" s="776"/>
      <c r="T55" s="776"/>
      <c r="U55" s="776"/>
      <c r="V55" s="776"/>
      <c r="W55" s="776"/>
      <c r="X55" s="776"/>
      <c r="Y55" s="776"/>
      <c r="Z55" s="776"/>
      <c r="AA55" s="776"/>
      <c r="AB55" s="148" t="s">
        <v>841</v>
      </c>
      <c r="AC55" s="137" t="e">
        <f>F5</f>
        <v>#REF!</v>
      </c>
      <c r="AD55" s="138">
        <v>91</v>
      </c>
      <c r="AE55" s="137" t="e">
        <f>M5</f>
        <v>#REF!</v>
      </c>
      <c r="AF55" s="138">
        <v>91</v>
      </c>
    </row>
    <row r="56" spans="1:32">
      <c r="A56" s="776"/>
      <c r="B56" s="776"/>
      <c r="C56" s="776"/>
      <c r="D56" s="776"/>
      <c r="E56" s="776"/>
      <c r="F56" s="776"/>
      <c r="G56" s="776"/>
      <c r="H56" s="776"/>
      <c r="I56" s="776"/>
      <c r="J56" s="776"/>
      <c r="K56" s="776"/>
      <c r="L56" s="11"/>
      <c r="M56" s="11"/>
      <c r="N56" s="11"/>
      <c r="O56" s="776"/>
      <c r="P56" s="776"/>
      <c r="Q56" s="776"/>
      <c r="R56" s="776"/>
      <c r="S56" s="776"/>
      <c r="T56" s="776"/>
      <c r="U56" s="776"/>
      <c r="V56" s="776"/>
      <c r="W56" s="776"/>
      <c r="X56" s="776"/>
      <c r="Y56" s="776"/>
      <c r="Z56" s="776"/>
      <c r="AA56" s="776"/>
      <c r="AB56" s="148" t="s">
        <v>774</v>
      </c>
      <c r="AC56" s="139" t="e">
        <f>#REF!/AC55</f>
        <v>#REF!</v>
      </c>
      <c r="AD56" s="140" t="e">
        <f>#REF!/AD55</f>
        <v>#REF!</v>
      </c>
      <c r="AE56" s="139" t="e">
        <f>#REF!/AE55</f>
        <v>#REF!</v>
      </c>
      <c r="AF56" s="140" t="e">
        <f>#REF!/AF55</f>
        <v>#REF!</v>
      </c>
    </row>
    <row r="57" spans="1:32">
      <c r="A57" s="776"/>
      <c r="B57" s="776"/>
      <c r="C57" s="776"/>
      <c r="D57" s="776"/>
      <c r="E57" s="776"/>
      <c r="F57" s="776"/>
      <c r="G57" s="776"/>
      <c r="H57" s="776"/>
      <c r="I57" s="776"/>
      <c r="J57" s="776"/>
      <c r="K57" s="776"/>
      <c r="L57" s="11"/>
      <c r="M57" s="11"/>
      <c r="N57" s="11"/>
      <c r="O57" s="776"/>
      <c r="P57" s="776"/>
      <c r="Q57" s="776"/>
      <c r="R57" s="776"/>
      <c r="S57" s="776"/>
      <c r="T57" s="776"/>
      <c r="U57" s="776"/>
      <c r="V57" s="776"/>
      <c r="W57" s="776"/>
      <c r="X57" s="776"/>
      <c r="Y57" s="776"/>
      <c r="Z57" s="776"/>
      <c r="AA57" s="776"/>
      <c r="AB57" s="148"/>
      <c r="AC57" s="141"/>
      <c r="AD57" s="141"/>
      <c r="AE57" s="141"/>
      <c r="AF57" s="141"/>
    </row>
    <row r="58" spans="1:32">
      <c r="A58" s="776"/>
      <c r="B58" s="776"/>
      <c r="C58" s="776"/>
      <c r="D58" s="776"/>
      <c r="E58" s="776"/>
      <c r="F58" s="776"/>
      <c r="G58" s="776"/>
      <c r="H58" s="776"/>
      <c r="I58" s="776"/>
      <c r="J58" s="776"/>
      <c r="K58" s="776"/>
      <c r="L58" s="11"/>
      <c r="M58" s="11"/>
      <c r="N58" s="11"/>
      <c r="O58" s="776"/>
      <c r="P58" s="776"/>
      <c r="Q58" s="776"/>
      <c r="R58" s="776"/>
      <c r="S58" s="776"/>
      <c r="T58" s="776"/>
      <c r="U58" s="776"/>
      <c r="V58" s="776"/>
      <c r="W58" s="776"/>
      <c r="X58" s="776"/>
      <c r="Y58" s="776"/>
      <c r="Z58" s="776"/>
      <c r="AA58" s="776"/>
      <c r="AB58" s="148" t="s">
        <v>842</v>
      </c>
      <c r="AC58" s="143" t="e">
        <f>F5*F11</f>
        <v>#REF!</v>
      </c>
      <c r="AD58" s="140">
        <v>1665233</v>
      </c>
      <c r="AE58" s="143" t="e">
        <f>M5*M11</f>
        <v>#REF!</v>
      </c>
      <c r="AF58" s="140">
        <v>1665233</v>
      </c>
    </row>
    <row r="59" spans="1:32">
      <c r="A59" s="776"/>
      <c r="B59" s="776"/>
      <c r="C59" s="776"/>
      <c r="D59" s="776"/>
      <c r="E59" s="776"/>
      <c r="F59" s="776"/>
      <c r="G59" s="776"/>
      <c r="H59" s="776"/>
      <c r="I59" s="776"/>
      <c r="J59" s="776"/>
      <c r="K59" s="776"/>
      <c r="L59" s="776"/>
      <c r="M59" s="776"/>
      <c r="N59" s="776"/>
      <c r="O59" s="776"/>
      <c r="P59" s="776"/>
      <c r="Q59" s="776"/>
      <c r="R59" s="776"/>
      <c r="S59" s="776"/>
      <c r="T59" s="776"/>
      <c r="U59" s="776"/>
      <c r="V59" s="776"/>
      <c r="W59" s="776"/>
      <c r="X59" s="776"/>
      <c r="Y59" s="776"/>
      <c r="Z59" s="776"/>
      <c r="AA59" s="776"/>
      <c r="AB59" s="10"/>
      <c r="AC59" s="1"/>
      <c r="AD59" s="1"/>
      <c r="AE59" s="1"/>
      <c r="AF59" s="1"/>
    </row>
    <row r="60" spans="1:32">
      <c r="A60" s="776"/>
      <c r="B60" s="776"/>
      <c r="C60" s="776"/>
      <c r="D60" s="776"/>
      <c r="E60" s="776"/>
      <c r="F60" s="776"/>
      <c r="G60" s="776"/>
      <c r="H60" s="776"/>
      <c r="I60" s="776"/>
      <c r="J60" s="776">
        <v>7</v>
      </c>
      <c r="K60" s="776"/>
      <c r="L60" s="776"/>
      <c r="M60" s="776"/>
      <c r="N60" s="776"/>
      <c r="O60" s="776"/>
      <c r="P60" s="776"/>
      <c r="Q60" s="776"/>
      <c r="R60" s="776"/>
      <c r="S60" s="776"/>
      <c r="T60" s="776"/>
      <c r="U60" s="776"/>
      <c r="V60" s="776"/>
      <c r="W60" s="776"/>
      <c r="X60" s="776"/>
      <c r="Y60" s="776"/>
      <c r="Z60" s="776"/>
      <c r="AA60" s="776"/>
      <c r="AB60" s="148" t="s">
        <v>774</v>
      </c>
      <c r="AC60" s="143" t="e">
        <f>AC58/AC55</f>
        <v>#REF!</v>
      </c>
      <c r="AD60" s="140">
        <f>AD58/AD55</f>
        <v>18299.263736263736</v>
      </c>
      <c r="AE60" s="143" t="e">
        <f>AE58/AE55</f>
        <v>#REF!</v>
      </c>
      <c r="AF60" s="140">
        <f>AF58/AF55</f>
        <v>18299.263736263736</v>
      </c>
    </row>
    <row r="61" spans="1:32">
      <c r="A61" s="776"/>
      <c r="B61" s="776"/>
      <c r="C61" s="776"/>
      <c r="D61" s="776"/>
      <c r="E61" s="776"/>
      <c r="F61" s="776"/>
      <c r="G61" s="776"/>
      <c r="H61" s="776"/>
      <c r="I61" s="776"/>
      <c r="J61" s="776"/>
      <c r="K61" s="776"/>
      <c r="L61" s="776"/>
      <c r="M61" s="776"/>
      <c r="N61" s="776"/>
      <c r="O61" s="776"/>
      <c r="P61" s="776"/>
      <c r="Q61" s="776"/>
      <c r="R61" s="776"/>
      <c r="S61" s="776"/>
      <c r="T61" s="776"/>
      <c r="U61" s="776"/>
      <c r="V61" s="776"/>
      <c r="W61" s="776"/>
      <c r="X61" s="776"/>
      <c r="Y61" s="776"/>
      <c r="Z61" s="776"/>
      <c r="AA61" s="776"/>
      <c r="AB61" s="10"/>
      <c r="AC61" s="1"/>
      <c r="AD61" s="1"/>
      <c r="AE61" s="1"/>
      <c r="AF61" s="1"/>
    </row>
    <row r="62" spans="1:32">
      <c r="A62" s="776"/>
      <c r="B62" s="776"/>
      <c r="C62" s="776"/>
      <c r="D62" s="776"/>
      <c r="E62" s="776"/>
      <c r="F62" s="776"/>
      <c r="G62" s="776"/>
      <c r="H62" s="776"/>
      <c r="I62" s="776"/>
      <c r="J62" s="776"/>
      <c r="K62" s="776"/>
      <c r="L62" s="776"/>
      <c r="M62" s="776"/>
      <c r="N62" s="776"/>
      <c r="O62" s="776"/>
      <c r="P62" s="776"/>
      <c r="Q62" s="776"/>
      <c r="R62" s="776"/>
      <c r="S62" s="776"/>
      <c r="T62" s="776"/>
      <c r="U62" s="776"/>
      <c r="V62" s="776"/>
      <c r="W62" s="776"/>
      <c r="X62" s="776"/>
      <c r="Y62" s="776"/>
      <c r="Z62" s="776"/>
      <c r="AA62" s="776"/>
      <c r="AB62" s="148" t="s">
        <v>843</v>
      </c>
      <c r="AC62" s="144" t="e">
        <f>AC58/#REF!*1000</f>
        <v>#REF!</v>
      </c>
      <c r="AD62" s="142" t="e">
        <f>AD58/#REF!*1000</f>
        <v>#REF!</v>
      </c>
      <c r="AE62" s="144" t="e">
        <f>AE58/#REF!*1000</f>
        <v>#REF!</v>
      </c>
      <c r="AF62" s="142" t="e">
        <f>AF58/#REF!*1000</f>
        <v>#REF!</v>
      </c>
    </row>
    <row r="63" spans="1:32">
      <c r="A63" s="776"/>
      <c r="B63" s="776"/>
      <c r="C63" s="776"/>
      <c r="D63" s="776"/>
      <c r="E63" s="776"/>
      <c r="F63" s="776"/>
      <c r="G63" s="776"/>
      <c r="H63" s="776"/>
      <c r="I63" s="776"/>
      <c r="J63" s="776"/>
      <c r="K63" s="776"/>
      <c r="L63" s="776"/>
      <c r="M63" s="776"/>
      <c r="N63" s="776"/>
      <c r="O63" s="776"/>
      <c r="P63" s="776"/>
      <c r="Q63" s="776"/>
      <c r="R63" s="776"/>
      <c r="S63" s="776"/>
      <c r="T63" s="776"/>
      <c r="U63" s="776"/>
      <c r="V63" s="776"/>
      <c r="W63" s="776"/>
      <c r="X63" s="776"/>
      <c r="Y63" s="776"/>
      <c r="Z63" s="776"/>
      <c r="AA63" s="776"/>
      <c r="AB63" s="11"/>
      <c r="AC63" s="11"/>
      <c r="AD63" s="11"/>
      <c r="AE63" s="776"/>
      <c r="AF63" s="776"/>
    </row>
  </sheetData>
  <customSheetViews>
    <customSheetView guid="{5826E3E6-173D-429F-ABE1-D868EE9E034B}" scale="98" showGridLines="0" fitToPage="1" topLeftCell="I1">
      <selection activeCell="I22" sqref="I22"/>
      <pageMargins left="0" right="0" top="0" bottom="0" header="0" footer="0"/>
      <pageSetup paperSize="9" scale="80" orientation="landscape" horizontalDpi="0" verticalDpi="0" r:id="rId1"/>
    </customSheetView>
  </customSheetViews>
  <mergeCells count="6">
    <mergeCell ref="B7:C7"/>
    <mergeCell ref="M3:Q3"/>
    <mergeCell ref="F3:J3"/>
    <mergeCell ref="K3:L3"/>
    <mergeCell ref="A1:B1"/>
    <mergeCell ref="C2:D2"/>
  </mergeCells>
  <pageMargins left="0.70866141732283461" right="0.70866141732283461" top="0.74803149606299213" bottom="0.74803149606299213" header="0.31496062992125984" footer="0.31496062992125984"/>
  <pageSetup paperSize="9" scale="76" orientation="landscape" horizontalDpi="0" verticalDpi="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530C5-9970-4B35-A480-27351FA88828}">
  <sheetPr>
    <pageSetUpPr fitToPage="1"/>
  </sheetPr>
  <dimension ref="A1:AB118"/>
  <sheetViews>
    <sheetView workbookViewId="0"/>
  </sheetViews>
  <sheetFormatPr defaultRowHeight="12.75"/>
  <cols>
    <col min="2" max="2" width="5" customWidth="1"/>
    <col min="3" max="3" width="5.7109375" customWidth="1"/>
    <col min="6" max="27" width="8" customWidth="1"/>
  </cols>
  <sheetData>
    <row r="1" spans="1:28">
      <c r="A1" s="1" t="s">
        <v>844</v>
      </c>
      <c r="B1" s="776"/>
      <c r="C1" s="776"/>
      <c r="D1" s="776"/>
      <c r="E1" s="776"/>
      <c r="F1" s="1202">
        <v>1999</v>
      </c>
      <c r="G1" s="1202">
        <f t="shared" ref="G1:AB1" si="0">F1+1</f>
        <v>2000</v>
      </c>
      <c r="H1" s="1202">
        <f t="shared" si="0"/>
        <v>2001</v>
      </c>
      <c r="I1" s="1202">
        <f t="shared" si="0"/>
        <v>2002</v>
      </c>
      <c r="J1" s="1202">
        <f t="shared" si="0"/>
        <v>2003</v>
      </c>
      <c r="K1" s="1202">
        <f t="shared" si="0"/>
        <v>2004</v>
      </c>
      <c r="L1" s="1202">
        <f t="shared" si="0"/>
        <v>2005</v>
      </c>
      <c r="M1" s="1202">
        <f t="shared" si="0"/>
        <v>2006</v>
      </c>
      <c r="N1" s="1202">
        <v>2007</v>
      </c>
      <c r="O1" s="1202">
        <f t="shared" si="0"/>
        <v>2008</v>
      </c>
      <c r="P1" s="1202">
        <f t="shared" si="0"/>
        <v>2009</v>
      </c>
      <c r="Q1" s="1202">
        <f t="shared" si="0"/>
        <v>2010</v>
      </c>
      <c r="R1" s="1202">
        <f t="shared" si="0"/>
        <v>2011</v>
      </c>
      <c r="S1" s="1202">
        <f t="shared" si="0"/>
        <v>2012</v>
      </c>
      <c r="T1" s="1202">
        <f t="shared" si="0"/>
        <v>2013</v>
      </c>
      <c r="U1" s="1202">
        <f t="shared" si="0"/>
        <v>2014</v>
      </c>
      <c r="V1" s="1202">
        <f t="shared" si="0"/>
        <v>2015</v>
      </c>
      <c r="W1" s="1202">
        <f t="shared" si="0"/>
        <v>2016</v>
      </c>
      <c r="X1" s="1202">
        <f t="shared" si="0"/>
        <v>2017</v>
      </c>
      <c r="Y1" s="1202">
        <f t="shared" si="0"/>
        <v>2018</v>
      </c>
      <c r="Z1" s="1202">
        <f t="shared" si="0"/>
        <v>2019</v>
      </c>
      <c r="AA1" s="1202">
        <f t="shared" si="0"/>
        <v>2020</v>
      </c>
      <c r="AB1" s="1202">
        <f t="shared" si="0"/>
        <v>2021</v>
      </c>
    </row>
    <row r="2" spans="1:28" s="776" customFormat="1">
      <c r="A2" s="52">
        <v>100</v>
      </c>
      <c r="B2" s="1188" t="s">
        <v>614</v>
      </c>
      <c r="C2" s="811"/>
      <c r="D2" s="1199" t="s">
        <v>615</v>
      </c>
      <c r="E2" s="52"/>
      <c r="F2" s="887"/>
      <c r="G2" s="887"/>
      <c r="H2" s="887"/>
      <c r="I2" s="887"/>
      <c r="J2" s="887"/>
      <c r="K2" s="882"/>
      <c r="L2" s="882"/>
      <c r="M2" s="882"/>
      <c r="N2" s="882"/>
      <c r="O2" s="882"/>
      <c r="P2" s="882"/>
      <c r="Q2" s="882"/>
      <c r="R2" s="882"/>
      <c r="S2" s="887"/>
      <c r="T2" s="887"/>
      <c r="U2" s="887"/>
      <c r="V2" s="887"/>
      <c r="W2" s="887"/>
      <c r="X2" s="887"/>
      <c r="Y2" s="887"/>
      <c r="Z2" s="887"/>
      <c r="AA2" s="887"/>
    </row>
    <row r="3" spans="1:28" s="776" customFormat="1">
      <c r="A3" s="52"/>
      <c r="B3" s="811"/>
      <c r="C3" s="242" t="s">
        <v>616</v>
      </c>
      <c r="D3" s="73" t="s">
        <v>62</v>
      </c>
      <c r="E3" s="52"/>
      <c r="F3" s="891" t="e">
        <f>#REF!</f>
        <v>#REF!</v>
      </c>
      <c r="G3" s="891" t="e">
        <f>#REF!</f>
        <v>#REF!</v>
      </c>
      <c r="H3" s="891" t="e">
        <f>#REF!</f>
        <v>#REF!</v>
      </c>
      <c r="I3" s="891" t="e">
        <f>#REF!</f>
        <v>#REF!</v>
      </c>
      <c r="J3" s="891" t="e">
        <f>#REF!</f>
        <v>#REF!</v>
      </c>
      <c r="K3" s="891" t="e">
        <f>#REF!</f>
        <v>#REF!</v>
      </c>
      <c r="L3" s="891" t="e">
        <f>#REF!</f>
        <v>#REF!</v>
      </c>
      <c r="M3" s="891" t="e">
        <f>#REF!</f>
        <v>#REF!</v>
      </c>
      <c r="N3" s="891" t="e">
        <f>#REF!</f>
        <v>#REF!</v>
      </c>
      <c r="O3" s="891" t="e">
        <f>#REF!</f>
        <v>#REF!</v>
      </c>
      <c r="P3" s="891" t="e">
        <f>#REF!</f>
        <v>#REF!</v>
      </c>
      <c r="Q3" s="891" t="e">
        <f>#REF!</f>
        <v>#REF!</v>
      </c>
      <c r="R3" s="891" t="e">
        <f>#REF!</f>
        <v>#REF!</v>
      </c>
      <c r="S3" s="891" t="e">
        <f>#REF!</f>
        <v>#REF!</v>
      </c>
      <c r="T3" s="891" t="e">
        <f>#REF!</f>
        <v>#REF!</v>
      </c>
      <c r="U3" s="891" t="e">
        <f>#REF!</f>
        <v>#REF!</v>
      </c>
      <c r="V3" s="891" t="e">
        <f>#REF!</f>
        <v>#REF!</v>
      </c>
      <c r="W3" s="891" t="e">
        <f>#REF!</f>
        <v>#REF!</v>
      </c>
      <c r="X3" s="891" t="e">
        <f>#REF!</f>
        <v>#REF!</v>
      </c>
      <c r="Y3" s="891" t="e">
        <f>#REF!</f>
        <v>#REF!</v>
      </c>
      <c r="Z3" s="891" t="e">
        <f>#REF!</f>
        <v>#REF!</v>
      </c>
      <c r="AA3" s="891" t="e">
        <f>#REF!</f>
        <v>#REF!</v>
      </c>
    </row>
    <row r="4" spans="1:28" s="776" customFormat="1">
      <c r="A4" s="52"/>
      <c r="B4" s="811"/>
      <c r="C4" s="242" t="s">
        <v>617</v>
      </c>
      <c r="D4" s="73" t="s">
        <v>63</v>
      </c>
      <c r="E4" s="52"/>
      <c r="F4" s="891" t="e">
        <f>#REF!</f>
        <v>#REF!</v>
      </c>
      <c r="G4" s="891" t="e">
        <f>#REF!</f>
        <v>#REF!</v>
      </c>
      <c r="H4" s="891" t="e">
        <f>#REF!</f>
        <v>#REF!</v>
      </c>
      <c r="I4" s="891" t="e">
        <f>#REF!</f>
        <v>#REF!</v>
      </c>
      <c r="J4" s="891" t="e">
        <f>#REF!</f>
        <v>#REF!</v>
      </c>
      <c r="K4" s="891" t="e">
        <f>#REF!</f>
        <v>#REF!</v>
      </c>
      <c r="L4" s="891" t="e">
        <f>#REF!</f>
        <v>#REF!</v>
      </c>
      <c r="M4" s="891" t="e">
        <f>#REF!</f>
        <v>#REF!</v>
      </c>
      <c r="N4" s="891" t="e">
        <f>#REF!</f>
        <v>#REF!</v>
      </c>
      <c r="O4" s="891" t="e">
        <f>#REF!</f>
        <v>#REF!</v>
      </c>
      <c r="P4" s="891" t="e">
        <f>#REF!</f>
        <v>#REF!</v>
      </c>
      <c r="Q4" s="891" t="e">
        <f>#REF!</f>
        <v>#REF!</v>
      </c>
      <c r="R4" s="891" t="e">
        <f>#REF!</f>
        <v>#REF!</v>
      </c>
      <c r="S4" s="891" t="e">
        <f>#REF!</f>
        <v>#REF!</v>
      </c>
      <c r="T4" s="891" t="e">
        <f>#REF!</f>
        <v>#REF!</v>
      </c>
      <c r="U4" s="891" t="e">
        <f>#REF!</f>
        <v>#REF!</v>
      </c>
      <c r="V4" s="891" t="e">
        <f>#REF!</f>
        <v>#REF!</v>
      </c>
      <c r="W4" s="891" t="e">
        <f>#REF!</f>
        <v>#REF!</v>
      </c>
      <c r="X4" s="891" t="e">
        <f>#REF!</f>
        <v>#REF!</v>
      </c>
      <c r="Y4" s="891" t="e">
        <f>#REF!</f>
        <v>#REF!</v>
      </c>
      <c r="Z4" s="891" t="e">
        <f>#REF!</f>
        <v>#REF!</v>
      </c>
      <c r="AA4" s="891" t="e">
        <f>#REF!</f>
        <v>#REF!</v>
      </c>
    </row>
    <row r="5" spans="1:28" s="776" customFormat="1">
      <c r="A5" s="52"/>
      <c r="B5" s="811"/>
      <c r="C5" s="242" t="s">
        <v>618</v>
      </c>
      <c r="D5" s="73" t="s">
        <v>65</v>
      </c>
      <c r="E5" s="52"/>
      <c r="F5" s="891" t="e">
        <f>#REF!</f>
        <v>#REF!</v>
      </c>
      <c r="G5" s="891" t="e">
        <f>#REF!</f>
        <v>#REF!</v>
      </c>
      <c r="H5" s="891" t="e">
        <f>#REF!</f>
        <v>#REF!</v>
      </c>
      <c r="I5" s="891" t="e">
        <f>#REF!</f>
        <v>#REF!</v>
      </c>
      <c r="J5" s="891" t="e">
        <f>#REF!</f>
        <v>#REF!</v>
      </c>
      <c r="K5" s="891" t="e">
        <f>#REF!</f>
        <v>#REF!</v>
      </c>
      <c r="L5" s="891" t="e">
        <f>#REF!</f>
        <v>#REF!</v>
      </c>
      <c r="M5" s="891" t="e">
        <f>#REF!</f>
        <v>#REF!</v>
      </c>
      <c r="N5" s="891" t="e">
        <f>#REF!</f>
        <v>#REF!</v>
      </c>
      <c r="O5" s="891" t="e">
        <f>#REF!</f>
        <v>#REF!</v>
      </c>
      <c r="P5" s="891" t="e">
        <f>#REF!</f>
        <v>#REF!</v>
      </c>
      <c r="Q5" s="891" t="e">
        <f>#REF!</f>
        <v>#REF!</v>
      </c>
      <c r="R5" s="891" t="e">
        <f>#REF!</f>
        <v>#REF!</v>
      </c>
      <c r="S5" s="891" t="e">
        <f>#REF!</f>
        <v>#REF!</v>
      </c>
      <c r="T5" s="891" t="e">
        <f>#REF!</f>
        <v>#REF!</v>
      </c>
      <c r="U5" s="891" t="e">
        <f>#REF!</f>
        <v>#REF!</v>
      </c>
      <c r="V5" s="891" t="e">
        <f>#REF!</f>
        <v>#REF!</v>
      </c>
      <c r="W5" s="891" t="e">
        <f>#REF!</f>
        <v>#REF!</v>
      </c>
      <c r="X5" s="891" t="e">
        <f>#REF!</f>
        <v>#REF!</v>
      </c>
      <c r="Y5" s="891" t="e">
        <f>#REF!</f>
        <v>#REF!</v>
      </c>
      <c r="Z5" s="891" t="e">
        <f>#REF!</f>
        <v>#REF!</v>
      </c>
      <c r="AA5" s="891" t="e">
        <f>#REF!</f>
        <v>#REF!</v>
      </c>
    </row>
    <row r="6" spans="1:28" s="776" customFormat="1">
      <c r="A6" s="52"/>
      <c r="B6" s="811"/>
      <c r="C6" s="242" t="s">
        <v>9</v>
      </c>
      <c r="D6" s="73" t="s">
        <v>66</v>
      </c>
      <c r="E6" s="52"/>
      <c r="F6" s="891" t="e">
        <f>#REF!</f>
        <v>#REF!</v>
      </c>
      <c r="G6" s="891" t="e">
        <f>#REF!</f>
        <v>#REF!</v>
      </c>
      <c r="H6" s="891" t="e">
        <f>#REF!</f>
        <v>#REF!</v>
      </c>
      <c r="I6" s="891" t="e">
        <f>#REF!</f>
        <v>#REF!</v>
      </c>
      <c r="J6" s="891" t="e">
        <f>#REF!</f>
        <v>#REF!</v>
      </c>
      <c r="K6" s="891" t="e">
        <f>#REF!</f>
        <v>#REF!</v>
      </c>
      <c r="L6" s="891" t="e">
        <f>#REF!</f>
        <v>#REF!</v>
      </c>
      <c r="M6" s="891" t="e">
        <f>#REF!</f>
        <v>#REF!</v>
      </c>
      <c r="N6" s="891" t="e">
        <f>#REF!</f>
        <v>#REF!</v>
      </c>
      <c r="O6" s="891" t="e">
        <f>#REF!</f>
        <v>#REF!</v>
      </c>
      <c r="P6" s="891" t="e">
        <f>#REF!</f>
        <v>#REF!</v>
      </c>
      <c r="Q6" s="891" t="e">
        <f>#REF!</f>
        <v>#REF!</v>
      </c>
      <c r="R6" s="891" t="e">
        <f>#REF!</f>
        <v>#REF!</v>
      </c>
      <c r="S6" s="891" t="e">
        <f>#REF!</f>
        <v>#REF!</v>
      </c>
      <c r="T6" s="891" t="e">
        <f>#REF!</f>
        <v>#REF!</v>
      </c>
      <c r="U6" s="891" t="e">
        <f>#REF!</f>
        <v>#REF!</v>
      </c>
      <c r="V6" s="891" t="e">
        <f>#REF!</f>
        <v>#REF!</v>
      </c>
      <c r="W6" s="891" t="e">
        <f>#REF!</f>
        <v>#REF!</v>
      </c>
      <c r="X6" s="891" t="e">
        <f>#REF!</f>
        <v>#REF!</v>
      </c>
      <c r="Y6" s="891" t="e">
        <f>#REF!</f>
        <v>#REF!</v>
      </c>
      <c r="Z6" s="891" t="e">
        <f>#REF!</f>
        <v>#REF!</v>
      </c>
      <c r="AA6" s="891" t="e">
        <f>#REF!</f>
        <v>#REF!</v>
      </c>
    </row>
    <row r="7" spans="1:28" s="776" customFormat="1">
      <c r="A7" s="52"/>
      <c r="B7" s="811"/>
      <c r="C7" s="242" t="s">
        <v>619</v>
      </c>
      <c r="D7" s="73" t="s">
        <v>67</v>
      </c>
      <c r="E7" s="52"/>
      <c r="F7" s="891" t="e">
        <f>#REF!</f>
        <v>#REF!</v>
      </c>
      <c r="G7" s="891" t="e">
        <f>#REF!</f>
        <v>#REF!</v>
      </c>
      <c r="H7" s="891" t="e">
        <f>#REF!</f>
        <v>#REF!</v>
      </c>
      <c r="I7" s="891" t="e">
        <f>#REF!</f>
        <v>#REF!</v>
      </c>
      <c r="J7" s="891" t="e">
        <f>#REF!</f>
        <v>#REF!</v>
      </c>
      <c r="K7" s="891" t="e">
        <f>#REF!</f>
        <v>#REF!</v>
      </c>
      <c r="L7" s="891" t="e">
        <f>#REF!</f>
        <v>#REF!</v>
      </c>
      <c r="M7" s="891" t="e">
        <f>#REF!</f>
        <v>#REF!</v>
      </c>
      <c r="N7" s="891" t="e">
        <f>#REF!</f>
        <v>#REF!</v>
      </c>
      <c r="O7" s="891" t="e">
        <f>#REF!</f>
        <v>#REF!</v>
      </c>
      <c r="P7" s="891" t="e">
        <f>#REF!</f>
        <v>#REF!</v>
      </c>
      <c r="Q7" s="891" t="e">
        <f>#REF!</f>
        <v>#REF!</v>
      </c>
      <c r="R7" s="891" t="e">
        <f>#REF!</f>
        <v>#REF!</v>
      </c>
      <c r="S7" s="891" t="e">
        <f>#REF!</f>
        <v>#REF!</v>
      </c>
      <c r="T7" s="891" t="e">
        <f>#REF!</f>
        <v>#REF!</v>
      </c>
      <c r="U7" s="891" t="e">
        <f>#REF!</f>
        <v>#REF!</v>
      </c>
      <c r="V7" s="891" t="e">
        <f>#REF!</f>
        <v>#REF!</v>
      </c>
      <c r="W7" s="891" t="e">
        <f>#REF!</f>
        <v>#REF!</v>
      </c>
      <c r="X7" s="891" t="e">
        <f>#REF!</f>
        <v>#REF!</v>
      </c>
      <c r="Y7" s="891" t="e">
        <f>#REF!</f>
        <v>#REF!</v>
      </c>
      <c r="Z7" s="891" t="e">
        <f>#REF!</f>
        <v>#REF!</v>
      </c>
      <c r="AA7" s="891" t="e">
        <f>#REF!</f>
        <v>#REF!</v>
      </c>
    </row>
    <row r="8" spans="1:28" s="776" customFormat="1">
      <c r="A8" s="52"/>
      <c r="B8" s="811"/>
      <c r="C8" s="242" t="s">
        <v>620</v>
      </c>
      <c r="D8" s="73" t="s">
        <v>68</v>
      </c>
      <c r="E8" s="52"/>
      <c r="F8" s="891" t="e">
        <f>#REF!</f>
        <v>#REF!</v>
      </c>
      <c r="G8" s="891" t="e">
        <f>#REF!</f>
        <v>#REF!</v>
      </c>
      <c r="H8" s="891" t="e">
        <f>#REF!</f>
        <v>#REF!</v>
      </c>
      <c r="I8" s="891" t="e">
        <f>#REF!</f>
        <v>#REF!</v>
      </c>
      <c r="J8" s="891" t="e">
        <f>#REF!</f>
        <v>#REF!</v>
      </c>
      <c r="K8" s="891" t="e">
        <f>#REF!</f>
        <v>#REF!</v>
      </c>
      <c r="L8" s="891" t="e">
        <f>#REF!</f>
        <v>#REF!</v>
      </c>
      <c r="M8" s="891" t="e">
        <f>#REF!</f>
        <v>#REF!</v>
      </c>
      <c r="N8" s="891" t="e">
        <f>#REF!</f>
        <v>#REF!</v>
      </c>
      <c r="O8" s="891" t="e">
        <f>#REF!</f>
        <v>#REF!</v>
      </c>
      <c r="P8" s="891" t="e">
        <f>#REF!</f>
        <v>#REF!</v>
      </c>
      <c r="Q8" s="891" t="e">
        <f>#REF!</f>
        <v>#REF!</v>
      </c>
      <c r="R8" s="891" t="e">
        <f>#REF!</f>
        <v>#REF!</v>
      </c>
      <c r="S8" s="891" t="e">
        <f>#REF!</f>
        <v>#REF!</v>
      </c>
      <c r="T8" s="891" t="e">
        <f>#REF!</f>
        <v>#REF!</v>
      </c>
      <c r="U8" s="891" t="e">
        <f>#REF!</f>
        <v>#REF!</v>
      </c>
      <c r="V8" s="891" t="e">
        <f>#REF!</f>
        <v>#REF!</v>
      </c>
      <c r="W8" s="891" t="e">
        <f>#REF!</f>
        <v>#REF!</v>
      </c>
      <c r="X8" s="891" t="e">
        <f>#REF!</f>
        <v>#REF!</v>
      </c>
      <c r="Y8" s="891" t="e">
        <f>#REF!</f>
        <v>#REF!</v>
      </c>
      <c r="Z8" s="891" t="e">
        <f>#REF!</f>
        <v>#REF!</v>
      </c>
      <c r="AA8" s="891" t="e">
        <f>#REF!</f>
        <v>#REF!</v>
      </c>
    </row>
    <row r="9" spans="1:28" s="776" customFormat="1">
      <c r="A9" s="52"/>
      <c r="B9" s="811"/>
      <c r="C9" s="242" t="s">
        <v>621</v>
      </c>
      <c r="D9" s="242" t="s">
        <v>69</v>
      </c>
      <c r="E9" s="52"/>
      <c r="F9" s="891" t="e">
        <f>#REF!</f>
        <v>#REF!</v>
      </c>
      <c r="G9" s="891" t="e">
        <f>#REF!</f>
        <v>#REF!</v>
      </c>
      <c r="H9" s="891" t="e">
        <f>#REF!</f>
        <v>#REF!</v>
      </c>
      <c r="I9" s="891" t="e">
        <f>#REF!</f>
        <v>#REF!</v>
      </c>
      <c r="J9" s="891" t="e">
        <f>#REF!</f>
        <v>#REF!</v>
      </c>
      <c r="K9" s="891" t="e">
        <f>#REF!</f>
        <v>#REF!</v>
      </c>
      <c r="L9" s="891" t="e">
        <f>#REF!</f>
        <v>#REF!</v>
      </c>
      <c r="M9" s="891" t="e">
        <f>#REF!</f>
        <v>#REF!</v>
      </c>
      <c r="N9" s="891" t="e">
        <f>#REF!</f>
        <v>#REF!</v>
      </c>
      <c r="O9" s="891" t="e">
        <f>#REF!</f>
        <v>#REF!</v>
      </c>
      <c r="P9" s="891" t="e">
        <f>#REF!</f>
        <v>#REF!</v>
      </c>
      <c r="Q9" s="891" t="e">
        <f>#REF!</f>
        <v>#REF!</v>
      </c>
      <c r="R9" s="891" t="e">
        <f>#REF!</f>
        <v>#REF!</v>
      </c>
      <c r="S9" s="891" t="e">
        <f>#REF!</f>
        <v>#REF!</v>
      </c>
      <c r="T9" s="891" t="e">
        <f>#REF!</f>
        <v>#REF!</v>
      </c>
      <c r="U9" s="891" t="e">
        <f>#REF!</f>
        <v>#REF!</v>
      </c>
      <c r="V9" s="891" t="e">
        <f>#REF!</f>
        <v>#REF!</v>
      </c>
      <c r="W9" s="891" t="e">
        <f>#REF!</f>
        <v>#REF!</v>
      </c>
      <c r="X9" s="891" t="e">
        <f>#REF!</f>
        <v>#REF!</v>
      </c>
      <c r="Y9" s="891" t="e">
        <f>#REF!</f>
        <v>#REF!</v>
      </c>
      <c r="Z9" s="891" t="e">
        <f>#REF!</f>
        <v>#REF!</v>
      </c>
      <c r="AA9" s="891" t="e">
        <f>#REF!</f>
        <v>#REF!</v>
      </c>
    </row>
    <row r="10" spans="1:28" s="776" customFormat="1">
      <c r="A10" s="52"/>
      <c r="B10" s="811"/>
      <c r="C10" s="811"/>
      <c r="D10" s="929" t="s">
        <v>622</v>
      </c>
      <c r="E10" s="52"/>
      <c r="F10" s="891" t="e">
        <f t="shared" ref="F10:J10" si="1">SUM(F3:F9)</f>
        <v>#REF!</v>
      </c>
      <c r="G10" s="891" t="e">
        <f t="shared" si="1"/>
        <v>#REF!</v>
      </c>
      <c r="H10" s="891" t="e">
        <f t="shared" si="1"/>
        <v>#REF!</v>
      </c>
      <c r="I10" s="891" t="e">
        <f t="shared" si="1"/>
        <v>#REF!</v>
      </c>
      <c r="J10" s="891" t="e">
        <f t="shared" si="1"/>
        <v>#REF!</v>
      </c>
      <c r="K10" s="891" t="e">
        <f>SUM(K3:K9)</f>
        <v>#REF!</v>
      </c>
      <c r="L10" s="891" t="e">
        <f t="shared" ref="L10:AA10" si="2">SUM(L3:L9)</f>
        <v>#REF!</v>
      </c>
      <c r="M10" s="891" t="e">
        <f t="shared" si="2"/>
        <v>#REF!</v>
      </c>
      <c r="N10" s="891" t="e">
        <f t="shared" si="2"/>
        <v>#REF!</v>
      </c>
      <c r="O10" s="891" t="e">
        <f t="shared" si="2"/>
        <v>#REF!</v>
      </c>
      <c r="P10" s="891" t="e">
        <f t="shared" si="2"/>
        <v>#REF!</v>
      </c>
      <c r="Q10" s="891" t="e">
        <f t="shared" si="2"/>
        <v>#REF!</v>
      </c>
      <c r="R10" s="891" t="e">
        <f t="shared" si="2"/>
        <v>#REF!</v>
      </c>
      <c r="S10" s="891" t="e">
        <f t="shared" si="2"/>
        <v>#REF!</v>
      </c>
      <c r="T10" s="891" t="e">
        <f t="shared" si="2"/>
        <v>#REF!</v>
      </c>
      <c r="U10" s="891" t="e">
        <f t="shared" si="2"/>
        <v>#REF!</v>
      </c>
      <c r="V10" s="891" t="e">
        <f t="shared" si="2"/>
        <v>#REF!</v>
      </c>
      <c r="W10" s="891" t="e">
        <f t="shared" si="2"/>
        <v>#REF!</v>
      </c>
      <c r="X10" s="891" t="e">
        <f t="shared" si="2"/>
        <v>#REF!</v>
      </c>
      <c r="Y10" s="891" t="e">
        <f t="shared" si="2"/>
        <v>#REF!</v>
      </c>
      <c r="Z10" s="891" t="e">
        <f t="shared" si="2"/>
        <v>#REF!</v>
      </c>
      <c r="AA10" s="891" t="e">
        <f t="shared" si="2"/>
        <v>#REF!</v>
      </c>
    </row>
    <row r="11" spans="1:28" s="776" customFormat="1">
      <c r="A11" s="52"/>
      <c r="B11" s="811"/>
      <c r="C11" s="811"/>
      <c r="D11" s="52" t="s">
        <v>606</v>
      </c>
      <c r="E11" s="52"/>
      <c r="F11" s="1034">
        <v>0</v>
      </c>
      <c r="G11" s="1034">
        <v>0</v>
      </c>
      <c r="H11" s="1034">
        <v>0</v>
      </c>
      <c r="I11" s="1034">
        <v>0</v>
      </c>
      <c r="J11" s="1034">
        <v>0</v>
      </c>
      <c r="K11" s="1034">
        <v>0</v>
      </c>
      <c r="L11" s="1034">
        <v>0</v>
      </c>
      <c r="M11" s="1034">
        <v>0</v>
      </c>
      <c r="N11" s="1034">
        <v>0</v>
      </c>
      <c r="O11" s="1034">
        <v>0</v>
      </c>
      <c r="P11" s="1034">
        <v>0</v>
      </c>
      <c r="Q11" s="1034">
        <v>0</v>
      </c>
      <c r="R11" s="1034">
        <v>0</v>
      </c>
      <c r="S11" s="1034">
        <v>0</v>
      </c>
      <c r="T11" s="1034">
        <v>0</v>
      </c>
      <c r="U11" s="1034">
        <v>0</v>
      </c>
      <c r="V11" s="1034">
        <v>0</v>
      </c>
      <c r="W11" s="1034">
        <v>0</v>
      </c>
      <c r="X11" s="1034">
        <v>0</v>
      </c>
      <c r="Y11" s="1034">
        <v>0</v>
      </c>
      <c r="Z11" s="1034">
        <v>0</v>
      </c>
      <c r="AA11" s="1034">
        <v>0</v>
      </c>
    </row>
    <row r="12" spans="1:28" s="776" customFormat="1">
      <c r="A12" s="52"/>
      <c r="B12" s="52"/>
      <c r="C12" s="52"/>
      <c r="D12" s="52" t="s">
        <v>611</v>
      </c>
      <c r="E12" s="52"/>
      <c r="F12" s="891" t="e">
        <f>F10*F11</f>
        <v>#REF!</v>
      </c>
      <c r="G12" s="891" t="e">
        <f>G10*G11</f>
        <v>#REF!</v>
      </c>
      <c r="H12" s="891" t="e">
        <f>H10*H11</f>
        <v>#REF!</v>
      </c>
      <c r="I12" s="891" t="e">
        <f t="shared" ref="I12:AA12" si="3">I10*I11</f>
        <v>#REF!</v>
      </c>
      <c r="J12" s="891" t="e">
        <f t="shared" si="3"/>
        <v>#REF!</v>
      </c>
      <c r="K12" s="891" t="e">
        <f t="shared" si="3"/>
        <v>#REF!</v>
      </c>
      <c r="L12" s="891" t="e">
        <f t="shared" si="3"/>
        <v>#REF!</v>
      </c>
      <c r="M12" s="891" t="e">
        <f t="shared" si="3"/>
        <v>#REF!</v>
      </c>
      <c r="N12" s="891" t="e">
        <f t="shared" si="3"/>
        <v>#REF!</v>
      </c>
      <c r="O12" s="891" t="e">
        <f t="shared" si="3"/>
        <v>#REF!</v>
      </c>
      <c r="P12" s="891" t="e">
        <f t="shared" si="3"/>
        <v>#REF!</v>
      </c>
      <c r="Q12" s="891" t="e">
        <f t="shared" si="3"/>
        <v>#REF!</v>
      </c>
      <c r="R12" s="891" t="e">
        <f t="shared" si="3"/>
        <v>#REF!</v>
      </c>
      <c r="S12" s="891" t="e">
        <f t="shared" si="3"/>
        <v>#REF!</v>
      </c>
      <c r="T12" s="891" t="e">
        <f t="shared" si="3"/>
        <v>#REF!</v>
      </c>
      <c r="U12" s="891" t="e">
        <f t="shared" si="3"/>
        <v>#REF!</v>
      </c>
      <c r="V12" s="891" t="e">
        <f t="shared" si="3"/>
        <v>#REF!</v>
      </c>
      <c r="W12" s="891" t="e">
        <f t="shared" si="3"/>
        <v>#REF!</v>
      </c>
      <c r="X12" s="891" t="e">
        <f t="shared" si="3"/>
        <v>#REF!</v>
      </c>
      <c r="Y12" s="891" t="e">
        <f t="shared" si="3"/>
        <v>#REF!</v>
      </c>
      <c r="Z12" s="891" t="e">
        <f t="shared" si="3"/>
        <v>#REF!</v>
      </c>
      <c r="AA12" s="891" t="e">
        <f t="shared" si="3"/>
        <v>#REF!</v>
      </c>
    </row>
    <row r="13" spans="1:28" s="776" customFormat="1">
      <c r="A13" s="52"/>
      <c r="B13" s="52"/>
      <c r="C13" s="52"/>
      <c r="D13" s="52" t="s">
        <v>612</v>
      </c>
      <c r="E13" s="52"/>
      <c r="F13" s="995" t="e">
        <f t="shared" ref="F13:Z13" si="4">F10+F12</f>
        <v>#REF!</v>
      </c>
      <c r="G13" s="995" t="e">
        <f t="shared" si="4"/>
        <v>#REF!</v>
      </c>
      <c r="H13" s="995" t="e">
        <f t="shared" si="4"/>
        <v>#REF!</v>
      </c>
      <c r="I13" s="995" t="e">
        <f t="shared" si="4"/>
        <v>#REF!</v>
      </c>
      <c r="J13" s="995" t="e">
        <f t="shared" si="4"/>
        <v>#REF!</v>
      </c>
      <c r="K13" s="995" t="e">
        <f t="shared" si="4"/>
        <v>#REF!</v>
      </c>
      <c r="L13" s="995" t="e">
        <f t="shared" si="4"/>
        <v>#REF!</v>
      </c>
      <c r="M13" s="995" t="e">
        <f t="shared" si="4"/>
        <v>#REF!</v>
      </c>
      <c r="N13" s="995" t="e">
        <f t="shared" si="4"/>
        <v>#REF!</v>
      </c>
      <c r="O13" s="995" t="e">
        <f t="shared" si="4"/>
        <v>#REF!</v>
      </c>
      <c r="P13" s="995" t="e">
        <f t="shared" si="4"/>
        <v>#REF!</v>
      </c>
      <c r="Q13" s="995" t="e">
        <f t="shared" si="4"/>
        <v>#REF!</v>
      </c>
      <c r="R13" s="995" t="e">
        <f t="shared" si="4"/>
        <v>#REF!</v>
      </c>
      <c r="S13" s="995" t="e">
        <f t="shared" si="4"/>
        <v>#REF!</v>
      </c>
      <c r="T13" s="995" t="e">
        <f t="shared" si="4"/>
        <v>#REF!</v>
      </c>
      <c r="U13" s="995" t="e">
        <f t="shared" si="4"/>
        <v>#REF!</v>
      </c>
      <c r="V13" s="995" t="e">
        <f t="shared" si="4"/>
        <v>#REF!</v>
      </c>
      <c r="W13" s="995" t="e">
        <f t="shared" si="4"/>
        <v>#REF!</v>
      </c>
      <c r="X13" s="995" t="e">
        <f t="shared" si="4"/>
        <v>#REF!</v>
      </c>
      <c r="Y13" s="995" t="e">
        <f t="shared" si="4"/>
        <v>#REF!</v>
      </c>
      <c r="Z13" s="995" t="e">
        <f t="shared" si="4"/>
        <v>#REF!</v>
      </c>
      <c r="AA13" s="995" t="e">
        <f>AA10+AA12</f>
        <v>#REF!</v>
      </c>
    </row>
    <row r="14" spans="1:28" s="776" customFormat="1">
      <c r="A14" s="52"/>
      <c r="B14" s="52"/>
      <c r="C14" s="52"/>
      <c r="D14" s="920" t="s">
        <v>623</v>
      </c>
      <c r="E14" s="52"/>
      <c r="F14" s="885" t="e">
        <f t="shared" ref="F14:J14" si="5">SUM(F7:F13)</f>
        <v>#REF!</v>
      </c>
      <c r="G14" s="885" t="e">
        <f t="shared" si="5"/>
        <v>#REF!</v>
      </c>
      <c r="H14" s="885" t="e">
        <f t="shared" si="5"/>
        <v>#REF!</v>
      </c>
      <c r="I14" s="885" t="e">
        <f t="shared" si="5"/>
        <v>#REF!</v>
      </c>
      <c r="J14" s="885" t="e">
        <f t="shared" si="5"/>
        <v>#REF!</v>
      </c>
      <c r="K14" s="885" t="e">
        <f>J14+K13</f>
        <v>#REF!</v>
      </c>
      <c r="L14" s="885" t="e">
        <f t="shared" ref="L14:Z14" si="6">K14+L13</f>
        <v>#REF!</v>
      </c>
      <c r="M14" s="885" t="e">
        <f t="shared" si="6"/>
        <v>#REF!</v>
      </c>
      <c r="N14" s="885" t="e">
        <f t="shared" si="6"/>
        <v>#REF!</v>
      </c>
      <c r="O14" s="885" t="e">
        <f t="shared" si="6"/>
        <v>#REF!</v>
      </c>
      <c r="P14" s="885" t="e">
        <f t="shared" si="6"/>
        <v>#REF!</v>
      </c>
      <c r="Q14" s="885" t="e">
        <f t="shared" si="6"/>
        <v>#REF!</v>
      </c>
      <c r="R14" s="885" t="e">
        <f t="shared" si="6"/>
        <v>#REF!</v>
      </c>
      <c r="S14" s="885" t="e">
        <f t="shared" si="6"/>
        <v>#REF!</v>
      </c>
      <c r="T14" s="885" t="e">
        <f t="shared" si="6"/>
        <v>#REF!</v>
      </c>
      <c r="U14" s="885" t="e">
        <f t="shared" si="6"/>
        <v>#REF!</v>
      </c>
      <c r="V14" s="885" t="e">
        <f t="shared" si="6"/>
        <v>#REF!</v>
      </c>
      <c r="W14" s="885" t="e">
        <f t="shared" si="6"/>
        <v>#REF!</v>
      </c>
      <c r="X14" s="885" t="e">
        <f t="shared" si="6"/>
        <v>#REF!</v>
      </c>
      <c r="Y14" s="885" t="e">
        <f t="shared" si="6"/>
        <v>#REF!</v>
      </c>
      <c r="Z14" s="885" t="e">
        <f t="shared" si="6"/>
        <v>#REF!</v>
      </c>
      <c r="AA14" s="885" t="e">
        <f>Z14+AA13</f>
        <v>#REF!</v>
      </c>
    </row>
    <row r="15" spans="1:28" s="776" customFormat="1">
      <c r="A15" s="929" t="s">
        <v>845</v>
      </c>
      <c r="B15" s="52"/>
      <c r="C15" s="52"/>
      <c r="D15" s="920"/>
      <c r="E15" s="52"/>
      <c r="F15" s="885"/>
      <c r="G15" s="885"/>
      <c r="H15" s="885"/>
      <c r="I15" s="885"/>
      <c r="J15" s="885"/>
      <c r="K15" s="885"/>
      <c r="L15" s="885"/>
      <c r="M15" s="885"/>
      <c r="N15" s="885"/>
      <c r="O15" s="885"/>
      <c r="P15" s="885"/>
      <c r="Q15" s="885"/>
      <c r="R15" s="885"/>
      <c r="S15" s="885"/>
      <c r="T15" s="885"/>
      <c r="U15" s="885"/>
      <c r="V15" s="885"/>
      <c r="W15" s="885"/>
      <c r="X15" s="885"/>
      <c r="Y15" s="885"/>
      <c r="Z15" s="885"/>
      <c r="AA15" s="885"/>
    </row>
    <row r="16" spans="1:28" ht="15">
      <c r="A16" s="69">
        <v>2</v>
      </c>
      <c r="B16" s="957" t="s">
        <v>625</v>
      </c>
      <c r="C16" s="957"/>
      <c r="D16" s="957"/>
      <c r="E16" s="1178"/>
      <c r="F16" s="1501"/>
      <c r="G16" s="1501"/>
      <c r="H16" s="1501"/>
      <c r="I16" s="1501"/>
      <c r="J16" s="1501"/>
      <c r="K16" s="1501"/>
      <c r="L16" s="892"/>
      <c r="M16" s="892"/>
      <c r="N16" s="745"/>
      <c r="O16" s="67"/>
      <c r="P16" s="67"/>
      <c r="Q16" s="67"/>
      <c r="R16" s="67"/>
      <c r="S16" s="67"/>
      <c r="T16" s="67"/>
      <c r="U16" s="67"/>
      <c r="V16" s="67"/>
      <c r="W16" s="892"/>
      <c r="X16" s="892"/>
      <c r="Y16" s="892"/>
      <c r="Z16" s="892"/>
      <c r="AA16" s="892"/>
      <c r="AB16" s="776"/>
    </row>
    <row r="17" spans="1:27">
      <c r="A17" s="793"/>
      <c r="B17" s="52" t="s">
        <v>111</v>
      </c>
      <c r="C17" s="932"/>
      <c r="D17" s="932"/>
      <c r="E17" s="932"/>
      <c r="F17" s="52"/>
      <c r="G17" s="52"/>
      <c r="H17" s="793"/>
      <c r="I17" s="932"/>
      <c r="J17" s="793"/>
      <c r="K17" s="793"/>
      <c r="L17" s="793"/>
      <c r="M17" s="793"/>
      <c r="N17" s="793"/>
      <c r="O17" s="793"/>
      <c r="P17" s="793"/>
      <c r="Q17" s="926">
        <v>18400</v>
      </c>
      <c r="R17" s="926">
        <v>10900</v>
      </c>
      <c r="S17" s="926">
        <v>60000</v>
      </c>
      <c r="T17" s="926">
        <v>25000</v>
      </c>
      <c r="U17" s="926">
        <v>0</v>
      </c>
      <c r="V17" s="926">
        <v>38000</v>
      </c>
      <c r="W17" s="926">
        <v>-400</v>
      </c>
      <c r="X17" s="893"/>
      <c r="Y17" s="893"/>
      <c r="Z17" s="893"/>
      <c r="AA17" s="1193" t="s">
        <v>535</v>
      </c>
    </row>
    <row r="18" spans="1:27">
      <c r="A18" s="793"/>
      <c r="B18" s="52" t="s">
        <v>846</v>
      </c>
      <c r="C18" s="932"/>
      <c r="D18" s="932"/>
      <c r="E18" s="932"/>
      <c r="F18" s="52"/>
      <c r="G18" s="52"/>
      <c r="H18" s="793"/>
      <c r="I18" s="932"/>
      <c r="J18" s="793"/>
      <c r="K18" s="793"/>
      <c r="L18" s="793"/>
      <c r="M18" s="793"/>
      <c r="N18" s="793"/>
      <c r="O18" s="793"/>
      <c r="P18" s="793"/>
      <c r="Q18" s="793"/>
      <c r="R18" s="793"/>
      <c r="S18" s="793"/>
      <c r="T18" s="793"/>
      <c r="U18" s="793"/>
      <c r="V18" s="793"/>
      <c r="W18" s="793"/>
      <c r="X18" s="793"/>
      <c r="Y18" s="793"/>
      <c r="Z18" s="793"/>
      <c r="AA18" s="52"/>
    </row>
    <row r="19" spans="1:27">
      <c r="A19" s="793"/>
      <c r="B19" s="52" t="s">
        <v>113</v>
      </c>
      <c r="C19" s="932"/>
      <c r="D19" s="932"/>
      <c r="E19" s="932"/>
      <c r="F19" s="52"/>
      <c r="G19" s="52"/>
      <c r="H19" s="793"/>
      <c r="I19" s="932"/>
      <c r="J19" s="793"/>
      <c r="K19" s="793"/>
      <c r="L19" s="793"/>
      <c r="M19" s="793"/>
      <c r="N19" s="793"/>
      <c r="O19" s="793"/>
      <c r="P19" s="793"/>
      <c r="Q19" s="793"/>
      <c r="R19" s="926">
        <v>1110</v>
      </c>
      <c r="S19" s="793"/>
      <c r="T19" s="793"/>
      <c r="U19" s="793"/>
      <c r="V19" s="793"/>
      <c r="W19" s="793"/>
      <c r="X19" s="793">
        <v>3</v>
      </c>
      <c r="Y19" s="793"/>
      <c r="Z19" s="793"/>
      <c r="AA19" s="52"/>
    </row>
    <row r="20" spans="1:27">
      <c r="A20" s="793"/>
      <c r="B20" s="52" t="s">
        <v>114</v>
      </c>
      <c r="C20" s="932"/>
      <c r="D20" s="932"/>
      <c r="E20" s="932"/>
      <c r="F20" s="52"/>
      <c r="G20" s="52"/>
      <c r="H20" s="793"/>
      <c r="I20" s="932"/>
      <c r="J20" s="793"/>
      <c r="K20" s="793"/>
      <c r="L20" s="793"/>
      <c r="M20" s="793"/>
      <c r="N20" s="793"/>
      <c r="O20" s="793"/>
      <c r="P20" s="793"/>
      <c r="Q20" s="793"/>
      <c r="R20" s="793"/>
      <c r="S20" s="793">
        <v>1500</v>
      </c>
      <c r="T20" s="793">
        <v>0</v>
      </c>
      <c r="U20" s="793"/>
      <c r="V20" s="793"/>
      <c r="W20" s="793"/>
      <c r="X20" s="793"/>
      <c r="Y20" s="793"/>
      <c r="Z20" s="793"/>
      <c r="AA20" s="52"/>
    </row>
    <row r="21" spans="1:27">
      <c r="A21" s="793"/>
      <c r="B21" s="52" t="s">
        <v>115</v>
      </c>
      <c r="C21" s="932"/>
      <c r="D21" s="932"/>
      <c r="E21" s="932"/>
      <c r="F21" s="52"/>
      <c r="G21" s="52"/>
      <c r="H21" s="793"/>
      <c r="I21" s="932"/>
      <c r="J21" s="793"/>
      <c r="K21" s="793"/>
      <c r="L21" s="793"/>
      <c r="M21" s="793"/>
      <c r="N21" s="793"/>
      <c r="O21" s="793"/>
      <c r="P21" s="793"/>
      <c r="Q21" s="793"/>
      <c r="R21" s="926">
        <v>6068</v>
      </c>
      <c r="S21" s="926">
        <v>35400</v>
      </c>
      <c r="T21" s="926">
        <v>19100</v>
      </c>
      <c r="U21" s="793"/>
      <c r="V21" s="793"/>
      <c r="W21" s="793"/>
      <c r="X21" s="793"/>
      <c r="Y21" s="793"/>
      <c r="Z21" s="793"/>
      <c r="AA21" s="52"/>
    </row>
    <row r="22" spans="1:27">
      <c r="A22" s="932"/>
      <c r="B22" s="52" t="s">
        <v>847</v>
      </c>
      <c r="C22" s="932"/>
      <c r="D22" s="932"/>
      <c r="E22" s="932"/>
      <c r="F22" s="52"/>
      <c r="G22" s="52"/>
      <c r="H22" s="793"/>
      <c r="I22" s="932"/>
      <c r="J22" s="793"/>
      <c r="K22" s="793"/>
      <c r="L22" s="793"/>
      <c r="M22" s="793"/>
      <c r="N22" s="793"/>
      <c r="O22" s="793"/>
      <c r="P22" s="793"/>
      <c r="Q22" s="793"/>
      <c r="R22" s="793">
        <v>3778</v>
      </c>
      <c r="S22" s="793">
        <v>900</v>
      </c>
      <c r="T22" s="793">
        <v>5700</v>
      </c>
      <c r="U22" s="793"/>
      <c r="V22" s="793"/>
      <c r="W22" s="793"/>
      <c r="X22" s="793"/>
      <c r="Y22" s="793"/>
      <c r="Z22" s="793"/>
      <c r="AA22" s="52"/>
    </row>
    <row r="23" spans="1:27">
      <c r="A23" s="932"/>
      <c r="B23" s="52" t="s">
        <v>116</v>
      </c>
      <c r="C23" s="932"/>
      <c r="D23" s="932"/>
      <c r="E23" s="932"/>
      <c r="F23" s="52"/>
      <c r="G23" s="52"/>
      <c r="H23" s="793"/>
      <c r="I23" s="932"/>
      <c r="J23" s="793"/>
      <c r="K23" s="793"/>
      <c r="L23" s="793"/>
      <c r="M23" s="793"/>
      <c r="N23" s="793"/>
      <c r="O23" s="793"/>
      <c r="P23" s="793"/>
      <c r="Q23" s="793"/>
      <c r="R23" s="793"/>
      <c r="S23" s="793"/>
      <c r="T23" s="793"/>
      <c r="U23" s="793"/>
      <c r="V23" s="793"/>
      <c r="W23" s="793"/>
      <c r="X23" s="793"/>
      <c r="Y23" s="793"/>
      <c r="Z23" s="793"/>
      <c r="AA23" s="52"/>
    </row>
    <row r="24" spans="1:27">
      <c r="A24" s="932"/>
      <c r="B24" s="242" t="s">
        <v>117</v>
      </c>
      <c r="C24" s="922"/>
      <c r="D24" s="922"/>
      <c r="E24" s="793"/>
      <c r="F24" s="793"/>
      <c r="G24" s="793"/>
      <c r="H24" s="793"/>
      <c r="I24" s="793"/>
      <c r="J24" s="793"/>
      <c r="K24" s="793"/>
      <c r="L24" s="793"/>
      <c r="M24" s="793"/>
      <c r="N24" s="793"/>
      <c r="O24" s="793"/>
      <c r="P24" s="793"/>
      <c r="Q24" s="793"/>
      <c r="R24" s="793"/>
      <c r="S24" s="793"/>
      <c r="T24" s="793"/>
      <c r="U24" s="793"/>
      <c r="V24" s="793"/>
      <c r="W24" s="793"/>
      <c r="X24" s="793"/>
      <c r="Y24" s="793"/>
      <c r="Z24" s="793"/>
      <c r="AA24" s="52"/>
    </row>
    <row r="25" spans="1:27">
      <c r="A25" s="932"/>
      <c r="B25" s="52" t="s">
        <v>118</v>
      </c>
      <c r="C25" s="52"/>
      <c r="D25" s="52"/>
      <c r="E25" s="52"/>
      <c r="F25" s="52"/>
      <c r="G25" s="52"/>
      <c r="H25" s="52"/>
      <c r="I25" s="52"/>
      <c r="J25" s="52"/>
      <c r="K25" s="52"/>
      <c r="L25" s="52"/>
      <c r="M25" s="52"/>
      <c r="N25" s="52"/>
      <c r="O25" s="52"/>
      <c r="P25" s="52"/>
      <c r="Q25" s="52"/>
      <c r="R25" s="793"/>
      <c r="S25" s="793">
        <v>22300</v>
      </c>
      <c r="T25" s="793">
        <v>0</v>
      </c>
      <c r="U25" s="793"/>
      <c r="V25" s="793"/>
      <c r="W25" s="793"/>
      <c r="X25" s="793"/>
      <c r="Y25" s="793"/>
      <c r="Z25" s="793"/>
      <c r="AA25" s="52"/>
    </row>
    <row r="26" spans="1:27">
      <c r="A26" s="932"/>
      <c r="B26" s="52" t="s">
        <v>65</v>
      </c>
      <c r="C26" s="52"/>
      <c r="D26" s="52"/>
      <c r="E26" s="52"/>
      <c r="F26" s="52"/>
      <c r="G26" s="52"/>
      <c r="H26" s="52"/>
      <c r="I26" s="52"/>
      <c r="J26" s="52"/>
      <c r="K26" s="52"/>
      <c r="L26" s="52"/>
      <c r="M26" s="52"/>
      <c r="N26" s="52"/>
      <c r="O26" s="52"/>
      <c r="P26" s="52"/>
      <c r="Q26" s="52"/>
      <c r="R26" s="793"/>
      <c r="S26" s="793"/>
      <c r="T26" s="793"/>
      <c r="U26" s="793"/>
      <c r="V26" s="793"/>
      <c r="W26" s="793"/>
      <c r="X26" s="793"/>
      <c r="Y26" s="793"/>
      <c r="Z26" s="793"/>
      <c r="AA26" s="52"/>
    </row>
    <row r="27" spans="1:27" ht="13.5" thickBot="1">
      <c r="A27" s="1216" t="s">
        <v>848</v>
      </c>
      <c r="B27" s="52"/>
      <c r="C27" s="52"/>
      <c r="D27" s="52"/>
      <c r="E27" s="52"/>
      <c r="F27" s="956">
        <f t="shared" ref="F27:AA27" si="7">SUM(F17:F26)</f>
        <v>0</v>
      </c>
      <c r="G27" s="956">
        <f t="shared" si="7"/>
        <v>0</v>
      </c>
      <c r="H27" s="956">
        <f t="shared" si="7"/>
        <v>0</v>
      </c>
      <c r="I27" s="956">
        <f t="shared" si="7"/>
        <v>0</v>
      </c>
      <c r="J27" s="956">
        <f t="shared" si="7"/>
        <v>0</v>
      </c>
      <c r="K27" s="956">
        <f t="shared" si="7"/>
        <v>0</v>
      </c>
      <c r="L27" s="956">
        <f t="shared" si="7"/>
        <v>0</v>
      </c>
      <c r="M27" s="956">
        <f t="shared" si="7"/>
        <v>0</v>
      </c>
      <c r="N27" s="956">
        <f t="shared" si="7"/>
        <v>0</v>
      </c>
      <c r="O27" s="956">
        <f t="shared" si="7"/>
        <v>0</v>
      </c>
      <c r="P27" s="956">
        <f t="shared" si="7"/>
        <v>0</v>
      </c>
      <c r="Q27" s="1192">
        <f t="shared" si="7"/>
        <v>18400</v>
      </c>
      <c r="R27" s="1192">
        <f t="shared" si="7"/>
        <v>21856</v>
      </c>
      <c r="S27" s="1192">
        <f t="shared" si="7"/>
        <v>120100</v>
      </c>
      <c r="T27" s="1192">
        <f t="shared" si="7"/>
        <v>49800</v>
      </c>
      <c r="U27" s="1192">
        <f t="shared" si="7"/>
        <v>0</v>
      </c>
      <c r="V27" s="1192">
        <f t="shared" si="7"/>
        <v>38000</v>
      </c>
      <c r="W27" s="1192">
        <f t="shared" si="7"/>
        <v>-400</v>
      </c>
      <c r="X27" s="1192">
        <f t="shared" si="7"/>
        <v>3</v>
      </c>
      <c r="Y27" s="1192">
        <f t="shared" si="7"/>
        <v>0</v>
      </c>
      <c r="Z27" s="1192">
        <f t="shared" si="7"/>
        <v>0</v>
      </c>
      <c r="AA27" s="1192">
        <f t="shared" si="7"/>
        <v>0</v>
      </c>
    </row>
    <row r="28" spans="1:27" ht="13.5" thickTop="1">
      <c r="A28" s="1441" t="s">
        <v>849</v>
      </c>
      <c r="B28" s="1441"/>
      <c r="C28" s="1441"/>
      <c r="D28" s="1441"/>
      <c r="E28" s="32"/>
      <c r="F28" s="909"/>
      <c r="G28" s="909"/>
      <c r="H28" s="909"/>
      <c r="I28" s="909"/>
      <c r="J28" s="909"/>
      <c r="K28" s="909"/>
      <c r="L28" s="909"/>
      <c r="M28" s="909"/>
      <c r="N28" s="909"/>
      <c r="O28" s="909"/>
      <c r="P28" s="909"/>
      <c r="Q28" s="909"/>
      <c r="R28" s="909"/>
      <c r="S28" s="909"/>
      <c r="T28" s="909"/>
      <c r="U28" s="909"/>
      <c r="V28" s="909"/>
      <c r="W28" s="909"/>
      <c r="X28" s="909"/>
      <c r="Y28" s="909"/>
      <c r="Z28" s="909"/>
      <c r="AA28" s="909"/>
    </row>
    <row r="29" spans="1:27">
      <c r="A29" s="52"/>
      <c r="B29" s="52"/>
      <c r="C29" s="52"/>
      <c r="D29" s="52"/>
      <c r="E29" s="52"/>
      <c r="F29" s="52"/>
      <c r="G29" s="52"/>
      <c r="H29" s="52"/>
      <c r="I29" s="809"/>
      <c r="J29" s="809"/>
      <c r="K29" s="809"/>
      <c r="L29" s="888" t="s">
        <v>35</v>
      </c>
      <c r="M29" s="889" t="s">
        <v>36</v>
      </c>
      <c r="N29" s="889" t="s">
        <v>37</v>
      </c>
      <c r="O29" s="889" t="s">
        <v>37</v>
      </c>
      <c r="P29" s="954"/>
      <c r="Q29" s="954"/>
      <c r="R29" s="954"/>
      <c r="S29" s="954"/>
      <c r="T29" s="908" t="s">
        <v>38</v>
      </c>
      <c r="U29" s="954"/>
      <c r="V29" s="908" t="s">
        <v>39</v>
      </c>
      <c r="W29" s="954"/>
      <c r="X29" s="955" t="s">
        <v>40</v>
      </c>
      <c r="Y29" s="954"/>
      <c r="Z29" s="954"/>
      <c r="AA29" s="793"/>
    </row>
    <row r="30" spans="1:27">
      <c r="A30" s="793"/>
      <c r="B30" s="242" t="s">
        <v>111</v>
      </c>
      <c r="C30" s="793"/>
      <c r="D30" s="793"/>
      <c r="E30" s="793"/>
      <c r="F30" s="242"/>
      <c r="G30" s="242"/>
      <c r="H30" s="793"/>
      <c r="I30" s="793"/>
      <c r="J30" s="793"/>
      <c r="K30" s="793"/>
      <c r="L30" s="793"/>
      <c r="M30" s="793"/>
      <c r="N30" s="793"/>
      <c r="O30" s="793"/>
      <c r="P30" s="793"/>
      <c r="Q30" s="793">
        <v>18400</v>
      </c>
      <c r="R30" s="793">
        <v>10900</v>
      </c>
      <c r="S30" s="793">
        <v>60000</v>
      </c>
      <c r="T30" s="793">
        <v>25000</v>
      </c>
      <c r="U30" s="793">
        <v>0</v>
      </c>
      <c r="V30" s="793">
        <v>38000</v>
      </c>
      <c r="W30" s="793">
        <v>-400</v>
      </c>
      <c r="X30" s="793"/>
      <c r="Y30" s="793"/>
      <c r="Z30" s="793"/>
      <c r="AA30" s="793"/>
    </row>
    <row r="31" spans="1:27">
      <c r="A31" s="793"/>
      <c r="B31" s="242" t="s">
        <v>846</v>
      </c>
      <c r="C31" s="793"/>
      <c r="D31" s="793"/>
      <c r="E31" s="793"/>
      <c r="F31" s="242"/>
      <c r="G31" s="242"/>
      <c r="H31" s="793"/>
      <c r="I31" s="793"/>
      <c r="J31" s="793"/>
      <c r="K31" s="793"/>
      <c r="L31" s="793"/>
      <c r="M31" s="793"/>
      <c r="N31" s="793"/>
      <c r="O31" s="793"/>
      <c r="P31" s="793"/>
      <c r="Q31" s="793"/>
      <c r="R31" s="793"/>
      <c r="S31" s="793"/>
      <c r="T31" s="793"/>
      <c r="U31" s="793"/>
      <c r="V31" s="793"/>
      <c r="W31" s="793" t="s">
        <v>850</v>
      </c>
      <c r="X31" s="793"/>
      <c r="Y31" s="793"/>
      <c r="Z31" s="793"/>
      <c r="AA31" s="793"/>
    </row>
    <row r="32" spans="1:27">
      <c r="A32" s="793"/>
      <c r="B32" s="242" t="s">
        <v>113</v>
      </c>
      <c r="C32" s="793"/>
      <c r="D32" s="793"/>
      <c r="E32" s="793"/>
      <c r="F32" s="242"/>
      <c r="G32" s="242"/>
      <c r="H32" s="793"/>
      <c r="I32" s="793"/>
      <c r="J32" s="793"/>
      <c r="K32" s="793"/>
      <c r="L32" s="793"/>
      <c r="M32" s="793"/>
      <c r="N32" s="793"/>
      <c r="O32" s="793"/>
      <c r="P32" s="793"/>
      <c r="Q32" s="793"/>
      <c r="R32" s="793">
        <v>1110</v>
      </c>
      <c r="S32" s="793"/>
      <c r="T32" s="793"/>
      <c r="U32" s="793"/>
      <c r="V32" s="793"/>
      <c r="W32" s="793"/>
      <c r="X32" s="793">
        <v>3</v>
      </c>
      <c r="Y32" s="793"/>
      <c r="Z32" s="793"/>
      <c r="AA32" s="793"/>
    </row>
    <row r="33" spans="1:28">
      <c r="A33" s="793">
        <v>0</v>
      </c>
      <c r="B33" s="242" t="s">
        <v>114</v>
      </c>
      <c r="C33" s="793"/>
      <c r="D33" s="793"/>
      <c r="E33" s="793"/>
      <c r="F33" s="242"/>
      <c r="G33" s="242"/>
      <c r="H33" s="793"/>
      <c r="I33" s="793"/>
      <c r="J33" s="793"/>
      <c r="K33" s="793"/>
      <c r="L33" s="793"/>
      <c r="M33" s="793"/>
      <c r="N33" s="793"/>
      <c r="O33" s="793"/>
      <c r="P33" s="793"/>
      <c r="Q33" s="793"/>
      <c r="R33" s="793"/>
      <c r="S33" s="793">
        <v>1500</v>
      </c>
      <c r="T33" s="793">
        <v>0</v>
      </c>
      <c r="U33" s="793"/>
      <c r="V33" s="793"/>
      <c r="W33" s="793"/>
      <c r="X33" s="793"/>
      <c r="Y33" s="793"/>
      <c r="Z33" s="793"/>
      <c r="AA33" s="793"/>
    </row>
    <row r="34" spans="1:28">
      <c r="A34" s="793"/>
      <c r="B34" s="242" t="s">
        <v>115</v>
      </c>
      <c r="C34" s="793"/>
      <c r="D34" s="793"/>
      <c r="E34" s="793"/>
      <c r="F34" s="242"/>
      <c r="G34" s="242"/>
      <c r="H34" s="793"/>
      <c r="I34" s="793"/>
      <c r="J34" s="793"/>
      <c r="K34" s="793"/>
      <c r="L34" s="793"/>
      <c r="M34" s="793"/>
      <c r="N34" s="793"/>
      <c r="O34" s="793"/>
      <c r="P34" s="793"/>
      <c r="Q34" s="793"/>
      <c r="R34" s="793">
        <v>6068</v>
      </c>
      <c r="S34" s="793">
        <v>35400</v>
      </c>
      <c r="T34" s="793">
        <v>19100</v>
      </c>
      <c r="U34" s="793"/>
      <c r="V34" s="793"/>
      <c r="W34" s="793"/>
      <c r="X34" s="793"/>
      <c r="Y34" s="793"/>
      <c r="Z34" s="793">
        <v>5000</v>
      </c>
      <c r="AA34" s="793">
        <v>58000</v>
      </c>
    </row>
    <row r="35" spans="1:28">
      <c r="A35" s="793"/>
      <c r="B35" s="242" t="s">
        <v>851</v>
      </c>
      <c r="C35" s="793"/>
      <c r="D35" s="793"/>
      <c r="E35" s="793"/>
      <c r="F35" s="242"/>
      <c r="G35" s="242"/>
      <c r="H35" s="793"/>
      <c r="I35" s="793"/>
      <c r="J35" s="793"/>
      <c r="K35" s="793"/>
      <c r="L35" s="793"/>
      <c r="M35" s="793"/>
      <c r="N35" s="793"/>
      <c r="O35" s="793"/>
      <c r="P35" s="793"/>
      <c r="Q35" s="793"/>
      <c r="R35" s="793">
        <v>3778</v>
      </c>
      <c r="S35" s="793">
        <v>900</v>
      </c>
      <c r="T35" s="793">
        <v>5700</v>
      </c>
      <c r="U35" s="793"/>
      <c r="V35" s="793"/>
      <c r="W35" s="793"/>
      <c r="X35" s="793"/>
      <c r="Y35" s="793"/>
      <c r="Z35" s="793">
        <v>-3000</v>
      </c>
      <c r="AA35" s="793"/>
    </row>
    <row r="36" spans="1:28">
      <c r="A36" s="793"/>
      <c r="B36" s="242" t="s">
        <v>116</v>
      </c>
      <c r="C36" s="793"/>
      <c r="D36" s="793"/>
      <c r="E36" s="793"/>
      <c r="F36" s="242"/>
      <c r="G36" s="242"/>
      <c r="H36" s="793"/>
      <c r="I36" s="793"/>
      <c r="J36" s="793"/>
      <c r="K36" s="793"/>
      <c r="L36" s="793"/>
      <c r="M36" s="793"/>
      <c r="N36" s="793"/>
      <c r="O36" s="793"/>
      <c r="P36" s="793"/>
      <c r="Q36" s="793"/>
      <c r="R36" s="793"/>
      <c r="S36" s="793"/>
      <c r="T36" s="793"/>
      <c r="U36" s="793"/>
      <c r="V36" s="793"/>
      <c r="W36" s="793"/>
      <c r="X36" s="793"/>
      <c r="Y36" s="793"/>
      <c r="Z36" s="793"/>
      <c r="AA36" s="793"/>
    </row>
    <row r="37" spans="1:28">
      <c r="A37" s="793"/>
      <c r="B37" s="242" t="s">
        <v>117</v>
      </c>
      <c r="C37" s="922"/>
      <c r="D37" s="793"/>
      <c r="E37" s="793"/>
      <c r="F37" s="793"/>
      <c r="G37" s="793"/>
      <c r="H37" s="793"/>
      <c r="I37" s="793"/>
      <c r="J37" s="793"/>
      <c r="K37" s="793"/>
      <c r="L37" s="793"/>
      <c r="M37" s="793"/>
      <c r="N37" s="793"/>
      <c r="O37" s="793"/>
      <c r="P37" s="793"/>
      <c r="Q37" s="793"/>
      <c r="R37" s="793"/>
      <c r="S37" s="793"/>
      <c r="T37" s="793"/>
      <c r="U37" s="793"/>
      <c r="V37" s="793"/>
      <c r="W37" s="793"/>
      <c r="X37" s="793"/>
      <c r="Y37" s="793"/>
      <c r="Z37" s="793"/>
      <c r="AA37" s="793"/>
    </row>
    <row r="38" spans="1:28">
      <c r="A38" s="242"/>
      <c r="B38" s="242" t="s">
        <v>118</v>
      </c>
      <c r="C38" s="242"/>
      <c r="D38" s="242"/>
      <c r="E38" s="242"/>
      <c r="F38" s="242"/>
      <c r="G38" s="242"/>
      <c r="H38" s="242"/>
      <c r="I38" s="242"/>
      <c r="J38" s="242"/>
      <c r="K38" s="242"/>
      <c r="L38" s="242"/>
      <c r="M38" s="242"/>
      <c r="N38" s="242"/>
      <c r="O38" s="242"/>
      <c r="P38" s="242"/>
      <c r="Q38" s="242"/>
      <c r="R38" s="793"/>
      <c r="S38" s="793">
        <v>22300</v>
      </c>
      <c r="T38" s="793">
        <v>0</v>
      </c>
      <c r="U38" s="793"/>
      <c r="V38" s="793"/>
      <c r="W38" s="793"/>
      <c r="X38" s="793"/>
      <c r="Y38" s="793"/>
      <c r="Z38" s="793"/>
      <c r="AA38" s="793"/>
    </row>
    <row r="39" spans="1:28">
      <c r="A39" s="242"/>
      <c r="B39" s="242" t="s">
        <v>65</v>
      </c>
      <c r="C39" s="242"/>
      <c r="D39" s="242"/>
      <c r="E39" s="242"/>
      <c r="F39" s="242"/>
      <c r="G39" s="242"/>
      <c r="H39" s="242"/>
      <c r="I39" s="242"/>
      <c r="J39" s="242"/>
      <c r="K39" s="242"/>
      <c r="L39" s="242"/>
      <c r="M39" s="242"/>
      <c r="N39" s="242"/>
      <c r="O39" s="242"/>
      <c r="P39" s="242"/>
      <c r="Q39" s="242"/>
      <c r="R39" s="793"/>
      <c r="S39" s="793"/>
      <c r="T39" s="793"/>
      <c r="U39" s="793"/>
      <c r="V39" s="793"/>
      <c r="W39" s="793"/>
      <c r="X39" s="793"/>
      <c r="Y39" s="793"/>
      <c r="Z39" s="793"/>
      <c r="AA39" s="793"/>
    </row>
    <row r="40" spans="1:28" ht="13.5" thickBot="1">
      <c r="A40" s="242"/>
      <c r="B40" s="242"/>
      <c r="C40" s="242"/>
      <c r="D40" s="242"/>
      <c r="E40" s="242"/>
      <c r="F40" s="982">
        <f t="shared" ref="F40:AA40" si="8">SUM(F30:F39)</f>
        <v>0</v>
      </c>
      <c r="G40" s="982">
        <f t="shared" si="8"/>
        <v>0</v>
      </c>
      <c r="H40" s="982">
        <f t="shared" si="8"/>
        <v>0</v>
      </c>
      <c r="I40" s="982">
        <f t="shared" si="8"/>
        <v>0</v>
      </c>
      <c r="J40" s="982">
        <f t="shared" si="8"/>
        <v>0</v>
      </c>
      <c r="K40" s="982">
        <f t="shared" si="8"/>
        <v>0</v>
      </c>
      <c r="L40" s="982">
        <f t="shared" si="8"/>
        <v>0</v>
      </c>
      <c r="M40" s="982">
        <f t="shared" si="8"/>
        <v>0</v>
      </c>
      <c r="N40" s="982">
        <f t="shared" si="8"/>
        <v>0</v>
      </c>
      <c r="O40" s="982">
        <f t="shared" si="8"/>
        <v>0</v>
      </c>
      <c r="P40" s="982">
        <f t="shared" si="8"/>
        <v>0</v>
      </c>
      <c r="Q40" s="1192">
        <f t="shared" si="8"/>
        <v>18400</v>
      </c>
      <c r="R40" s="1192">
        <f t="shared" si="8"/>
        <v>21856</v>
      </c>
      <c r="S40" s="1192">
        <f t="shared" si="8"/>
        <v>120100</v>
      </c>
      <c r="T40" s="1192">
        <f t="shared" si="8"/>
        <v>49800</v>
      </c>
      <c r="U40" s="1192">
        <f t="shared" si="8"/>
        <v>0</v>
      </c>
      <c r="V40" s="1192">
        <f t="shared" si="8"/>
        <v>38000</v>
      </c>
      <c r="W40" s="1192">
        <f t="shared" si="8"/>
        <v>-400</v>
      </c>
      <c r="X40" s="1192">
        <f t="shared" si="8"/>
        <v>3</v>
      </c>
      <c r="Y40" s="1192">
        <f t="shared" si="8"/>
        <v>0</v>
      </c>
      <c r="Z40" s="1192">
        <f t="shared" si="8"/>
        <v>2000</v>
      </c>
      <c r="AA40" s="1196">
        <f t="shared" si="8"/>
        <v>58000</v>
      </c>
    </row>
    <row r="41" spans="1:28" ht="13.5" thickTop="1">
      <c r="A41" s="776"/>
      <c r="B41" s="776"/>
      <c r="C41" s="776"/>
      <c r="D41" s="776"/>
      <c r="E41" s="776"/>
      <c r="F41" s="776"/>
      <c r="G41" s="776"/>
      <c r="H41" s="776"/>
      <c r="I41" s="776"/>
      <c r="J41" s="776"/>
      <c r="K41" s="776"/>
      <c r="L41" s="776"/>
      <c r="M41" s="776"/>
      <c r="N41" s="776"/>
      <c r="O41" s="776"/>
      <c r="P41" s="776"/>
      <c r="Q41" s="776"/>
      <c r="R41" s="776"/>
      <c r="S41" s="776"/>
      <c r="T41" s="776"/>
      <c r="U41" s="776"/>
      <c r="V41" s="776"/>
      <c r="W41" s="776"/>
      <c r="X41" s="776"/>
      <c r="Y41" s="776"/>
      <c r="Z41" s="776"/>
      <c r="AA41" s="776"/>
    </row>
    <row r="42" spans="1:28" ht="18">
      <c r="A42" s="1224" t="s">
        <v>221</v>
      </c>
      <c r="B42" s="1231"/>
      <c r="C42" s="1225"/>
      <c r="D42" s="1225"/>
      <c r="E42" s="1321">
        <f>'1_Contents'!$D$2</f>
        <v>0</v>
      </c>
      <c r="F42" s="1322"/>
      <c r="G42" s="38"/>
      <c r="H42" s="38"/>
      <c r="I42" s="38"/>
      <c r="J42" s="38"/>
      <c r="K42" s="38"/>
      <c r="L42" s="38"/>
      <c r="M42" s="38"/>
      <c r="N42" s="38"/>
      <c r="O42" s="38"/>
      <c r="P42" s="38"/>
      <c r="Q42" s="38"/>
      <c r="R42" s="38"/>
      <c r="S42" s="38"/>
      <c r="T42" s="38"/>
      <c r="U42" s="38"/>
      <c r="V42" s="38"/>
      <c r="W42" s="1504" t="s">
        <v>221</v>
      </c>
      <c r="X42" s="1505"/>
      <c r="Y42" s="1505"/>
      <c r="Z42" s="1506"/>
      <c r="AA42" s="1502">
        <v>2.6</v>
      </c>
      <c r="AB42" s="1503"/>
    </row>
    <row r="43" spans="1:28" ht="18">
      <c r="A43" s="1177"/>
      <c r="B43" s="881"/>
      <c r="C43" s="1177"/>
      <c r="D43" s="1177"/>
      <c r="E43" s="1234"/>
      <c r="F43" s="1296">
        <v>2005</v>
      </c>
      <c r="G43" s="1205"/>
      <c r="H43" s="1205"/>
      <c r="I43" s="10"/>
      <c r="J43" s="10"/>
      <c r="K43" s="10"/>
      <c r="L43" s="10"/>
      <c r="M43" s="1296">
        <v>2006</v>
      </c>
      <c r="N43" s="1205"/>
      <c r="O43" s="1205"/>
      <c r="P43" s="10"/>
      <c r="Q43" s="10"/>
      <c r="R43" s="10"/>
      <c r="S43" s="10"/>
      <c r="T43" s="10"/>
      <c r="U43" s="10"/>
      <c r="V43" s="10"/>
      <c r="W43" s="1292"/>
      <c r="X43" s="1292"/>
      <c r="Y43" s="1292"/>
      <c r="Z43" s="1292"/>
      <c r="AA43" s="1295"/>
      <c r="AB43" s="1295"/>
    </row>
    <row r="44" spans="1:28" ht="18">
      <c r="A44" s="1177"/>
      <c r="B44" s="881"/>
      <c r="C44" s="1177"/>
      <c r="D44" s="1177"/>
      <c r="E44" s="1234"/>
      <c r="F44" s="1234"/>
      <c r="G44" s="10"/>
      <c r="H44" s="10"/>
      <c r="I44" s="10"/>
      <c r="J44" s="10"/>
      <c r="K44" s="10"/>
      <c r="L44" s="10"/>
      <c r="M44" s="10"/>
      <c r="N44" s="10"/>
      <c r="O44" s="10"/>
      <c r="P44" s="10"/>
      <c r="Q44" s="10"/>
      <c r="R44" s="10"/>
      <c r="S44" s="10"/>
      <c r="T44" s="10"/>
      <c r="U44" s="10"/>
      <c r="V44" s="10"/>
      <c r="W44" s="1292"/>
      <c r="X44" s="1292"/>
      <c r="Y44" s="1292"/>
      <c r="Z44" s="1292"/>
      <c r="AA44" s="1295"/>
      <c r="AB44" s="1295"/>
    </row>
    <row r="45" spans="1:28">
      <c r="A45" s="932"/>
      <c r="B45" s="52" t="s">
        <v>12</v>
      </c>
      <c r="C45" s="52"/>
      <c r="D45" s="932"/>
      <c r="E45" s="793"/>
      <c r="F45" s="932"/>
      <c r="G45" s="932"/>
      <c r="H45" s="932"/>
      <c r="I45" s="932"/>
      <c r="J45" s="932"/>
      <c r="K45" s="932"/>
      <c r="L45" s="793">
        <v>24978</v>
      </c>
      <c r="M45" s="793">
        <v>10367</v>
      </c>
      <c r="N45" s="793">
        <v>0</v>
      </c>
      <c r="O45" s="793"/>
      <c r="P45" s="793"/>
      <c r="Q45" s="793"/>
      <c r="R45" s="793"/>
      <c r="S45" s="793"/>
      <c r="T45" s="793"/>
      <c r="U45" s="793"/>
      <c r="V45" s="793"/>
      <c r="W45" s="793"/>
      <c r="X45" s="793"/>
      <c r="Y45" s="793"/>
      <c r="Z45" s="793"/>
      <c r="AA45" s="793"/>
      <c r="AB45" s="52"/>
    </row>
    <row r="46" spans="1:28">
      <c r="A46" s="932"/>
      <c r="B46" s="52" t="s">
        <v>222</v>
      </c>
      <c r="C46" s="52"/>
      <c r="D46" s="932"/>
      <c r="E46" s="793"/>
      <c r="F46" s="932"/>
      <c r="G46" s="932"/>
      <c r="H46" s="932"/>
      <c r="I46" s="932"/>
      <c r="J46" s="932"/>
      <c r="K46" s="932"/>
      <c r="L46" s="793">
        <v>2748</v>
      </c>
      <c r="M46" s="793">
        <v>1717</v>
      </c>
      <c r="N46" s="793">
        <v>0</v>
      </c>
      <c r="O46" s="793"/>
      <c r="P46" s="793"/>
      <c r="Q46" s="793"/>
      <c r="R46" s="793"/>
      <c r="S46" s="793"/>
      <c r="T46" s="793"/>
      <c r="U46" s="793"/>
      <c r="V46" s="793"/>
      <c r="W46" s="793"/>
      <c r="X46" s="793"/>
      <c r="Y46" s="793"/>
      <c r="Z46" s="793"/>
      <c r="AA46" s="793"/>
      <c r="AB46" s="52"/>
    </row>
    <row r="47" spans="1:28">
      <c r="A47" s="932"/>
      <c r="B47" s="52" t="s">
        <v>223</v>
      </c>
      <c r="C47" s="52"/>
      <c r="D47" s="932"/>
      <c r="E47" s="793"/>
      <c r="F47" s="933"/>
      <c r="G47" s="933"/>
      <c r="H47" s="933"/>
      <c r="I47" s="933"/>
      <c r="J47" s="933"/>
      <c r="K47" s="933"/>
      <c r="L47" s="892">
        <v>1246</v>
      </c>
      <c r="M47" s="892">
        <v>108</v>
      </c>
      <c r="N47" s="892">
        <v>0</v>
      </c>
      <c r="O47" s="892"/>
      <c r="P47" s="892"/>
      <c r="Q47" s="892"/>
      <c r="R47" s="892"/>
      <c r="S47" s="892"/>
      <c r="T47" s="892"/>
      <c r="U47" s="892"/>
      <c r="V47" s="892"/>
      <c r="W47" s="892"/>
      <c r="X47" s="892"/>
      <c r="Y47" s="892"/>
      <c r="Z47" s="892"/>
      <c r="AA47" s="892"/>
      <c r="AB47" s="52"/>
    </row>
    <row r="48" spans="1:28" ht="13.5" thickBot="1">
      <c r="A48" s="932"/>
      <c r="B48" s="52"/>
      <c r="C48" s="52"/>
      <c r="D48" s="932"/>
      <c r="E48" s="793"/>
      <c r="F48" s="945"/>
      <c r="G48" s="945"/>
      <c r="H48" s="945"/>
      <c r="I48" s="945"/>
      <c r="J48" s="945"/>
      <c r="K48" s="945"/>
      <c r="L48" s="925">
        <f>SUM(L45:L47)</f>
        <v>28972</v>
      </c>
      <c r="M48" s="925">
        <f>SUM(M45:M47)</f>
        <v>12192</v>
      </c>
      <c r="N48" s="925">
        <f>SUM(N45:N47)</f>
        <v>0</v>
      </c>
      <c r="O48" s="925"/>
      <c r="P48" s="925"/>
      <c r="Q48" s="925"/>
      <c r="R48" s="925"/>
      <c r="S48" s="925"/>
      <c r="T48" s="925"/>
      <c r="U48" s="925"/>
      <c r="V48" s="925"/>
      <c r="W48" s="925"/>
      <c r="X48" s="925"/>
      <c r="Y48" s="925"/>
      <c r="Z48" s="925"/>
      <c r="AA48" s="925"/>
      <c r="AB48" s="925"/>
    </row>
    <row r="49" spans="1:28" ht="15.75" thickTop="1">
      <c r="A49" s="1177"/>
      <c r="B49" s="644"/>
      <c r="C49" s="1177"/>
      <c r="D49" s="1213" t="s">
        <v>224</v>
      </c>
      <c r="E49" s="1177"/>
      <c r="F49" s="649">
        <v>6</v>
      </c>
      <c r="G49" s="1263"/>
      <c r="H49" s="1263"/>
      <c r="I49" s="776"/>
      <c r="J49" s="776"/>
      <c r="K49" s="776"/>
      <c r="L49" s="793"/>
      <c r="M49" s="793">
        <v>7</v>
      </c>
      <c r="N49" s="793"/>
      <c r="O49" s="793"/>
      <c r="P49" s="793"/>
      <c r="Q49" s="793"/>
      <c r="R49" s="793"/>
      <c r="S49" s="793"/>
      <c r="T49" s="793"/>
      <c r="U49" s="793"/>
      <c r="V49" s="793"/>
      <c r="W49" s="793"/>
      <c r="X49" s="793"/>
      <c r="Y49" s="793"/>
      <c r="Z49" s="793"/>
      <c r="AA49" s="793"/>
      <c r="AB49" s="52"/>
    </row>
    <row r="50" spans="1:28">
      <c r="A50" s="932"/>
      <c r="B50" s="69"/>
      <c r="C50" s="52"/>
      <c r="D50" s="1500">
        <v>2005</v>
      </c>
      <c r="E50" s="1500"/>
      <c r="F50" s="776"/>
      <c r="G50" s="776"/>
      <c r="H50" s="776"/>
      <c r="I50" s="889" t="s">
        <v>162</v>
      </c>
      <c r="J50" s="946" t="s">
        <v>225</v>
      </c>
      <c r="K50" s="946" t="s">
        <v>226</v>
      </c>
      <c r="L50" s="793"/>
      <c r="M50" s="776"/>
      <c r="N50" s="776"/>
      <c r="O50" s="776"/>
      <c r="P50" s="889" t="s">
        <v>162</v>
      </c>
      <c r="Q50" s="946" t="s">
        <v>225</v>
      </c>
      <c r="R50" s="946" t="s">
        <v>226</v>
      </c>
      <c r="S50" s="793"/>
      <c r="T50" s="793"/>
      <c r="U50" s="793"/>
      <c r="V50" s="793"/>
      <c r="W50" s="793"/>
      <c r="X50" s="793"/>
      <c r="Y50" s="793"/>
      <c r="Z50" s="793"/>
      <c r="AA50" s="793"/>
      <c r="AB50" s="52"/>
    </row>
    <row r="51" spans="1:28">
      <c r="A51" s="932"/>
      <c r="B51" s="69"/>
      <c r="C51" s="52"/>
      <c r="D51" s="793" t="s">
        <v>33</v>
      </c>
      <c r="E51" s="52"/>
      <c r="F51" s="52"/>
      <c r="G51" s="793" t="s">
        <v>162</v>
      </c>
      <c r="H51" s="793">
        <v>1656070</v>
      </c>
      <c r="I51" s="793">
        <f>H51</f>
        <v>1656070</v>
      </c>
      <c r="J51" s="52"/>
      <c r="K51" s="52"/>
      <c r="L51" s="793"/>
      <c r="M51" s="793" t="s">
        <v>33</v>
      </c>
      <c r="N51" s="793" t="s">
        <v>162</v>
      </c>
      <c r="O51" s="793">
        <v>2222795</v>
      </c>
      <c r="P51" s="793">
        <f>O51</f>
        <v>2222795</v>
      </c>
      <c r="Q51" s="52"/>
      <c r="R51" s="52"/>
      <c r="S51" s="793"/>
      <c r="T51" s="793"/>
      <c r="U51" s="793"/>
      <c r="V51" s="793"/>
      <c r="W51" s="793"/>
      <c r="X51" s="793"/>
      <c r="Y51" s="793"/>
      <c r="Z51" s="793"/>
      <c r="AA51" s="793"/>
      <c r="AB51" s="52"/>
    </row>
    <row r="52" spans="1:28">
      <c r="A52" s="932"/>
      <c r="B52" s="69"/>
      <c r="C52" s="52"/>
      <c r="D52" s="793"/>
      <c r="E52" s="52"/>
      <c r="F52" s="52"/>
      <c r="G52" s="793" t="s">
        <v>227</v>
      </c>
      <c r="H52" s="793">
        <v>-92485</v>
      </c>
      <c r="I52" s="793"/>
      <c r="J52" s="70">
        <f>H52</f>
        <v>-92485</v>
      </c>
      <c r="K52" s="52"/>
      <c r="L52" s="793">
        <f>J52</f>
        <v>-92485</v>
      </c>
      <c r="M52" s="793"/>
      <c r="N52" s="793" t="s">
        <v>227</v>
      </c>
      <c r="O52" s="793">
        <v>-38728</v>
      </c>
      <c r="P52" s="793"/>
      <c r="Q52" s="70">
        <f>O52</f>
        <v>-38728</v>
      </c>
      <c r="R52" s="52"/>
      <c r="S52" s="793">
        <f>Q52</f>
        <v>-38728</v>
      </c>
      <c r="T52" s="793"/>
      <c r="U52" s="793"/>
      <c r="V52" s="793"/>
      <c r="W52" s="793"/>
      <c r="X52" s="793"/>
      <c r="Y52" s="793"/>
      <c r="Z52" s="793"/>
      <c r="AA52" s="793"/>
      <c r="AB52" s="52"/>
    </row>
    <row r="53" spans="1:28">
      <c r="A53" s="932"/>
      <c r="B53" s="69"/>
      <c r="C53" s="52"/>
      <c r="D53" s="793"/>
      <c r="E53" s="52"/>
      <c r="F53" s="52"/>
      <c r="G53" s="793" t="s">
        <v>226</v>
      </c>
      <c r="H53" s="793">
        <f>SUM(H51:H52)</f>
        <v>1563585</v>
      </c>
      <c r="I53" s="892"/>
      <c r="J53" s="946"/>
      <c r="K53" s="884">
        <f>H53</f>
        <v>1563585</v>
      </c>
      <c r="L53" s="793"/>
      <c r="M53" s="793"/>
      <c r="N53" s="793" t="s">
        <v>226</v>
      </c>
      <c r="O53" s="793">
        <f>SUM(O51:O52)</f>
        <v>2184067</v>
      </c>
      <c r="P53" s="892"/>
      <c r="Q53" s="946"/>
      <c r="R53" s="884">
        <f>O53</f>
        <v>2184067</v>
      </c>
      <c r="S53" s="793"/>
      <c r="T53" s="793"/>
      <c r="U53" s="793"/>
      <c r="V53" s="793"/>
      <c r="W53" s="793"/>
      <c r="X53" s="793"/>
      <c r="Y53" s="793"/>
      <c r="Z53" s="793"/>
      <c r="AA53" s="793"/>
      <c r="AB53" s="52"/>
    </row>
    <row r="54" spans="1:28">
      <c r="A54" s="932"/>
      <c r="B54" s="69"/>
      <c r="C54" s="52"/>
      <c r="D54" s="793"/>
      <c r="E54" s="52"/>
      <c r="F54" s="52"/>
      <c r="G54" s="793"/>
      <c r="H54" s="793"/>
      <c r="I54" s="793">
        <f>I51</f>
        <v>1656070</v>
      </c>
      <c r="J54" s="947">
        <f>J52</f>
        <v>-92485</v>
      </c>
      <c r="K54" s="70">
        <f>I54+J54</f>
        <v>1563585</v>
      </c>
      <c r="L54" s="793"/>
      <c r="M54" s="793"/>
      <c r="N54" s="793"/>
      <c r="O54" s="793"/>
      <c r="P54" s="793">
        <f>P51</f>
        <v>2222795</v>
      </c>
      <c r="Q54" s="947">
        <f>Q52</f>
        <v>-38728</v>
      </c>
      <c r="R54" s="70">
        <f>P54+Q54</f>
        <v>2184067</v>
      </c>
      <c r="S54" s="793"/>
      <c r="T54" s="793"/>
      <c r="U54" s="793"/>
      <c r="V54" s="793"/>
      <c r="W54" s="793"/>
      <c r="X54" s="793"/>
      <c r="Y54" s="793"/>
      <c r="Z54" s="793"/>
      <c r="AA54" s="793"/>
      <c r="AB54" s="52"/>
    </row>
    <row r="55" spans="1:28">
      <c r="A55" s="932"/>
      <c r="B55" s="69"/>
      <c r="C55" s="52"/>
      <c r="D55" s="793"/>
      <c r="E55" s="52"/>
      <c r="F55" s="52"/>
      <c r="G55" s="793"/>
      <c r="H55" s="793"/>
      <c r="I55" s="793"/>
      <c r="J55" s="52"/>
      <c r="K55" s="52"/>
      <c r="L55" s="793"/>
      <c r="M55" s="793"/>
      <c r="N55" s="793"/>
      <c r="O55" s="793"/>
      <c r="P55" s="793"/>
      <c r="Q55" s="52"/>
      <c r="R55" s="52"/>
      <c r="S55" s="793"/>
      <c r="T55" s="793"/>
      <c r="U55" s="793"/>
      <c r="V55" s="793"/>
      <c r="W55" s="793"/>
      <c r="X55" s="793"/>
      <c r="Y55" s="793"/>
      <c r="Z55" s="793"/>
      <c r="AA55" s="793"/>
      <c r="AB55" s="52"/>
    </row>
    <row r="56" spans="1:28">
      <c r="A56" s="932"/>
      <c r="B56" s="69"/>
      <c r="C56" s="52"/>
      <c r="D56" s="793" t="s">
        <v>228</v>
      </c>
      <c r="E56" s="52"/>
      <c r="F56" s="52"/>
      <c r="G56" s="793" t="s">
        <v>162</v>
      </c>
      <c r="H56" s="793">
        <v>1231867</v>
      </c>
      <c r="I56" s="793">
        <f>H56</f>
        <v>1231867</v>
      </c>
      <c r="J56" s="52"/>
      <c r="K56" s="52"/>
      <c r="L56" s="793"/>
      <c r="M56" s="793" t="s">
        <v>228</v>
      </c>
      <c r="N56" s="793" t="s">
        <v>162</v>
      </c>
      <c r="O56" s="793">
        <v>1819881</v>
      </c>
      <c r="P56" s="793">
        <f>O56</f>
        <v>1819881</v>
      </c>
      <c r="Q56" s="52"/>
      <c r="R56" s="52"/>
      <c r="S56" s="793"/>
      <c r="T56" s="793"/>
      <c r="U56" s="793"/>
      <c r="V56" s="793"/>
      <c r="W56" s="793"/>
      <c r="X56" s="793"/>
      <c r="Y56" s="793"/>
      <c r="Z56" s="793"/>
      <c r="AA56" s="793"/>
      <c r="AB56" s="52"/>
    </row>
    <row r="57" spans="1:28">
      <c r="A57" s="932"/>
      <c r="B57" s="69"/>
      <c r="C57" s="52"/>
      <c r="D57" s="793"/>
      <c r="E57" s="52"/>
      <c r="F57" s="52"/>
      <c r="G57" s="793" t="s">
        <v>227</v>
      </c>
      <c r="H57" s="793">
        <v>-39131</v>
      </c>
      <c r="I57" s="793"/>
      <c r="J57" s="70">
        <f>H57</f>
        <v>-39131</v>
      </c>
      <c r="K57" s="52"/>
      <c r="L57" s="793">
        <f>-J57</f>
        <v>39131</v>
      </c>
      <c r="M57" s="793"/>
      <c r="N57" s="793" t="s">
        <v>227</v>
      </c>
      <c r="O57" s="793">
        <v>-22996</v>
      </c>
      <c r="P57" s="793"/>
      <c r="Q57" s="70">
        <f>O57</f>
        <v>-22996</v>
      </c>
      <c r="R57" s="52"/>
      <c r="S57" s="793">
        <f>-Q57</f>
        <v>22996</v>
      </c>
      <c r="T57" s="793"/>
      <c r="U57" s="793"/>
      <c r="V57" s="793"/>
      <c r="W57" s="793"/>
      <c r="X57" s="793"/>
      <c r="Y57" s="793"/>
      <c r="Z57" s="793"/>
      <c r="AA57" s="793"/>
      <c r="AB57" s="52"/>
    </row>
    <row r="58" spans="1:28">
      <c r="A58" s="932"/>
      <c r="B58" s="69"/>
      <c r="C58" s="52"/>
      <c r="D58" s="793"/>
      <c r="E58" s="52"/>
      <c r="F58" s="52"/>
      <c r="G58" s="793" t="s">
        <v>226</v>
      </c>
      <c r="H58" s="793">
        <f>SUM(H56:H57)</f>
        <v>1192736</v>
      </c>
      <c r="I58" s="892"/>
      <c r="J58" s="946"/>
      <c r="K58" s="884">
        <f>H58</f>
        <v>1192736</v>
      </c>
      <c r="L58" s="793"/>
      <c r="M58" s="793"/>
      <c r="N58" s="793" t="s">
        <v>226</v>
      </c>
      <c r="O58" s="793">
        <f>SUM(O56:O57)</f>
        <v>1796885</v>
      </c>
      <c r="P58" s="892"/>
      <c r="Q58" s="946"/>
      <c r="R58" s="884">
        <f>O58</f>
        <v>1796885</v>
      </c>
      <c r="S58" s="793"/>
      <c r="T58" s="793"/>
      <c r="U58" s="793"/>
      <c r="V58" s="793"/>
      <c r="W58" s="793"/>
      <c r="X58" s="793"/>
      <c r="Y58" s="793"/>
      <c r="Z58" s="793"/>
      <c r="AA58" s="793"/>
      <c r="AB58" s="52"/>
    </row>
    <row r="59" spans="1:28">
      <c r="A59" s="932"/>
      <c r="B59" s="69"/>
      <c r="C59" s="52"/>
      <c r="D59" s="793"/>
      <c r="E59" s="52"/>
      <c r="F59" s="52"/>
      <c r="G59" s="793"/>
      <c r="H59" s="793"/>
      <c r="I59" s="793">
        <f>I56</f>
        <v>1231867</v>
      </c>
      <c r="J59" s="947">
        <f>J57</f>
        <v>-39131</v>
      </c>
      <c r="K59" s="70">
        <f>I59+J59</f>
        <v>1192736</v>
      </c>
      <c r="L59" s="793"/>
      <c r="M59" s="793"/>
      <c r="N59" s="793"/>
      <c r="O59" s="793"/>
      <c r="P59" s="793">
        <f>P56</f>
        <v>1819881</v>
      </c>
      <c r="Q59" s="947">
        <f>Q57</f>
        <v>-22996</v>
      </c>
      <c r="R59" s="70">
        <f>P59+Q59</f>
        <v>1796885</v>
      </c>
      <c r="S59" s="793"/>
      <c r="T59" s="793"/>
      <c r="U59" s="793"/>
      <c r="V59" s="793"/>
      <c r="W59" s="793"/>
      <c r="X59" s="793"/>
      <c r="Y59" s="793"/>
      <c r="Z59" s="793"/>
      <c r="AA59" s="793"/>
      <c r="AB59" s="52"/>
    </row>
    <row r="60" spans="1:28">
      <c r="A60" s="932"/>
      <c r="B60" s="69"/>
      <c r="C60" s="52"/>
      <c r="D60" s="793"/>
      <c r="E60" s="52"/>
      <c r="F60" s="52"/>
      <c r="G60" s="793"/>
      <c r="H60" s="793"/>
      <c r="I60" s="793"/>
      <c r="J60" s="947"/>
      <c r="K60" s="70"/>
      <c r="L60" s="793"/>
      <c r="M60" s="793"/>
      <c r="N60" s="793"/>
      <c r="O60" s="793"/>
      <c r="P60" s="793"/>
      <c r="Q60" s="947"/>
      <c r="R60" s="70"/>
      <c r="S60" s="793"/>
      <c r="T60" s="793"/>
      <c r="U60" s="793"/>
      <c r="V60" s="793"/>
      <c r="W60" s="793"/>
      <c r="X60" s="793"/>
      <c r="Y60" s="793"/>
      <c r="Z60" s="793"/>
      <c r="AA60" s="793"/>
      <c r="AB60" s="52"/>
    </row>
    <row r="61" spans="1:28">
      <c r="A61" s="932"/>
      <c r="B61" s="69"/>
      <c r="C61" s="52"/>
      <c r="D61" s="793" t="s">
        <v>229</v>
      </c>
      <c r="E61" s="52"/>
      <c r="F61" s="52"/>
      <c r="G61" s="793" t="s">
        <v>162</v>
      </c>
      <c r="H61" s="793">
        <v>92092</v>
      </c>
      <c r="I61" s="793">
        <f>H61</f>
        <v>92092</v>
      </c>
      <c r="J61" s="52"/>
      <c r="K61" s="52"/>
      <c r="L61" s="793"/>
      <c r="M61" s="793" t="s">
        <v>229</v>
      </c>
      <c r="N61" s="793" t="s">
        <v>162</v>
      </c>
      <c r="O61" s="793">
        <v>69424</v>
      </c>
      <c r="P61" s="793">
        <f>O61</f>
        <v>69424</v>
      </c>
      <c r="Q61" s="52"/>
      <c r="R61" s="52"/>
      <c r="S61" s="793"/>
      <c r="T61" s="793"/>
      <c r="U61" s="793"/>
      <c r="V61" s="793"/>
      <c r="W61" s="793"/>
      <c r="X61" s="793"/>
      <c r="Y61" s="793"/>
      <c r="Z61" s="793"/>
      <c r="AA61" s="793"/>
      <c r="AB61" s="52"/>
    </row>
    <row r="62" spans="1:28">
      <c r="A62" s="932"/>
      <c r="B62" s="69"/>
      <c r="C62" s="52"/>
      <c r="D62" s="793"/>
      <c r="E62" s="52"/>
      <c r="F62" s="52"/>
      <c r="G62" s="793" t="s">
        <v>227</v>
      </c>
      <c r="H62" s="793">
        <v>-60851</v>
      </c>
      <c r="I62" s="793"/>
      <c r="J62" s="70">
        <f>H62</f>
        <v>-60851</v>
      </c>
      <c r="K62" s="52"/>
      <c r="L62" s="793">
        <f>-J62</f>
        <v>60851</v>
      </c>
      <c r="M62" s="793"/>
      <c r="N62" s="793" t="s">
        <v>227</v>
      </c>
      <c r="O62" s="793">
        <v>-32029</v>
      </c>
      <c r="P62" s="793"/>
      <c r="Q62" s="70">
        <f>O62</f>
        <v>-32029</v>
      </c>
      <c r="R62" s="52"/>
      <c r="S62" s="793">
        <f>-Q62</f>
        <v>32029</v>
      </c>
      <c r="T62" s="793"/>
      <c r="U62" s="793"/>
      <c r="V62" s="793"/>
      <c r="W62" s="793"/>
      <c r="X62" s="793"/>
      <c r="Y62" s="793"/>
      <c r="Z62" s="793"/>
      <c r="AA62" s="793"/>
      <c r="AB62" s="52"/>
    </row>
    <row r="63" spans="1:28">
      <c r="A63" s="932"/>
      <c r="B63" s="69"/>
      <c r="C63" s="52"/>
      <c r="D63" s="793"/>
      <c r="E63" s="52"/>
      <c r="F63" s="52"/>
      <c r="G63" s="793" t="s">
        <v>226</v>
      </c>
      <c r="H63" s="793">
        <f>SUM(H61:H62)</f>
        <v>31241</v>
      </c>
      <c r="I63" s="892"/>
      <c r="J63" s="946"/>
      <c r="K63" s="884">
        <f>H63</f>
        <v>31241</v>
      </c>
      <c r="L63" s="793"/>
      <c r="M63" s="793"/>
      <c r="N63" s="793" t="s">
        <v>226</v>
      </c>
      <c r="O63" s="793">
        <f>SUM(O61:O62)</f>
        <v>37395</v>
      </c>
      <c r="P63" s="892"/>
      <c r="Q63" s="946"/>
      <c r="R63" s="884">
        <f>O63</f>
        <v>37395</v>
      </c>
      <c r="S63" s="793"/>
      <c r="T63" s="793"/>
      <c r="U63" s="793"/>
      <c r="V63" s="793"/>
      <c r="W63" s="793"/>
      <c r="X63" s="793"/>
      <c r="Y63" s="793"/>
      <c r="Z63" s="793"/>
      <c r="AA63" s="793"/>
      <c r="AB63" s="52"/>
    </row>
    <row r="64" spans="1:28">
      <c r="A64" s="932"/>
      <c r="B64" s="69"/>
      <c r="C64" s="52"/>
      <c r="D64" s="793"/>
      <c r="E64" s="52"/>
      <c r="F64" s="52"/>
      <c r="G64" s="793"/>
      <c r="H64" s="793"/>
      <c r="I64" s="793">
        <f>I61</f>
        <v>92092</v>
      </c>
      <c r="J64" s="947">
        <f>J62</f>
        <v>-60851</v>
      </c>
      <c r="K64" s="70">
        <f>I64+J64</f>
        <v>31241</v>
      </c>
      <c r="L64" s="793"/>
      <c r="M64" s="793"/>
      <c r="N64" s="793"/>
      <c r="O64" s="793"/>
      <c r="P64" s="793">
        <f>P61</f>
        <v>69424</v>
      </c>
      <c r="Q64" s="947">
        <f>Q62</f>
        <v>-32029</v>
      </c>
      <c r="R64" s="70">
        <f>P64+Q64</f>
        <v>37395</v>
      </c>
      <c r="S64" s="793"/>
      <c r="T64" s="793"/>
      <c r="U64" s="793"/>
      <c r="V64" s="793"/>
      <c r="W64" s="793"/>
      <c r="X64" s="793"/>
      <c r="Y64" s="793"/>
      <c r="Z64" s="793"/>
      <c r="AA64" s="793"/>
      <c r="AB64" s="52"/>
    </row>
    <row r="65" spans="1:28">
      <c r="A65" s="932"/>
      <c r="B65" s="69"/>
      <c r="C65" s="52"/>
      <c r="D65" s="793"/>
      <c r="E65" s="52"/>
      <c r="F65" s="52"/>
      <c r="G65" s="793"/>
      <c r="H65" s="793"/>
      <c r="I65" s="793"/>
      <c r="J65" s="947"/>
      <c r="K65" s="70"/>
      <c r="L65" s="793"/>
      <c r="M65" s="793"/>
      <c r="N65" s="793"/>
      <c r="O65" s="793"/>
      <c r="P65" s="793"/>
      <c r="Q65" s="947"/>
      <c r="R65" s="70"/>
      <c r="S65" s="793"/>
      <c r="T65" s="793"/>
      <c r="U65" s="793"/>
      <c r="V65" s="793"/>
      <c r="W65" s="793"/>
      <c r="X65" s="793"/>
      <c r="Y65" s="793"/>
      <c r="Z65" s="793"/>
      <c r="AA65" s="793"/>
      <c r="AB65" s="52"/>
    </row>
    <row r="66" spans="1:28">
      <c r="A66" s="932"/>
      <c r="B66" s="69"/>
      <c r="C66" s="52"/>
      <c r="D66" s="793" t="s">
        <v>230</v>
      </c>
      <c r="E66" s="52"/>
      <c r="F66" s="52"/>
      <c r="G66" s="793" t="s">
        <v>162</v>
      </c>
      <c r="H66" s="793">
        <v>114008</v>
      </c>
      <c r="I66" s="793">
        <f>H66</f>
        <v>114008</v>
      </c>
      <c r="J66" s="52"/>
      <c r="K66" s="52"/>
      <c r="L66" s="793"/>
      <c r="M66" s="793" t="s">
        <v>230</v>
      </c>
      <c r="N66" s="793" t="s">
        <v>162</v>
      </c>
      <c r="O66" s="793">
        <v>100861</v>
      </c>
      <c r="P66" s="793">
        <f>O66</f>
        <v>100861</v>
      </c>
      <c r="Q66" s="52"/>
      <c r="R66" s="52"/>
      <c r="S66" s="793"/>
      <c r="T66" s="793"/>
      <c r="U66" s="793"/>
      <c r="V66" s="793"/>
      <c r="W66" s="793"/>
      <c r="X66" s="793"/>
      <c r="Y66" s="793"/>
      <c r="Z66" s="793"/>
      <c r="AA66" s="793"/>
      <c r="AB66" s="52"/>
    </row>
    <row r="67" spans="1:28">
      <c r="A67" s="932"/>
      <c r="B67" s="69"/>
      <c r="C67" s="52"/>
      <c r="D67" s="793"/>
      <c r="E67" s="52"/>
      <c r="F67" s="52"/>
      <c r="G67" s="793" t="s">
        <v>227</v>
      </c>
      <c r="H67" s="793">
        <v>15618</v>
      </c>
      <c r="I67" s="793"/>
      <c r="J67" s="70">
        <f>H67</f>
        <v>15618</v>
      </c>
      <c r="K67" s="52"/>
      <c r="L67" s="793">
        <f>J67</f>
        <v>15618</v>
      </c>
      <c r="M67" s="793"/>
      <c r="N67" s="793" t="s">
        <v>227</v>
      </c>
      <c r="O67" s="793">
        <v>15832</v>
      </c>
      <c r="P67" s="793"/>
      <c r="Q67" s="70">
        <f>O67</f>
        <v>15832</v>
      </c>
      <c r="R67" s="52"/>
      <c r="S67" s="793">
        <f>Q67</f>
        <v>15832</v>
      </c>
      <c r="T67" s="793"/>
      <c r="U67" s="793"/>
      <c r="V67" s="793"/>
      <c r="W67" s="793"/>
      <c r="X67" s="793"/>
      <c r="Y67" s="793"/>
      <c r="Z67" s="793"/>
      <c r="AA67" s="793"/>
      <c r="AB67" s="52"/>
    </row>
    <row r="68" spans="1:28">
      <c r="A68" s="932"/>
      <c r="B68" s="69"/>
      <c r="C68" s="52"/>
      <c r="D68" s="793"/>
      <c r="E68" s="52"/>
      <c r="F68" s="52"/>
      <c r="G68" s="793" t="s">
        <v>226</v>
      </c>
      <c r="H68" s="793">
        <f>SUM(H66:H67)</f>
        <v>129626</v>
      </c>
      <c r="I68" s="892"/>
      <c r="J68" s="946"/>
      <c r="K68" s="884">
        <f>H68</f>
        <v>129626</v>
      </c>
      <c r="L68" s="793"/>
      <c r="M68" s="793"/>
      <c r="N68" s="793" t="s">
        <v>226</v>
      </c>
      <c r="O68" s="793">
        <f>SUM(O66:O67)</f>
        <v>116693</v>
      </c>
      <c r="P68" s="892"/>
      <c r="Q68" s="946"/>
      <c r="R68" s="884">
        <f>O68</f>
        <v>116693</v>
      </c>
      <c r="S68" s="793"/>
      <c r="T68" s="793"/>
      <c r="U68" s="793"/>
      <c r="V68" s="793"/>
      <c r="W68" s="793"/>
      <c r="X68" s="793"/>
      <c r="Y68" s="793"/>
      <c r="Z68" s="793"/>
      <c r="AA68" s="793"/>
      <c r="AB68" s="52"/>
    </row>
    <row r="69" spans="1:28">
      <c r="A69" s="932"/>
      <c r="B69" s="69"/>
      <c r="C69" s="52"/>
      <c r="D69" s="793"/>
      <c r="E69" s="52"/>
      <c r="F69" s="52"/>
      <c r="G69" s="793"/>
      <c r="H69" s="793"/>
      <c r="I69" s="793">
        <f>I66</f>
        <v>114008</v>
      </c>
      <c r="J69" s="947">
        <f>J67</f>
        <v>15618</v>
      </c>
      <c r="K69" s="70">
        <f>I69+J69</f>
        <v>129626</v>
      </c>
      <c r="L69" s="793"/>
      <c r="M69" s="793"/>
      <c r="N69" s="793"/>
      <c r="O69" s="793"/>
      <c r="P69" s="793">
        <f>P66</f>
        <v>100861</v>
      </c>
      <c r="Q69" s="947">
        <f>Q67</f>
        <v>15832</v>
      </c>
      <c r="R69" s="70">
        <f>P69+Q69</f>
        <v>116693</v>
      </c>
      <c r="S69" s="793"/>
      <c r="T69" s="793"/>
      <c r="U69" s="793"/>
      <c r="V69" s="793"/>
      <c r="W69" s="793"/>
      <c r="X69" s="793"/>
      <c r="Y69" s="793"/>
      <c r="Z69" s="793"/>
      <c r="AA69" s="793"/>
      <c r="AB69" s="52"/>
    </row>
    <row r="70" spans="1:28">
      <c r="A70" s="932"/>
      <c r="B70" s="69"/>
      <c r="C70" s="52"/>
      <c r="D70" s="793"/>
      <c r="E70" s="52"/>
      <c r="F70" s="52"/>
      <c r="G70" s="892"/>
      <c r="H70" s="892"/>
      <c r="I70" s="892"/>
      <c r="J70" s="67"/>
      <c r="K70" s="67"/>
      <c r="L70" s="793"/>
      <c r="M70" s="793"/>
      <c r="N70" s="892"/>
      <c r="O70" s="892"/>
      <c r="P70" s="892"/>
      <c r="Q70" s="67"/>
      <c r="R70" s="67"/>
      <c r="S70" s="793"/>
      <c r="T70" s="793"/>
      <c r="U70" s="793"/>
      <c r="V70" s="793"/>
      <c r="W70" s="793"/>
      <c r="X70" s="793"/>
      <c r="Y70" s="793"/>
      <c r="Z70" s="793"/>
      <c r="AA70" s="793"/>
      <c r="AB70" s="52"/>
    </row>
    <row r="71" spans="1:28">
      <c r="A71" s="932"/>
      <c r="B71" s="69"/>
      <c r="C71" s="52"/>
      <c r="D71" s="793" t="s">
        <v>231</v>
      </c>
      <c r="E71" s="242"/>
      <c r="F71" s="242" t="s">
        <v>232</v>
      </c>
      <c r="G71" s="793" t="s">
        <v>162</v>
      </c>
      <c r="H71" s="793">
        <v>218228</v>
      </c>
      <c r="I71" s="793">
        <f>H71</f>
        <v>218228</v>
      </c>
      <c r="J71" s="241">
        <f>H72</f>
        <v>21007</v>
      </c>
      <c r="K71" s="241">
        <f>SUM(I71:J71)</f>
        <v>239235</v>
      </c>
      <c r="L71" s="793">
        <f>SUM(L51:L70)</f>
        <v>23115</v>
      </c>
      <c r="M71" s="793" t="s">
        <v>231</v>
      </c>
      <c r="N71" s="793" t="s">
        <v>162</v>
      </c>
      <c r="O71" s="793">
        <v>856836</v>
      </c>
      <c r="P71" s="793">
        <f>O71</f>
        <v>856836</v>
      </c>
      <c r="Q71" s="241">
        <f>O72</f>
        <v>-613726</v>
      </c>
      <c r="R71" s="241">
        <f>SUM(P71:Q71)</f>
        <v>243110</v>
      </c>
      <c r="S71" s="793">
        <f>SUM(S51:S70)</f>
        <v>32129</v>
      </c>
      <c r="T71" s="793"/>
      <c r="U71" s="793"/>
      <c r="V71" s="793"/>
      <c r="W71" s="793"/>
      <c r="X71" s="793"/>
      <c r="Y71" s="793"/>
      <c r="Z71" s="793"/>
      <c r="AA71" s="793"/>
      <c r="AB71" s="52"/>
    </row>
    <row r="72" spans="1:28">
      <c r="A72" s="932"/>
      <c r="B72" s="69"/>
      <c r="C72" s="52"/>
      <c r="D72" s="793"/>
      <c r="E72" s="242"/>
      <c r="F72" s="242"/>
      <c r="G72" s="793" t="s">
        <v>227</v>
      </c>
      <c r="H72" s="892">
        <v>21007</v>
      </c>
      <c r="I72" s="793"/>
      <c r="J72" s="593"/>
      <c r="K72" s="242"/>
      <c r="L72" s="793">
        <f>H72</f>
        <v>21007</v>
      </c>
      <c r="M72" s="793"/>
      <c r="N72" s="793" t="s">
        <v>227</v>
      </c>
      <c r="O72" s="892">
        <v>-613726</v>
      </c>
      <c r="P72" s="793"/>
      <c r="Q72" s="593"/>
      <c r="R72" s="242"/>
      <c r="S72" s="793"/>
      <c r="T72" s="793"/>
      <c r="U72" s="793"/>
      <c r="V72" s="793"/>
      <c r="W72" s="793"/>
      <c r="X72" s="793"/>
      <c r="Y72" s="793"/>
      <c r="Z72" s="793"/>
      <c r="AA72" s="793"/>
      <c r="AB72" s="52"/>
    </row>
    <row r="73" spans="1:28">
      <c r="A73" s="932"/>
      <c r="B73" s="69"/>
      <c r="C73" s="52"/>
      <c r="D73" s="793"/>
      <c r="E73" s="242"/>
      <c r="F73" s="242"/>
      <c r="G73" s="793" t="s">
        <v>226</v>
      </c>
      <c r="H73" s="793">
        <f>SUM(H71:H72)</f>
        <v>239235</v>
      </c>
      <c r="I73" s="793"/>
      <c r="J73" s="242"/>
      <c r="K73" s="242"/>
      <c r="L73" s="793">
        <f>L72-L71</f>
        <v>-2108</v>
      </c>
      <c r="M73" s="793"/>
      <c r="N73" s="793" t="s">
        <v>226</v>
      </c>
      <c r="O73" s="793">
        <f>SUM(O71:O72)</f>
        <v>243110</v>
      </c>
      <c r="P73" s="793"/>
      <c r="Q73" s="242"/>
      <c r="R73" s="242"/>
      <c r="S73" s="793"/>
      <c r="T73" s="793"/>
      <c r="U73" s="793"/>
      <c r="V73" s="793"/>
      <c r="W73" s="793"/>
      <c r="X73" s="793"/>
      <c r="Y73" s="793"/>
      <c r="Z73" s="793"/>
      <c r="AA73" s="793"/>
      <c r="AB73" s="52"/>
    </row>
    <row r="74" spans="1:28">
      <c r="A74" s="932"/>
      <c r="B74" s="69"/>
      <c r="C74" s="52"/>
      <c r="D74" s="793"/>
      <c r="E74" s="242"/>
      <c r="F74" s="242"/>
      <c r="G74" s="892"/>
      <c r="H74" s="892"/>
      <c r="I74" s="892"/>
      <c r="J74" s="892" t="s">
        <v>233</v>
      </c>
      <c r="K74" s="892"/>
      <c r="L74" s="892"/>
      <c r="M74" s="793"/>
      <c r="N74" s="892"/>
      <c r="O74" s="892"/>
      <c r="P74" s="892"/>
      <c r="Q74" s="892"/>
      <c r="R74" s="892"/>
      <c r="S74" s="892"/>
      <c r="T74" s="793"/>
      <c r="U74" s="793"/>
      <c r="V74" s="793"/>
      <c r="W74" s="793"/>
      <c r="X74" s="793"/>
      <c r="Y74" s="793"/>
      <c r="Z74" s="793"/>
      <c r="AA74" s="793"/>
      <c r="AB74" s="52"/>
    </row>
    <row r="75" spans="1:28">
      <c r="A75" s="932"/>
      <c r="B75" s="69"/>
      <c r="C75" s="52"/>
      <c r="D75" s="793" t="s">
        <v>231</v>
      </c>
      <c r="E75" s="242"/>
      <c r="F75" s="242"/>
      <c r="G75" s="793" t="s">
        <v>162</v>
      </c>
      <c r="H75" s="793"/>
      <c r="I75" s="793">
        <f>I51-I56-I61-I66</f>
        <v>218103</v>
      </c>
      <c r="J75" s="793">
        <f>J54-J59-J64-J69</f>
        <v>-8121</v>
      </c>
      <c r="K75" s="793">
        <f>K54-K59-K64-K69</f>
        <v>209982</v>
      </c>
      <c r="L75" s="793"/>
      <c r="M75" s="793"/>
      <c r="N75" s="793" t="s">
        <v>162</v>
      </c>
      <c r="O75" s="793"/>
      <c r="P75" s="793">
        <f>P51-P56-P61-P66</f>
        <v>232629</v>
      </c>
      <c r="Q75" s="793">
        <f>Q54-Q59-Q64-Q69</f>
        <v>465</v>
      </c>
      <c r="R75" s="793">
        <f>R54-R59-R64-R69</f>
        <v>233094</v>
      </c>
      <c r="S75" s="793"/>
      <c r="T75" s="793"/>
      <c r="U75" s="793"/>
      <c r="V75" s="793"/>
      <c r="W75" s="793"/>
      <c r="X75" s="793"/>
      <c r="Y75" s="793"/>
      <c r="Z75" s="793"/>
      <c r="AA75" s="793"/>
      <c r="AB75" s="52"/>
    </row>
    <row r="76" spans="1:28">
      <c r="A76" s="932"/>
      <c r="B76" s="69"/>
      <c r="C76" s="793"/>
      <c r="D76" s="242"/>
      <c r="E76" s="242"/>
      <c r="F76" s="242"/>
      <c r="G76" s="1007" t="s">
        <v>234</v>
      </c>
      <c r="H76" s="1007"/>
      <c r="I76" s="1007"/>
      <c r="J76" s="1007">
        <f>J75-J71</f>
        <v>-29128</v>
      </c>
      <c r="K76" s="1007">
        <f>K75-K71</f>
        <v>-29253</v>
      </c>
      <c r="L76" s="1007"/>
      <c r="M76" s="893"/>
      <c r="N76" s="1007" t="s">
        <v>227</v>
      </c>
      <c r="O76" s="1007"/>
      <c r="P76" s="1007"/>
      <c r="Q76" s="1007"/>
      <c r="R76" s="1007">
        <f>R71-R75</f>
        <v>10016</v>
      </c>
      <c r="S76" s="1007"/>
      <c r="T76" s="793"/>
      <c r="U76" s="793"/>
      <c r="V76" s="793"/>
      <c r="W76" s="793"/>
      <c r="X76" s="793"/>
      <c r="Y76" s="793"/>
      <c r="Z76" s="793"/>
      <c r="AA76" s="793"/>
      <c r="AB76" s="52"/>
    </row>
    <row r="77" spans="1:28">
      <c r="A77" s="932"/>
      <c r="B77" s="69"/>
      <c r="C77" s="793"/>
      <c r="D77" s="242"/>
      <c r="E77" s="242"/>
      <c r="F77" s="242"/>
      <c r="G77" s="793"/>
      <c r="H77" s="793"/>
      <c r="I77" s="793"/>
      <c r="J77" s="242"/>
      <c r="K77" s="793"/>
      <c r="L77" s="793"/>
      <c r="M77" s="793"/>
      <c r="N77" s="793"/>
      <c r="O77" s="793"/>
      <c r="P77" s="793"/>
      <c r="Q77" s="793">
        <f>Q75-Q71</f>
        <v>614191</v>
      </c>
      <c r="R77" s="793"/>
      <c r="S77" s="793"/>
      <c r="T77" s="793"/>
      <c r="U77" s="793"/>
      <c r="V77" s="793"/>
      <c r="W77" s="793"/>
      <c r="X77" s="793"/>
      <c r="Y77" s="793"/>
      <c r="Z77" s="793"/>
      <c r="AA77" s="793"/>
      <c r="AB77" s="52"/>
    </row>
    <row r="78" spans="1:28">
      <c r="A78" s="932"/>
      <c r="B78" s="69"/>
      <c r="C78" s="793"/>
      <c r="D78" s="242"/>
      <c r="E78" s="242"/>
      <c r="F78" s="242"/>
      <c r="G78" s="793"/>
      <c r="H78" s="793"/>
      <c r="I78" s="793"/>
      <c r="J78" s="793"/>
      <c r="K78" s="242"/>
      <c r="L78" s="793"/>
      <c r="M78" s="793"/>
      <c r="N78" s="793"/>
      <c r="O78" s="899">
        <v>652516</v>
      </c>
      <c r="P78" s="793">
        <f>P71</f>
        <v>856836</v>
      </c>
      <c r="Q78" s="793">
        <f>Q71+Q77</f>
        <v>465</v>
      </c>
      <c r="R78" s="793"/>
      <c r="S78" s="793"/>
      <c r="T78" s="793"/>
      <c r="U78" s="793"/>
      <c r="V78" s="793"/>
      <c r="W78" s="793"/>
      <c r="X78" s="793"/>
      <c r="Y78" s="793"/>
      <c r="Z78" s="793"/>
      <c r="AA78" s="793"/>
      <c r="AB78" s="52"/>
    </row>
    <row r="79" spans="1:28">
      <c r="A79" s="932"/>
      <c r="B79" s="69"/>
      <c r="C79" s="52"/>
      <c r="D79" s="242"/>
      <c r="E79" s="242"/>
      <c r="F79" s="242"/>
      <c r="G79" s="793"/>
      <c r="H79" s="793"/>
      <c r="I79" s="793"/>
      <c r="J79" s="793"/>
      <c r="K79" s="73"/>
      <c r="L79" s="793"/>
      <c r="M79" s="793"/>
      <c r="N79" s="793"/>
      <c r="O79" s="892">
        <v>-26879</v>
      </c>
      <c r="P79" s="793"/>
      <c r="Q79" s="793"/>
      <c r="R79" s="793"/>
      <c r="S79" s="793"/>
      <c r="T79" s="793"/>
      <c r="U79" s="793"/>
      <c r="V79" s="793"/>
      <c r="W79" s="793"/>
      <c r="X79" s="793"/>
      <c r="Y79" s="793"/>
      <c r="Z79" s="793"/>
      <c r="AA79" s="793"/>
      <c r="AB79" s="52"/>
    </row>
    <row r="80" spans="1:28">
      <c r="A80" s="932"/>
      <c r="B80" s="69"/>
      <c r="C80" s="52"/>
      <c r="D80" s="242"/>
      <c r="E80" s="242"/>
      <c r="F80" s="242"/>
      <c r="G80" s="793"/>
      <c r="H80" s="793"/>
      <c r="I80" s="793"/>
      <c r="J80" s="793"/>
      <c r="K80" s="793"/>
      <c r="L80" s="793"/>
      <c r="M80" s="793"/>
      <c r="N80" s="793"/>
      <c r="O80" s="793">
        <f>SUM(O78:O79)</f>
        <v>625637</v>
      </c>
      <c r="P80" s="892">
        <f>O80</f>
        <v>625637</v>
      </c>
      <c r="Q80" s="793"/>
      <c r="R80" s="793"/>
      <c r="S80" s="793"/>
      <c r="T80" s="793"/>
      <c r="U80" s="793"/>
      <c r="V80" s="793"/>
      <c r="W80" s="793"/>
      <c r="X80" s="793"/>
      <c r="Y80" s="793"/>
      <c r="Z80" s="793"/>
      <c r="AA80" s="793"/>
      <c r="AB80" s="52"/>
    </row>
    <row r="81" spans="1:28">
      <c r="A81" s="932"/>
      <c r="B81" s="69"/>
      <c r="C81" s="52"/>
      <c r="D81" s="13"/>
      <c r="E81" s="13"/>
      <c r="F81" s="13"/>
      <c r="G81" s="793"/>
      <c r="H81" s="793"/>
      <c r="I81" s="793"/>
      <c r="J81" s="793"/>
      <c r="K81" s="793"/>
      <c r="L81" s="793"/>
      <c r="M81" s="793"/>
      <c r="N81" s="793"/>
      <c r="O81" s="793"/>
      <c r="P81" s="793">
        <f>P78-P80</f>
        <v>231199</v>
      </c>
      <c r="Q81" s="793"/>
      <c r="R81" s="793"/>
      <c r="S81" s="793"/>
      <c r="T81" s="793"/>
      <c r="U81" s="793"/>
      <c r="V81" s="793"/>
      <c r="W81" s="793"/>
      <c r="X81" s="793"/>
      <c r="Y81" s="793"/>
      <c r="Z81" s="793"/>
      <c r="AA81" s="793"/>
      <c r="AB81" s="52"/>
    </row>
    <row r="82" spans="1:28">
      <c r="A82" s="932"/>
      <c r="B82" s="69"/>
      <c r="C82" s="52"/>
      <c r="D82" s="242"/>
      <c r="E82" s="242"/>
      <c r="F82" s="242"/>
      <c r="G82" s="793"/>
      <c r="H82" s="793"/>
      <c r="I82" s="793"/>
      <c r="J82" s="793"/>
      <c r="K82" s="793"/>
      <c r="L82" s="793"/>
      <c r="M82" s="793"/>
      <c r="N82" s="793"/>
      <c r="O82" s="793"/>
      <c r="P82" s="892">
        <f>P74-P80</f>
        <v>-625637</v>
      </c>
      <c r="Q82" s="793"/>
      <c r="R82" s="793"/>
      <c r="S82" s="793"/>
      <c r="T82" s="793"/>
      <c r="U82" s="793"/>
      <c r="V82" s="793"/>
      <c r="W82" s="793"/>
      <c r="X82" s="793"/>
      <c r="Y82" s="793"/>
      <c r="Z82" s="793"/>
      <c r="AA82" s="793"/>
      <c r="AB82" s="52"/>
    </row>
    <row r="83" spans="1:28">
      <c r="A83" s="932"/>
      <c r="B83" s="69"/>
      <c r="C83" s="52"/>
      <c r="D83" s="242"/>
      <c r="E83" s="242"/>
      <c r="F83" s="242"/>
      <c r="G83" s="793"/>
      <c r="H83" s="793"/>
      <c r="I83" s="793"/>
      <c r="J83" s="793"/>
      <c r="K83" s="793"/>
      <c r="L83" s="793"/>
      <c r="M83" s="793"/>
      <c r="N83" s="793"/>
      <c r="O83" s="793"/>
      <c r="P83" s="892">
        <f>P75-P81</f>
        <v>1430</v>
      </c>
      <c r="Q83" s="793"/>
      <c r="R83" s="793"/>
      <c r="S83" s="793"/>
      <c r="T83" s="793"/>
      <c r="U83" s="793"/>
      <c r="V83" s="793"/>
      <c r="W83" s="793"/>
      <c r="X83" s="793"/>
      <c r="Y83" s="793"/>
      <c r="Z83" s="793"/>
      <c r="AA83" s="793"/>
      <c r="AB83" s="52"/>
    </row>
    <row r="84" spans="1:28" ht="13.5" thickBot="1">
      <c r="A84" s="1212"/>
      <c r="B84" s="1212"/>
      <c r="C84" s="1212"/>
      <c r="D84" s="1212"/>
      <c r="E84" s="1212"/>
      <c r="F84" s="1212"/>
      <c r="G84" s="1212"/>
      <c r="H84" s="1212"/>
      <c r="I84" s="1212"/>
      <c r="J84" s="1212"/>
      <c r="K84" s="1212"/>
      <c r="L84" s="1212"/>
      <c r="M84" s="1212"/>
      <c r="N84" s="1212"/>
      <c r="O84" s="1212"/>
      <c r="P84" s="1212"/>
      <c r="Q84" s="1212"/>
      <c r="R84" s="1212"/>
      <c r="S84" s="1212"/>
      <c r="T84" s="1212"/>
      <c r="U84" s="1212"/>
      <c r="V84" s="1212"/>
      <c r="W84" s="1212"/>
      <c r="X84" s="1212"/>
      <c r="Y84" s="1212"/>
      <c r="Z84" s="1212"/>
      <c r="AA84" s="1212"/>
      <c r="AB84" s="948"/>
    </row>
    <row r="85" spans="1:28">
      <c r="A85" s="776"/>
      <c r="B85" s="776"/>
      <c r="C85" s="776"/>
      <c r="D85" s="776"/>
      <c r="E85" s="776"/>
      <c r="F85" s="776"/>
      <c r="G85" s="1253">
        <v>2005</v>
      </c>
      <c r="H85" s="776"/>
      <c r="I85" s="776"/>
      <c r="J85" s="776"/>
      <c r="K85" s="776"/>
      <c r="L85" s="776"/>
      <c r="M85" s="776"/>
      <c r="N85" s="1253">
        <v>2006</v>
      </c>
      <c r="O85" s="776"/>
      <c r="P85" s="776"/>
      <c r="Q85" s="776"/>
      <c r="R85" s="776"/>
      <c r="S85" s="776"/>
      <c r="T85" s="776"/>
      <c r="U85" s="776"/>
      <c r="V85" s="776"/>
      <c r="W85" s="776"/>
      <c r="X85" s="776"/>
      <c r="Y85" s="776"/>
      <c r="Z85" s="776"/>
      <c r="AA85" s="776"/>
      <c r="AB85" s="52"/>
    </row>
    <row r="86" spans="1:28">
      <c r="A86" s="793"/>
      <c r="B86" s="793"/>
      <c r="C86" s="793"/>
      <c r="D86" s="793" t="s">
        <v>227</v>
      </c>
      <c r="E86" s="793"/>
      <c r="F86" s="793"/>
      <c r="G86" s="793">
        <v>24978</v>
      </c>
      <c r="H86" s="793"/>
      <c r="I86" s="793"/>
      <c r="J86" s="793"/>
      <c r="K86" s="793"/>
      <c r="L86" s="793"/>
      <c r="M86" s="793"/>
      <c r="N86" s="793">
        <v>10367</v>
      </c>
      <c r="O86" s="793"/>
      <c r="P86" s="793"/>
      <c r="Q86" s="793"/>
      <c r="R86" s="793"/>
      <c r="S86" s="793"/>
      <c r="T86" s="793"/>
      <c r="U86" s="793"/>
      <c r="V86" s="793"/>
      <c r="W86" s="776"/>
      <c r="X86" s="776"/>
      <c r="Y86" s="776"/>
      <c r="Z86" s="776"/>
      <c r="AA86" s="776"/>
      <c r="AB86" s="52"/>
    </row>
    <row r="87" spans="1:28">
      <c r="A87" s="793"/>
      <c r="B87" s="793"/>
      <c r="C87" s="793"/>
      <c r="D87" s="793" t="s">
        <v>228</v>
      </c>
      <c r="E87" s="793"/>
      <c r="F87" s="793"/>
      <c r="G87" s="793">
        <v>2748</v>
      </c>
      <c r="H87" s="793"/>
      <c r="I87" s="793"/>
      <c r="J87" s="793"/>
      <c r="K87" s="793"/>
      <c r="L87" s="793"/>
      <c r="M87" s="793"/>
      <c r="N87" s="793">
        <v>1717</v>
      </c>
      <c r="O87" s="793"/>
      <c r="P87" s="793"/>
      <c r="Q87" s="793"/>
      <c r="R87" s="793"/>
      <c r="S87" s="793"/>
      <c r="T87" s="793"/>
      <c r="U87" s="793"/>
      <c r="V87" s="793"/>
      <c r="W87" s="776"/>
      <c r="X87" s="776"/>
      <c r="Y87" s="776"/>
      <c r="Z87" s="776"/>
      <c r="AA87" s="776"/>
      <c r="AB87" s="52"/>
    </row>
    <row r="88" spans="1:28">
      <c r="A88" s="793"/>
      <c r="B88" s="793"/>
      <c r="C88" s="793"/>
      <c r="D88" s="793"/>
      <c r="E88" s="793"/>
      <c r="F88" s="793"/>
      <c r="G88" s="793">
        <v>1246</v>
      </c>
      <c r="H88" s="793"/>
      <c r="I88" s="793"/>
      <c r="J88" s="793"/>
      <c r="K88" s="793"/>
      <c r="L88" s="793"/>
      <c r="M88" s="793"/>
      <c r="N88" s="793">
        <v>108</v>
      </c>
      <c r="O88" s="793"/>
      <c r="P88" s="793"/>
      <c r="Q88" s="793"/>
      <c r="R88" s="793"/>
      <c r="S88" s="793"/>
      <c r="T88" s="793"/>
      <c r="U88" s="793"/>
      <c r="V88" s="793"/>
      <c r="W88" s="776"/>
      <c r="X88" s="776"/>
      <c r="Y88" s="776"/>
      <c r="Z88" s="776"/>
      <c r="AA88" s="776"/>
      <c r="AB88" s="52"/>
    </row>
    <row r="89" spans="1:28">
      <c r="A89" s="793"/>
      <c r="B89" s="793"/>
      <c r="C89" s="793"/>
      <c r="D89" s="793"/>
      <c r="E89" s="793"/>
      <c r="F89" s="793"/>
      <c r="G89" s="793">
        <v>207</v>
      </c>
      <c r="H89" s="793"/>
      <c r="I89" s="793"/>
      <c r="J89" s="793"/>
      <c r="K89" s="793"/>
      <c r="L89" s="793"/>
      <c r="M89" s="793"/>
      <c r="N89" s="793">
        <v>11</v>
      </c>
      <c r="O89" s="793"/>
      <c r="P89" s="793"/>
      <c r="Q89" s="793"/>
      <c r="R89" s="793"/>
      <c r="S89" s="793"/>
      <c r="T89" s="793"/>
      <c r="U89" s="793"/>
      <c r="V89" s="793"/>
      <c r="W89" s="776"/>
      <c r="X89" s="776"/>
      <c r="Y89" s="776"/>
      <c r="Z89" s="776"/>
      <c r="AA89" s="776"/>
      <c r="AB89" s="52"/>
    </row>
    <row r="90" spans="1:28">
      <c r="A90" s="793"/>
      <c r="B90" s="793"/>
      <c r="C90" s="793"/>
      <c r="D90" s="793"/>
      <c r="E90" s="793"/>
      <c r="F90" s="793"/>
      <c r="G90" s="793">
        <v>48</v>
      </c>
      <c r="H90" s="793"/>
      <c r="I90" s="793"/>
      <c r="J90" s="793"/>
      <c r="K90" s="793"/>
      <c r="L90" s="793"/>
      <c r="M90" s="793"/>
      <c r="N90" s="793">
        <v>5760</v>
      </c>
      <c r="O90" s="793"/>
      <c r="P90" s="793"/>
      <c r="Q90" s="793"/>
      <c r="R90" s="793"/>
      <c r="S90" s="793"/>
      <c r="T90" s="793"/>
      <c r="U90" s="793"/>
      <c r="V90" s="793"/>
      <c r="W90" s="793"/>
      <c r="X90" s="793"/>
      <c r="Y90" s="793"/>
      <c r="Z90" s="793"/>
      <c r="AA90" s="793"/>
      <c r="AB90" s="69"/>
    </row>
    <row r="91" spans="1:28">
      <c r="A91" s="793"/>
      <c r="B91" s="793"/>
      <c r="C91" s="793"/>
      <c r="D91" s="793"/>
      <c r="E91" s="793"/>
      <c r="F91" s="793"/>
      <c r="G91" s="793">
        <v>36</v>
      </c>
      <c r="H91" s="793"/>
      <c r="I91" s="793"/>
      <c r="J91" s="793"/>
      <c r="K91" s="793"/>
      <c r="L91" s="793"/>
      <c r="M91" s="793"/>
      <c r="N91" s="793">
        <v>279</v>
      </c>
      <c r="O91" s="793"/>
      <c r="P91" s="793"/>
      <c r="Q91" s="793"/>
      <c r="R91" s="793"/>
      <c r="S91" s="793"/>
      <c r="T91" s="793"/>
      <c r="U91" s="793"/>
      <c r="V91" s="793"/>
      <c r="W91" s="10"/>
      <c r="X91" s="10"/>
      <c r="Y91" s="10"/>
      <c r="Z91" s="10"/>
      <c r="AA91" s="10"/>
      <c r="AB91" s="10"/>
    </row>
    <row r="92" spans="1:28">
      <c r="A92" s="793"/>
      <c r="B92" s="793"/>
      <c r="C92" s="793"/>
      <c r="D92" s="793"/>
      <c r="E92" s="793"/>
      <c r="F92" s="793"/>
      <c r="G92" s="793">
        <v>7337</v>
      </c>
      <c r="H92" s="793"/>
      <c r="I92" s="793"/>
      <c r="J92" s="793"/>
      <c r="K92" s="793"/>
      <c r="L92" s="793"/>
      <c r="M92" s="793"/>
      <c r="N92" s="793">
        <v>60</v>
      </c>
      <c r="O92" s="793"/>
      <c r="P92" s="793"/>
      <c r="Q92" s="793"/>
      <c r="R92" s="793"/>
      <c r="S92" s="793"/>
      <c r="T92" s="793"/>
      <c r="U92" s="793"/>
      <c r="V92" s="793"/>
      <c r="W92" s="776"/>
      <c r="X92" s="776"/>
      <c r="Y92" s="776"/>
      <c r="Z92" s="776"/>
      <c r="AA92" s="776"/>
      <c r="AB92" s="776"/>
    </row>
    <row r="93" spans="1:28">
      <c r="A93" s="793"/>
      <c r="B93" s="793"/>
      <c r="C93" s="793"/>
      <c r="D93" s="793"/>
      <c r="E93" s="793"/>
      <c r="F93" s="793"/>
      <c r="G93" s="793">
        <v>518</v>
      </c>
      <c r="H93" s="793"/>
      <c r="I93" s="793"/>
      <c r="J93" s="793"/>
      <c r="K93" s="793"/>
      <c r="L93" s="793"/>
      <c r="M93" s="793"/>
      <c r="N93" s="793">
        <v>2603</v>
      </c>
      <c r="O93" s="793"/>
      <c r="P93" s="793"/>
      <c r="Q93" s="793"/>
      <c r="R93" s="793"/>
      <c r="S93" s="793"/>
      <c r="T93" s="793"/>
      <c r="U93" s="793"/>
      <c r="V93" s="793"/>
      <c r="W93" s="776"/>
      <c r="X93" s="776"/>
      <c r="Y93" s="776"/>
      <c r="Z93" s="776"/>
      <c r="AA93" s="776"/>
      <c r="AB93" s="776"/>
    </row>
    <row r="94" spans="1:28">
      <c r="A94" s="793"/>
      <c r="B94" s="793"/>
      <c r="C94" s="793"/>
      <c r="D94" s="793"/>
      <c r="E94" s="793"/>
      <c r="F94" s="793"/>
      <c r="G94" s="793">
        <v>109</v>
      </c>
      <c r="H94" s="793"/>
      <c r="I94" s="793"/>
      <c r="J94" s="793"/>
      <c r="K94" s="793"/>
      <c r="L94" s="793"/>
      <c r="M94" s="793"/>
      <c r="N94" s="793">
        <v>2091</v>
      </c>
      <c r="O94" s="793"/>
      <c r="P94" s="793"/>
      <c r="Q94" s="793"/>
      <c r="R94" s="793"/>
      <c r="S94" s="793"/>
      <c r="T94" s="793"/>
      <c r="U94" s="793"/>
      <c r="V94" s="793"/>
      <c r="W94" s="776"/>
      <c r="X94" s="776"/>
      <c r="Y94" s="776"/>
      <c r="Z94" s="776"/>
      <c r="AA94" s="776"/>
      <c r="AB94" s="776"/>
    </row>
    <row r="95" spans="1:28">
      <c r="A95" s="793"/>
      <c r="B95" s="793"/>
      <c r="C95" s="793"/>
      <c r="D95" s="793"/>
      <c r="E95" s="793"/>
      <c r="F95" s="793"/>
      <c r="G95" s="793">
        <v>-1021</v>
      </c>
      <c r="H95" s="793"/>
      <c r="I95" s="793"/>
      <c r="J95" s="793"/>
      <c r="K95" s="793"/>
      <c r="L95" s="793"/>
      <c r="M95" s="793"/>
      <c r="N95" s="793"/>
      <c r="O95" s="793"/>
      <c r="P95" s="793"/>
      <c r="Q95" s="793"/>
      <c r="R95" s="793"/>
      <c r="S95" s="793"/>
      <c r="T95" s="793"/>
      <c r="U95" s="793"/>
      <c r="V95" s="793"/>
      <c r="W95" s="776"/>
      <c r="X95" s="776"/>
      <c r="Y95" s="776"/>
      <c r="Z95" s="776"/>
      <c r="AA95" s="776"/>
      <c r="AB95" s="776"/>
    </row>
    <row r="96" spans="1:28">
      <c r="A96" s="793"/>
      <c r="B96" s="793"/>
      <c r="C96" s="793"/>
      <c r="D96" s="793"/>
      <c r="E96" s="793"/>
      <c r="F96" s="793"/>
      <c r="G96" s="793">
        <v>2925</v>
      </c>
      <c r="H96" s="793"/>
      <c r="I96" s="793"/>
      <c r="J96" s="793"/>
      <c r="K96" s="793"/>
      <c r="L96" s="793"/>
      <c r="M96" s="793"/>
      <c r="N96" s="793"/>
      <c r="O96" s="793"/>
      <c r="P96" s="793"/>
      <c r="Q96" s="793"/>
      <c r="R96" s="793"/>
      <c r="S96" s="793"/>
      <c r="T96" s="793"/>
      <c r="U96" s="793"/>
      <c r="V96" s="793"/>
      <c r="W96" s="776"/>
      <c r="X96" s="776"/>
      <c r="Y96" s="776"/>
      <c r="Z96" s="776"/>
      <c r="AA96" s="776"/>
      <c r="AB96" s="776"/>
    </row>
    <row r="97" spans="1:28">
      <c r="A97" s="793"/>
      <c r="B97" s="793"/>
      <c r="C97" s="793"/>
      <c r="D97" s="793"/>
      <c r="E97" s="793"/>
      <c r="F97" s="793"/>
      <c r="G97" s="793"/>
      <c r="H97" s="793"/>
      <c r="I97" s="793"/>
      <c r="J97" s="793"/>
      <c r="K97" s="793"/>
      <c r="L97" s="793"/>
      <c r="M97" s="793"/>
      <c r="N97" s="793"/>
      <c r="O97" s="793"/>
      <c r="P97" s="793"/>
      <c r="Q97" s="793"/>
      <c r="R97" s="793"/>
      <c r="S97" s="793"/>
      <c r="T97" s="793"/>
      <c r="U97" s="793"/>
      <c r="V97" s="793"/>
      <c r="W97" s="776"/>
      <c r="X97" s="776"/>
      <c r="Y97" s="776"/>
      <c r="Z97" s="776"/>
      <c r="AA97" s="776"/>
      <c r="AB97" s="776"/>
    </row>
    <row r="98" spans="1:28">
      <c r="A98" s="793"/>
      <c r="B98" s="793"/>
      <c r="C98" s="793"/>
      <c r="D98" s="793"/>
      <c r="E98" s="793"/>
      <c r="F98" s="793"/>
      <c r="G98" s="793">
        <f>SUM(G86:G97)</f>
        <v>39131</v>
      </c>
      <c r="H98" s="793"/>
      <c r="I98" s="793"/>
      <c r="J98" s="793"/>
      <c r="K98" s="793"/>
      <c r="L98" s="793"/>
      <c r="M98" s="793"/>
      <c r="N98" s="793">
        <f>SUM(N86:N97)</f>
        <v>22996</v>
      </c>
      <c r="O98" s="793"/>
      <c r="P98" s="793"/>
      <c r="Q98" s="793"/>
      <c r="R98" s="793"/>
      <c r="S98" s="793"/>
      <c r="T98" s="793"/>
      <c r="U98" s="793"/>
      <c r="V98" s="793"/>
      <c r="W98" s="776"/>
      <c r="X98" s="776"/>
      <c r="Y98" s="776"/>
      <c r="Z98" s="776"/>
      <c r="AA98" s="776"/>
      <c r="AB98" s="776"/>
    </row>
    <row r="99" spans="1:28">
      <c r="A99" s="793"/>
      <c r="B99" s="793"/>
      <c r="C99" s="793"/>
      <c r="D99" s="793"/>
      <c r="E99" s="793"/>
      <c r="F99" s="793"/>
      <c r="G99" s="892">
        <f>H57</f>
        <v>-39131</v>
      </c>
      <c r="H99" s="793"/>
      <c r="I99" s="793"/>
      <c r="J99" s="793"/>
      <c r="K99" s="793"/>
      <c r="L99" s="793"/>
      <c r="M99" s="793"/>
      <c r="N99" s="892">
        <f>O57</f>
        <v>-22996</v>
      </c>
      <c r="O99" s="793"/>
      <c r="P99" s="793"/>
      <c r="Q99" s="793"/>
      <c r="R99" s="793"/>
      <c r="S99" s="793"/>
      <c r="T99" s="793"/>
      <c r="U99" s="793"/>
      <c r="V99" s="793"/>
      <c r="W99" s="793"/>
      <c r="X99" s="793"/>
      <c r="Y99" s="793"/>
      <c r="Z99" s="793"/>
      <c r="AA99" s="793"/>
      <c r="AB99" s="52"/>
    </row>
    <row r="100" spans="1:28">
      <c r="A100" s="793"/>
      <c r="B100" s="793"/>
      <c r="C100" s="793"/>
      <c r="D100" s="793"/>
      <c r="E100" s="793"/>
      <c r="F100" s="793"/>
      <c r="G100" s="793">
        <f>G98+G99</f>
        <v>0</v>
      </c>
      <c r="H100" s="793"/>
      <c r="I100" s="793"/>
      <c r="J100" s="793"/>
      <c r="K100" s="793"/>
      <c r="L100" s="793"/>
      <c r="M100" s="793"/>
      <c r="N100" s="793">
        <f>N98+N99</f>
        <v>0</v>
      </c>
      <c r="O100" s="793"/>
      <c r="P100" s="793"/>
      <c r="Q100" s="793"/>
      <c r="R100" s="793"/>
      <c r="S100" s="793"/>
      <c r="T100" s="793"/>
      <c r="U100" s="793"/>
      <c r="V100" s="793"/>
      <c r="W100" s="776"/>
      <c r="X100" s="776"/>
      <c r="Y100" s="776"/>
      <c r="Z100" s="776"/>
      <c r="AA100" s="776"/>
      <c r="AB100" s="776"/>
    </row>
    <row r="101" spans="1:28">
      <c r="A101" s="793"/>
      <c r="B101" s="793"/>
      <c r="C101" s="793"/>
      <c r="D101" s="793"/>
      <c r="E101" s="793"/>
      <c r="F101" s="793"/>
      <c r="G101" s="793"/>
      <c r="H101" s="793"/>
      <c r="I101" s="793"/>
      <c r="J101" s="793"/>
      <c r="K101" s="793"/>
      <c r="L101" s="793"/>
      <c r="M101" s="793"/>
      <c r="N101" s="793"/>
      <c r="O101" s="793"/>
      <c r="P101" s="793"/>
      <c r="Q101" s="793"/>
      <c r="R101" s="793"/>
      <c r="S101" s="793"/>
      <c r="T101" s="793"/>
      <c r="U101" s="793"/>
      <c r="V101" s="793"/>
      <c r="W101" s="776"/>
      <c r="X101" s="776"/>
      <c r="Y101" s="776"/>
      <c r="Z101" s="776"/>
      <c r="AA101" s="776"/>
      <c r="AB101" s="776"/>
    </row>
    <row r="102" spans="1:28" ht="15.75">
      <c r="A102" s="1258" t="s">
        <v>221</v>
      </c>
      <c r="B102" s="781"/>
      <c r="C102" s="797"/>
      <c r="D102" s="797"/>
      <c r="E102" s="680"/>
      <c r="F102" s="2"/>
      <c r="G102" s="2"/>
      <c r="H102" s="2"/>
      <c r="I102" s="2"/>
      <c r="J102" s="2"/>
      <c r="K102" s="2"/>
      <c r="L102" s="11"/>
      <c r="M102" s="11"/>
      <c r="N102" s="11"/>
      <c r="O102" s="793"/>
      <c r="P102" s="793"/>
      <c r="Q102" s="793"/>
      <c r="R102" s="793"/>
      <c r="S102" s="793"/>
      <c r="T102" s="793"/>
      <c r="U102" s="793"/>
      <c r="V102" s="793"/>
      <c r="W102" s="776"/>
      <c r="X102" s="776"/>
      <c r="Y102" s="776"/>
      <c r="Z102" s="776"/>
      <c r="AA102" s="776"/>
      <c r="AB102" s="776"/>
    </row>
    <row r="103" spans="1:28">
      <c r="A103" s="932"/>
      <c r="B103" s="52" t="s">
        <v>235</v>
      </c>
      <c r="C103" s="932"/>
      <c r="D103" s="932"/>
      <c r="E103" s="932"/>
      <c r="F103" s="932"/>
      <c r="G103" s="932"/>
      <c r="H103" s="932"/>
      <c r="I103" s="932"/>
      <c r="J103" s="932"/>
      <c r="K103" s="932"/>
      <c r="L103" s="932">
        <v>239235</v>
      </c>
      <c r="M103" s="932">
        <v>243110</v>
      </c>
      <c r="N103" s="793">
        <v>199849</v>
      </c>
      <c r="O103" s="793"/>
      <c r="P103" s="793"/>
      <c r="Q103" s="793"/>
      <c r="R103" s="793"/>
      <c r="S103" s="793"/>
      <c r="T103" s="793"/>
      <c r="U103" s="793"/>
      <c r="V103" s="793"/>
      <c r="W103" s="776"/>
      <c r="X103" s="776"/>
      <c r="Y103" s="776"/>
      <c r="Z103" s="776"/>
      <c r="AA103" s="776"/>
      <c r="AB103" s="776"/>
    </row>
    <row r="104" spans="1:28">
      <c r="A104" s="932"/>
      <c r="B104" s="52" t="s">
        <v>236</v>
      </c>
      <c r="C104" s="932"/>
      <c r="D104" s="932"/>
      <c r="E104" s="932"/>
      <c r="F104" s="932"/>
      <c r="G104" s="932"/>
      <c r="H104" s="932"/>
      <c r="I104" s="932"/>
      <c r="J104" s="932"/>
      <c r="K104" s="932"/>
      <c r="L104" s="932">
        <v>-21007</v>
      </c>
      <c r="M104" s="932">
        <v>613726</v>
      </c>
      <c r="N104" s="793">
        <v>0</v>
      </c>
      <c r="O104" s="793"/>
      <c r="P104" s="793"/>
      <c r="Q104" s="793"/>
      <c r="R104" s="793"/>
      <c r="S104" s="793"/>
      <c r="T104" s="793"/>
      <c r="U104" s="793"/>
      <c r="V104" s="793"/>
      <c r="W104" s="776"/>
      <c r="X104" s="776"/>
      <c r="Y104" s="776"/>
      <c r="Z104" s="776"/>
      <c r="AA104" s="776"/>
      <c r="AB104" s="776"/>
    </row>
    <row r="105" spans="1:28" ht="13.5" thickBot="1">
      <c r="A105" s="932"/>
      <c r="B105" s="52" t="s">
        <v>162</v>
      </c>
      <c r="C105" s="932"/>
      <c r="D105" s="932"/>
      <c r="E105" s="932"/>
      <c r="F105" s="945">
        <f t="shared" ref="F105:N105" si="9">SUM(F103:F104)</f>
        <v>0</v>
      </c>
      <c r="G105" s="945">
        <f t="shared" si="9"/>
        <v>0</v>
      </c>
      <c r="H105" s="945">
        <f t="shared" si="9"/>
        <v>0</v>
      </c>
      <c r="I105" s="945">
        <f t="shared" si="9"/>
        <v>0</v>
      </c>
      <c r="J105" s="945">
        <f t="shared" si="9"/>
        <v>0</v>
      </c>
      <c r="K105" s="945">
        <f t="shared" si="9"/>
        <v>0</v>
      </c>
      <c r="L105" s="945">
        <f t="shared" si="9"/>
        <v>218228</v>
      </c>
      <c r="M105" s="945">
        <f t="shared" si="9"/>
        <v>856836</v>
      </c>
      <c r="N105" s="925">
        <f t="shared" si="9"/>
        <v>199849</v>
      </c>
      <c r="O105" s="793"/>
      <c r="P105" s="793"/>
      <c r="Q105" s="793"/>
      <c r="R105" s="793"/>
      <c r="S105" s="793"/>
      <c r="T105" s="793"/>
      <c r="U105" s="793"/>
      <c r="V105" s="793"/>
      <c r="W105" s="776"/>
      <c r="X105" s="776"/>
      <c r="Y105" s="776"/>
      <c r="Z105" s="776"/>
      <c r="AA105" s="776"/>
      <c r="AB105" s="776"/>
    </row>
    <row r="106" spans="1:28" ht="13.5" thickTop="1">
      <c r="A106" s="932"/>
      <c r="B106" s="52"/>
      <c r="C106" s="932"/>
      <c r="D106" s="932"/>
      <c r="E106" s="932"/>
      <c r="F106" s="932"/>
      <c r="G106" s="932"/>
      <c r="H106" s="932"/>
      <c r="I106" s="932"/>
      <c r="J106" s="932"/>
      <c r="K106" s="932"/>
      <c r="L106" s="932"/>
      <c r="M106" s="932"/>
      <c r="N106" s="793"/>
      <c r="O106" s="793"/>
      <c r="P106" s="793"/>
      <c r="Q106" s="793"/>
      <c r="R106" s="793"/>
      <c r="S106" s="793"/>
      <c r="T106" s="793"/>
      <c r="U106" s="793"/>
      <c r="V106" s="793"/>
      <c r="W106" s="776"/>
      <c r="X106" s="776"/>
      <c r="Y106" s="776"/>
      <c r="Z106" s="776"/>
      <c r="AA106" s="776"/>
      <c r="AB106" s="776"/>
    </row>
    <row r="107" spans="1:28">
      <c r="A107" s="932"/>
      <c r="B107" s="52" t="s">
        <v>237</v>
      </c>
      <c r="C107" s="932"/>
      <c r="D107" s="932"/>
      <c r="E107" s="932"/>
      <c r="F107" s="932"/>
      <c r="G107" s="932"/>
      <c r="H107" s="932"/>
      <c r="I107" s="932"/>
      <c r="J107" s="932"/>
      <c r="K107" s="932"/>
      <c r="L107" s="932">
        <v>1563585</v>
      </c>
      <c r="M107" s="932">
        <v>2184067</v>
      </c>
      <c r="N107" s="793">
        <v>1775077</v>
      </c>
      <c r="O107" s="793"/>
      <c r="P107" s="793"/>
      <c r="Q107" s="793"/>
      <c r="R107" s="793"/>
      <c r="S107" s="793"/>
      <c r="T107" s="793"/>
      <c r="U107" s="793"/>
      <c r="V107" s="793"/>
      <c r="W107" s="776"/>
      <c r="X107" s="776"/>
      <c r="Y107" s="776"/>
      <c r="Z107" s="776"/>
      <c r="AA107" s="776"/>
      <c r="AB107" s="776"/>
    </row>
    <row r="108" spans="1:28">
      <c r="A108" s="932"/>
      <c r="B108" s="52" t="s">
        <v>238</v>
      </c>
      <c r="C108" s="932"/>
      <c r="D108" s="932"/>
      <c r="E108" s="932"/>
      <c r="F108" s="932"/>
      <c r="G108" s="932"/>
      <c r="H108" s="932"/>
      <c r="I108" s="932"/>
      <c r="J108" s="932"/>
      <c r="K108" s="932"/>
      <c r="L108" s="932">
        <v>92485</v>
      </c>
      <c r="M108" s="932">
        <v>38728</v>
      </c>
      <c r="N108" s="793">
        <v>0</v>
      </c>
      <c r="O108" s="793"/>
      <c r="P108" s="793"/>
      <c r="Q108" s="793"/>
      <c r="R108" s="793"/>
      <c r="S108" s="793"/>
      <c r="T108" s="793"/>
      <c r="U108" s="793"/>
      <c r="V108" s="793"/>
      <c r="W108" s="776"/>
      <c r="X108" s="776"/>
      <c r="Y108" s="776"/>
      <c r="Z108" s="776"/>
      <c r="AA108" s="776"/>
      <c r="AB108" s="776"/>
    </row>
    <row r="109" spans="1:28" ht="13.5" thickBot="1">
      <c r="A109" s="932"/>
      <c r="B109" s="52" t="s">
        <v>162</v>
      </c>
      <c r="C109" s="932"/>
      <c r="D109" s="932"/>
      <c r="E109" s="932"/>
      <c r="F109" s="945">
        <f t="shared" ref="F109:N109" si="10">SUM(F107:F108)</f>
        <v>0</v>
      </c>
      <c r="G109" s="945">
        <f t="shared" si="10"/>
        <v>0</v>
      </c>
      <c r="H109" s="945">
        <f t="shared" si="10"/>
        <v>0</v>
      </c>
      <c r="I109" s="945">
        <f t="shared" si="10"/>
        <v>0</v>
      </c>
      <c r="J109" s="945">
        <f t="shared" si="10"/>
        <v>0</v>
      </c>
      <c r="K109" s="945">
        <f t="shared" si="10"/>
        <v>0</v>
      </c>
      <c r="L109" s="945">
        <f t="shared" si="10"/>
        <v>1656070</v>
      </c>
      <c r="M109" s="945">
        <f t="shared" si="10"/>
        <v>2222795</v>
      </c>
      <c r="N109" s="925">
        <f t="shared" si="10"/>
        <v>1775077</v>
      </c>
      <c r="O109" s="793"/>
      <c r="P109" s="793"/>
      <c r="Q109" s="793"/>
      <c r="R109" s="793"/>
      <c r="S109" s="793"/>
      <c r="T109" s="793"/>
      <c r="U109" s="793"/>
      <c r="V109" s="793"/>
      <c r="W109" s="776"/>
      <c r="X109" s="776"/>
      <c r="Y109" s="776"/>
      <c r="Z109" s="776"/>
      <c r="AA109" s="776"/>
      <c r="AB109" s="776"/>
    </row>
    <row r="110" spans="1:28" ht="13.5" thickTop="1">
      <c r="A110" s="932"/>
      <c r="B110" s="52"/>
      <c r="C110" s="932"/>
      <c r="D110" s="932"/>
      <c r="E110" s="932"/>
      <c r="F110" s="932"/>
      <c r="G110" s="932"/>
      <c r="H110" s="932"/>
      <c r="I110" s="932"/>
      <c r="J110" s="932"/>
      <c r="K110" s="932"/>
      <c r="L110" s="932"/>
      <c r="M110" s="932"/>
      <c r="N110" s="793"/>
      <c r="O110" s="793"/>
      <c r="P110" s="793"/>
      <c r="Q110" s="793"/>
      <c r="R110" s="793"/>
      <c r="S110" s="793"/>
      <c r="T110" s="793"/>
      <c r="U110" s="793"/>
      <c r="V110" s="793"/>
      <c r="W110" s="776"/>
      <c r="X110" s="776"/>
      <c r="Y110" s="776"/>
      <c r="Z110" s="776"/>
      <c r="AA110" s="776"/>
      <c r="AB110" s="776"/>
    </row>
    <row r="111" spans="1:28">
      <c r="A111" s="932"/>
      <c r="B111" s="52" t="s">
        <v>239</v>
      </c>
      <c r="C111" s="932"/>
      <c r="D111" s="932"/>
      <c r="E111" s="932"/>
      <c r="F111" s="932"/>
      <c r="G111" s="932"/>
      <c r="H111" s="932"/>
      <c r="I111" s="932"/>
      <c r="J111" s="932"/>
      <c r="K111" s="932"/>
      <c r="L111" s="932">
        <v>31241</v>
      </c>
      <c r="M111" s="932">
        <v>37395</v>
      </c>
      <c r="N111" s="793">
        <v>56323</v>
      </c>
      <c r="O111" s="793"/>
      <c r="P111" s="793"/>
      <c r="Q111" s="793"/>
      <c r="R111" s="793"/>
      <c r="S111" s="793"/>
      <c r="T111" s="793"/>
      <c r="U111" s="793"/>
      <c r="V111" s="793"/>
      <c r="W111" s="776"/>
      <c r="X111" s="776"/>
      <c r="Y111" s="776"/>
      <c r="Z111" s="776"/>
      <c r="AA111" s="776"/>
      <c r="AB111" s="776"/>
    </row>
    <row r="112" spans="1:28">
      <c r="A112" s="932"/>
      <c r="B112" s="52" t="s">
        <v>240</v>
      </c>
      <c r="C112" s="932"/>
      <c r="D112" s="932"/>
      <c r="E112" s="932"/>
      <c r="F112" s="932"/>
      <c r="G112" s="932"/>
      <c r="H112" s="932"/>
      <c r="I112" s="932"/>
      <c r="J112" s="932"/>
      <c r="K112" s="932"/>
      <c r="L112" s="932">
        <v>60851</v>
      </c>
      <c r="M112" s="932">
        <v>32029</v>
      </c>
      <c r="N112" s="793">
        <v>0</v>
      </c>
      <c r="O112" s="793"/>
      <c r="P112" s="793"/>
      <c r="Q112" s="793"/>
      <c r="R112" s="793"/>
      <c r="S112" s="793"/>
      <c r="T112" s="793"/>
      <c r="U112" s="793"/>
      <c r="V112" s="793"/>
      <c r="W112" s="776"/>
      <c r="X112" s="776"/>
      <c r="Y112" s="776"/>
      <c r="Z112" s="776"/>
      <c r="AA112" s="776"/>
      <c r="AB112" s="776"/>
    </row>
    <row r="113" spans="1:28" ht="13.5" thickBot="1">
      <c r="A113" s="932"/>
      <c r="B113" s="52" t="s">
        <v>162</v>
      </c>
      <c r="C113" s="932"/>
      <c r="D113" s="932"/>
      <c r="E113" s="932"/>
      <c r="F113" s="945">
        <f t="shared" ref="F113:N113" si="11">SUM(F111:F112)</f>
        <v>0</v>
      </c>
      <c r="G113" s="945">
        <f t="shared" si="11"/>
        <v>0</v>
      </c>
      <c r="H113" s="945">
        <f t="shared" si="11"/>
        <v>0</v>
      </c>
      <c r="I113" s="945">
        <f t="shared" si="11"/>
        <v>0</v>
      </c>
      <c r="J113" s="945">
        <f t="shared" si="11"/>
        <v>0</v>
      </c>
      <c r="K113" s="945">
        <f t="shared" si="11"/>
        <v>0</v>
      </c>
      <c r="L113" s="945">
        <f t="shared" si="11"/>
        <v>92092</v>
      </c>
      <c r="M113" s="945">
        <f t="shared" si="11"/>
        <v>69424</v>
      </c>
      <c r="N113" s="925">
        <f t="shared" si="11"/>
        <v>56323</v>
      </c>
      <c r="O113" s="793"/>
      <c r="P113" s="793"/>
      <c r="Q113" s="793"/>
      <c r="R113" s="793"/>
      <c r="S113" s="793"/>
      <c r="T113" s="793"/>
      <c r="U113" s="793"/>
      <c r="V113" s="793"/>
      <c r="W113" s="776"/>
      <c r="X113" s="776"/>
      <c r="Y113" s="776"/>
      <c r="Z113" s="776"/>
      <c r="AA113" s="776"/>
      <c r="AB113" s="776"/>
    </row>
    <row r="114" spans="1:28" ht="13.5" thickTop="1">
      <c r="A114" s="932"/>
      <c r="B114" s="52"/>
      <c r="C114" s="932"/>
      <c r="D114" s="932"/>
      <c r="E114" s="932"/>
      <c r="F114" s="932"/>
      <c r="G114" s="932"/>
      <c r="H114" s="932"/>
      <c r="I114" s="932"/>
      <c r="J114" s="932"/>
      <c r="K114" s="932"/>
      <c r="L114" s="932"/>
      <c r="M114" s="932"/>
      <c r="N114" s="793"/>
      <c r="O114" s="793"/>
      <c r="P114" s="793"/>
      <c r="Q114" s="793"/>
      <c r="R114" s="793"/>
      <c r="S114" s="793"/>
      <c r="T114" s="793"/>
      <c r="U114" s="793"/>
      <c r="V114" s="793"/>
      <c r="W114" s="776"/>
      <c r="X114" s="776"/>
      <c r="Y114" s="776"/>
      <c r="Z114" s="776"/>
      <c r="AA114" s="776"/>
      <c r="AB114" s="776"/>
    </row>
    <row r="115" spans="1:28">
      <c r="A115" s="932"/>
      <c r="B115" s="52" t="s">
        <v>241</v>
      </c>
      <c r="C115" s="932"/>
      <c r="D115" s="932"/>
      <c r="E115" s="932"/>
      <c r="F115" s="932"/>
      <c r="G115" s="932"/>
      <c r="H115" s="932"/>
      <c r="I115" s="932"/>
      <c r="J115" s="932"/>
      <c r="K115" s="932"/>
      <c r="L115" s="932">
        <v>129626</v>
      </c>
      <c r="M115" s="932">
        <v>116693</v>
      </c>
      <c r="N115" s="793">
        <v>103761</v>
      </c>
      <c r="O115" s="793"/>
      <c r="P115" s="793"/>
      <c r="Q115" s="793"/>
      <c r="R115" s="793"/>
      <c r="S115" s="793"/>
      <c r="T115" s="793"/>
      <c r="U115" s="793"/>
      <c r="V115" s="793"/>
      <c r="W115" s="776"/>
      <c r="X115" s="776"/>
      <c r="Y115" s="776"/>
      <c r="Z115" s="776"/>
      <c r="AA115" s="776"/>
      <c r="AB115" s="776"/>
    </row>
    <row r="116" spans="1:28">
      <c r="A116" s="932"/>
      <c r="B116" s="52" t="s">
        <v>242</v>
      </c>
      <c r="C116" s="932"/>
      <c r="D116" s="932"/>
      <c r="E116" s="932"/>
      <c r="F116" s="932"/>
      <c r="G116" s="932"/>
      <c r="H116" s="932"/>
      <c r="I116" s="932"/>
      <c r="J116" s="932"/>
      <c r="K116" s="932"/>
      <c r="L116" s="932">
        <v>-15618</v>
      </c>
      <c r="M116" s="932">
        <v>-15832</v>
      </c>
      <c r="N116" s="793">
        <v>0</v>
      </c>
      <c r="O116" s="793"/>
      <c r="P116" s="793"/>
      <c r="Q116" s="793"/>
      <c r="R116" s="793"/>
      <c r="S116" s="793"/>
      <c r="T116" s="793"/>
      <c r="U116" s="793"/>
      <c r="V116" s="793"/>
      <c r="W116" s="776"/>
      <c r="X116" s="776"/>
      <c r="Y116" s="776"/>
      <c r="Z116" s="776"/>
      <c r="AA116" s="776"/>
      <c r="AB116" s="776"/>
    </row>
    <row r="117" spans="1:28">
      <c r="A117" s="932"/>
      <c r="B117" s="52" t="s">
        <v>162</v>
      </c>
      <c r="C117" s="932"/>
      <c r="D117" s="932"/>
      <c r="E117" s="932"/>
      <c r="F117" s="1175">
        <f t="shared" ref="F117:N117" si="12">SUM(F115:F116)</f>
        <v>0</v>
      </c>
      <c r="G117" s="1175">
        <f t="shared" si="12"/>
        <v>0</v>
      </c>
      <c r="H117" s="1175">
        <f t="shared" si="12"/>
        <v>0</v>
      </c>
      <c r="I117" s="1175">
        <f t="shared" si="12"/>
        <v>0</v>
      </c>
      <c r="J117" s="1175">
        <f t="shared" si="12"/>
        <v>0</v>
      </c>
      <c r="K117" s="1175">
        <f t="shared" si="12"/>
        <v>0</v>
      </c>
      <c r="L117" s="1175">
        <f t="shared" si="12"/>
        <v>114008</v>
      </c>
      <c r="M117" s="1175">
        <f t="shared" si="12"/>
        <v>100861</v>
      </c>
      <c r="N117" s="898">
        <f t="shared" si="12"/>
        <v>103761</v>
      </c>
      <c r="O117" s="793"/>
      <c r="P117" s="793"/>
      <c r="Q117" s="793"/>
      <c r="R117" s="793"/>
      <c r="S117" s="793"/>
      <c r="T117" s="793"/>
      <c r="U117" s="793"/>
      <c r="V117" s="793"/>
      <c r="W117" s="776"/>
      <c r="X117" s="776"/>
      <c r="Y117" s="776"/>
      <c r="Z117" s="776"/>
      <c r="AA117" s="776"/>
      <c r="AB117" s="776"/>
    </row>
    <row r="118" spans="1:2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row>
  </sheetData>
  <mergeCells count="6">
    <mergeCell ref="D50:E50"/>
    <mergeCell ref="F16:H16"/>
    <mergeCell ref="I16:K16"/>
    <mergeCell ref="A28:D28"/>
    <mergeCell ref="AA42:AB42"/>
    <mergeCell ref="W42:Z42"/>
  </mergeCells>
  <printOptions headings="1" gridLines="1"/>
  <pageMargins left="0.7" right="0.7" top="0.75" bottom="0.75" header="0.3" footer="0.3"/>
  <pageSetup paperSize="9" scale="59" fitToHeight="0" orientation="landscape" r:id="rId1"/>
  <headerFooter>
    <oddHeader>&amp;LDRAFT&amp;C&amp;"Arial MT,Bold"&amp;12Archives&amp;R&amp;D
&amp;T</oddHeader>
    <oddFooter>&amp;L&amp;P&amp;N&amp;R&amp;F</oddFooter>
  </headerFooter>
  <rowBreaks count="2" manualBreakCount="2">
    <brk id="41" max="27" man="1"/>
    <brk id="84" max="27" man="1"/>
  </rowBreaks>
  <ignoredErrors>
    <ignoredError sqref="G98 N98"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60019"/>
    <pageSetUpPr fitToPage="1"/>
  </sheetPr>
  <dimension ref="A1:AB99"/>
  <sheetViews>
    <sheetView workbookViewId="0">
      <selection sqref="A1:D1"/>
    </sheetView>
  </sheetViews>
  <sheetFormatPr defaultRowHeight="12.75"/>
  <cols>
    <col min="1" max="1" width="3.28515625" customWidth="1"/>
    <col min="2" max="2" width="22.85546875" customWidth="1"/>
    <col min="3" max="3" width="9" customWidth="1"/>
    <col min="4" max="4" width="2.85546875" style="776" customWidth="1"/>
    <col min="5" max="7" width="9" customWidth="1"/>
    <col min="8" max="8" width="9" style="592" customWidth="1"/>
    <col min="9" max="9" width="5.85546875" bestFit="1" customWidth="1"/>
    <col min="10" max="10" width="8" hidden="1" customWidth="1"/>
    <col min="11" max="11" width="10" hidden="1" customWidth="1"/>
    <col min="12" max="12" width="4.28515625" customWidth="1"/>
    <col min="13" max="13" width="1.28515625" customWidth="1"/>
    <col min="14" max="19" width="10" bestFit="1" customWidth="1"/>
    <col min="20" max="20" width="11.28515625" customWidth="1"/>
    <col min="21" max="21" width="8.7109375" customWidth="1"/>
  </cols>
  <sheetData>
    <row r="1" spans="1:28" s="776" customFormat="1" ht="15.75">
      <c r="A1" s="1484" t="s">
        <v>0</v>
      </c>
      <c r="B1" s="1484"/>
      <c r="C1" s="1484"/>
      <c r="D1" s="1484"/>
      <c r="E1" s="1169" t="e">
        <f>'1_Contents'!#REF!</f>
        <v>#REF!</v>
      </c>
      <c r="F1" s="1476" t="e">
        <f>'1_Contents'!#REF!</f>
        <v>#REF!</v>
      </c>
      <c r="G1" s="1476"/>
      <c r="I1" s="1047" t="s">
        <v>21</v>
      </c>
      <c r="J1" s="1047"/>
      <c r="K1" s="1047"/>
      <c r="O1" s="986"/>
      <c r="P1" s="1477">
        <f ca="1">NOW()</f>
        <v>44487.543585879626</v>
      </c>
      <c r="Q1" s="1477"/>
      <c r="R1" s="1477"/>
      <c r="S1" s="967"/>
      <c r="T1" s="967"/>
      <c r="U1" s="967"/>
      <c r="V1" s="967"/>
      <c r="W1" s="967"/>
      <c r="X1" s="967"/>
      <c r="Y1" s="986"/>
      <c r="Z1" s="986"/>
      <c r="AA1" s="986" t="e">
        <f>'1_Contents'!#REF!</f>
        <v>#REF!</v>
      </c>
      <c r="AB1" s="710"/>
    </row>
    <row r="2" spans="1:28" s="776" customFormat="1" ht="16.899999999999999" customHeight="1">
      <c r="A2" s="917" t="s">
        <v>852</v>
      </c>
      <c r="B2" s="807"/>
      <c r="C2" s="808"/>
      <c r="D2" s="781"/>
      <c r="E2" s="13"/>
      <c r="F2" s="69">
        <v>0</v>
      </c>
      <c r="G2" s="69">
        <f t="shared" ref="G2:V3" si="0">F2+1</f>
        <v>1</v>
      </c>
      <c r="H2" s="69">
        <f t="shared" si="0"/>
        <v>2</v>
      </c>
      <c r="I2" s="69">
        <f t="shared" si="0"/>
        <v>3</v>
      </c>
      <c r="J2" s="73">
        <f t="shared" si="0"/>
        <v>4</v>
      </c>
      <c r="K2" s="69">
        <f t="shared" si="0"/>
        <v>5</v>
      </c>
      <c r="L2" s="69">
        <f t="shared" si="0"/>
        <v>6</v>
      </c>
      <c r="M2" s="69">
        <f t="shared" si="0"/>
        <v>7</v>
      </c>
      <c r="N2" s="69">
        <f t="shared" si="0"/>
        <v>8</v>
      </c>
      <c r="O2" s="69">
        <f t="shared" si="0"/>
        <v>9</v>
      </c>
      <c r="P2" s="69">
        <f t="shared" si="0"/>
        <v>10</v>
      </c>
      <c r="Q2" s="69">
        <f t="shared" si="0"/>
        <v>11</v>
      </c>
      <c r="R2" s="69">
        <f t="shared" si="0"/>
        <v>12</v>
      </c>
      <c r="S2" s="69">
        <f t="shared" si="0"/>
        <v>13</v>
      </c>
      <c r="T2" s="69">
        <f t="shared" si="0"/>
        <v>14</v>
      </c>
      <c r="U2" s="69">
        <f t="shared" si="0"/>
        <v>15</v>
      </c>
      <c r="V2" s="69">
        <f t="shared" si="0"/>
        <v>16</v>
      </c>
      <c r="W2" s="69">
        <f t="shared" ref="W2:AA3" si="1">V2+1</f>
        <v>17</v>
      </c>
      <c r="X2" s="69">
        <f t="shared" si="1"/>
        <v>18</v>
      </c>
      <c r="Y2" s="69">
        <f t="shared" si="1"/>
        <v>19</v>
      </c>
      <c r="Z2" s="69">
        <f t="shared" si="1"/>
        <v>20</v>
      </c>
      <c r="AA2" s="69">
        <f t="shared" si="1"/>
        <v>21</v>
      </c>
      <c r="AB2" s="710"/>
    </row>
    <row r="3" spans="1:28" s="776" customFormat="1">
      <c r="A3" s="52"/>
      <c r="B3" s="52"/>
      <c r="C3" s="52"/>
      <c r="D3" s="52"/>
      <c r="E3" s="1266" t="s">
        <v>3</v>
      </c>
      <c r="F3" s="906">
        <v>1999</v>
      </c>
      <c r="G3" s="906">
        <f t="shared" si="0"/>
        <v>2000</v>
      </c>
      <c r="H3" s="906">
        <f t="shared" si="0"/>
        <v>2001</v>
      </c>
      <c r="I3" s="906">
        <f t="shared" si="0"/>
        <v>2002</v>
      </c>
      <c r="J3" s="906">
        <f t="shared" si="0"/>
        <v>2003</v>
      </c>
      <c r="K3" s="906">
        <f t="shared" si="0"/>
        <v>2004</v>
      </c>
      <c r="L3" s="906">
        <f t="shared" si="0"/>
        <v>2005</v>
      </c>
      <c r="M3" s="906">
        <f t="shared" si="0"/>
        <v>2006</v>
      </c>
      <c r="N3" s="906">
        <v>2007</v>
      </c>
      <c r="O3" s="906">
        <f>N3+1</f>
        <v>2008</v>
      </c>
      <c r="P3" s="906">
        <f t="shared" si="0"/>
        <v>2009</v>
      </c>
      <c r="Q3" s="906">
        <f t="shared" si="0"/>
        <v>2010</v>
      </c>
      <c r="R3" s="906">
        <f t="shared" si="0"/>
        <v>2011</v>
      </c>
      <c r="S3" s="906">
        <f t="shared" si="0"/>
        <v>2012</v>
      </c>
      <c r="T3" s="906">
        <f t="shared" si="0"/>
        <v>2013</v>
      </c>
      <c r="U3" s="906">
        <f t="shared" si="0"/>
        <v>2014</v>
      </c>
      <c r="V3" s="906">
        <f t="shared" si="0"/>
        <v>2015</v>
      </c>
      <c r="W3" s="906">
        <f t="shared" si="1"/>
        <v>2016</v>
      </c>
      <c r="X3" s="906">
        <f t="shared" si="1"/>
        <v>2017</v>
      </c>
      <c r="Y3" s="906">
        <f t="shared" si="1"/>
        <v>2018</v>
      </c>
      <c r="Z3" s="906">
        <f t="shared" si="1"/>
        <v>2019</v>
      </c>
      <c r="AA3" s="906">
        <f t="shared" si="1"/>
        <v>2020</v>
      </c>
      <c r="AB3" s="710"/>
    </row>
    <row r="4" spans="1:28" s="776" customFormat="1">
      <c r="E4" s="3" t="s">
        <v>3</v>
      </c>
      <c r="F4" s="798">
        <v>1999</v>
      </c>
      <c r="G4" s="798">
        <f t="shared" ref="G4:M4" si="2">F4+1</f>
        <v>2000</v>
      </c>
      <c r="H4" s="798">
        <f t="shared" si="2"/>
        <v>2001</v>
      </c>
      <c r="I4" s="798">
        <f t="shared" si="2"/>
        <v>2002</v>
      </c>
      <c r="J4" s="798">
        <f t="shared" si="2"/>
        <v>2003</v>
      </c>
      <c r="K4" s="798">
        <f t="shared" si="2"/>
        <v>2004</v>
      </c>
      <c r="L4" s="798">
        <f t="shared" si="2"/>
        <v>2005</v>
      </c>
      <c r="M4" s="798">
        <f t="shared" si="2"/>
        <v>2006</v>
      </c>
      <c r="N4" s="798">
        <v>2007</v>
      </c>
      <c r="O4" s="798">
        <f>N4+1</f>
        <v>2008</v>
      </c>
      <c r="P4" s="798">
        <f t="shared" ref="P4:W4" si="3">O4+1</f>
        <v>2009</v>
      </c>
      <c r="Q4" s="798">
        <f t="shared" si="3"/>
        <v>2010</v>
      </c>
      <c r="R4" s="798">
        <f t="shared" si="3"/>
        <v>2011</v>
      </c>
      <c r="S4" s="798">
        <f t="shared" si="3"/>
        <v>2012</v>
      </c>
      <c r="T4" s="798">
        <f t="shared" si="3"/>
        <v>2013</v>
      </c>
      <c r="U4" s="798">
        <f t="shared" si="3"/>
        <v>2014</v>
      </c>
      <c r="V4" s="798">
        <f t="shared" si="3"/>
        <v>2015</v>
      </c>
      <c r="W4" s="798">
        <f t="shared" si="3"/>
        <v>2016</v>
      </c>
      <c r="X4" s="798">
        <f t="shared" ref="X4:AA4" si="4">W4+1</f>
        <v>2017</v>
      </c>
      <c r="Y4" s="798">
        <f t="shared" si="4"/>
        <v>2018</v>
      </c>
      <c r="Z4" s="798">
        <f t="shared" si="4"/>
        <v>2019</v>
      </c>
      <c r="AA4" s="798">
        <f t="shared" si="4"/>
        <v>2020</v>
      </c>
      <c r="AB4" s="710"/>
    </row>
    <row r="5" spans="1:28">
      <c r="A5" s="683"/>
      <c r="B5" s="683" t="s">
        <v>658</v>
      </c>
      <c r="C5" s="683"/>
      <c r="D5" s="683"/>
      <c r="E5" s="683"/>
      <c r="F5" s="683"/>
      <c r="G5" s="683"/>
      <c r="H5" s="683"/>
      <c r="I5" s="684" t="s">
        <v>554</v>
      </c>
      <c r="J5" s="685"/>
      <c r="K5" s="685"/>
      <c r="L5" s="685"/>
      <c r="M5" s="685"/>
      <c r="N5" s="685"/>
      <c r="O5" s="686" t="e">
        <f>#REF!</f>
        <v>#REF!</v>
      </c>
      <c r="P5" s="686" t="e">
        <f>#REF!</f>
        <v>#REF!</v>
      </c>
      <c r="Q5" s="686" t="e">
        <f>#REF!</f>
        <v>#REF!</v>
      </c>
      <c r="R5" s="686" t="e">
        <f>#REF!</f>
        <v>#REF!</v>
      </c>
      <c r="S5" s="686" t="e">
        <f>#REF!</f>
        <v>#REF!</v>
      </c>
      <c r="T5" s="686" t="e">
        <f>#REF!</f>
        <v>#REF!</v>
      </c>
      <c r="U5" s="711">
        <v>1</v>
      </c>
      <c r="V5" s="776"/>
      <c r="W5" s="776"/>
      <c r="X5" s="776"/>
      <c r="Y5" s="776"/>
      <c r="Z5" s="776"/>
      <c r="AA5" s="776"/>
      <c r="AB5" s="776"/>
    </row>
    <row r="6" spans="1:28">
      <c r="A6" s="683"/>
      <c r="B6" s="683" t="s">
        <v>607</v>
      </c>
      <c r="C6" s="683"/>
      <c r="D6" s="683"/>
      <c r="E6" s="683"/>
      <c r="F6" s="683"/>
      <c r="G6" s="683"/>
      <c r="H6" s="683"/>
      <c r="I6" s="684" t="s">
        <v>554</v>
      </c>
      <c r="J6" s="685"/>
      <c r="K6" s="685"/>
      <c r="L6" s="685"/>
      <c r="M6" s="685"/>
      <c r="N6" s="685"/>
      <c r="O6" s="687" t="e">
        <f>#REF!</f>
        <v>#REF!</v>
      </c>
      <c r="P6" s="687" t="e">
        <f>#REF!</f>
        <v>#REF!</v>
      </c>
      <c r="Q6" s="687" t="e">
        <f>#REF!</f>
        <v>#REF!</v>
      </c>
      <c r="R6" s="687" t="e">
        <f>#REF!</f>
        <v>#REF!</v>
      </c>
      <c r="S6" s="687" t="e">
        <f>#REF!</f>
        <v>#REF!</v>
      </c>
      <c r="T6" s="687" t="e">
        <f>#REF!</f>
        <v>#REF!</v>
      </c>
      <c r="U6" s="70">
        <f>U5+1</f>
        <v>2</v>
      </c>
      <c r="V6" s="776"/>
      <c r="W6" s="776"/>
      <c r="X6" s="776"/>
      <c r="Y6" s="776"/>
      <c r="Z6" s="776"/>
      <c r="AA6" s="776"/>
      <c r="AB6" s="776"/>
    </row>
    <row r="7" spans="1:28">
      <c r="A7" s="683"/>
      <c r="B7" s="683"/>
      <c r="C7" s="683"/>
      <c r="D7" s="683"/>
      <c r="E7" s="683"/>
      <c r="F7" s="683"/>
      <c r="G7" s="683"/>
      <c r="H7" s="683"/>
      <c r="I7" s="683"/>
      <c r="J7" s="685"/>
      <c r="K7" s="685"/>
      <c r="L7" s="685"/>
      <c r="M7" s="685"/>
      <c r="N7" s="685"/>
      <c r="O7" s="687"/>
      <c r="P7" s="687"/>
      <c r="Q7" s="687"/>
      <c r="R7" s="687"/>
      <c r="S7" s="687"/>
      <c r="T7" s="687"/>
      <c r="U7" s="711">
        <v>2</v>
      </c>
      <c r="V7" s="776"/>
      <c r="W7" s="776"/>
      <c r="X7" s="776"/>
      <c r="Y7" s="776"/>
      <c r="Z7" s="776"/>
      <c r="AA7" s="776"/>
      <c r="AB7" s="776"/>
    </row>
    <row r="8" spans="1:28" ht="15">
      <c r="A8" s="683"/>
      <c r="B8" s="683" t="s">
        <v>853</v>
      </c>
      <c r="C8" s="683"/>
      <c r="D8" s="683"/>
      <c r="E8" s="683"/>
      <c r="F8" s="683"/>
      <c r="G8" s="683"/>
      <c r="H8" s="683"/>
      <c r="I8" s="683"/>
      <c r="J8" s="685"/>
      <c r="K8" s="685"/>
      <c r="L8" s="685"/>
      <c r="M8" s="685"/>
      <c r="N8" s="685"/>
      <c r="O8" s="688" t="e">
        <f>'Econ-Perf 2'!O63</f>
        <v>#REF!</v>
      </c>
      <c r="P8" s="688" t="e">
        <f>'Econ-Perf 2'!P63</f>
        <v>#REF!</v>
      </c>
      <c r="Q8" s="688" t="e">
        <f>'Econ-Perf 2'!Q63</f>
        <v>#REF!</v>
      </c>
      <c r="R8" s="688" t="e">
        <f>'Econ-Perf 2'!R63</f>
        <v>#REF!</v>
      </c>
      <c r="S8" s="688" t="e">
        <f>'Econ-Perf 2'!S63</f>
        <v>#REF!</v>
      </c>
      <c r="T8" s="688" t="e">
        <f>'Econ-Perf 2'!T63</f>
        <v>#REF!</v>
      </c>
      <c r="U8" s="70">
        <f t="shared" ref="U8" si="5">U7+1</f>
        <v>3</v>
      </c>
      <c r="V8" s="776"/>
      <c r="W8" s="776"/>
      <c r="X8" s="776"/>
      <c r="Y8" s="776"/>
      <c r="Z8" s="776"/>
      <c r="AA8" s="776"/>
      <c r="AB8" s="776"/>
    </row>
    <row r="9" spans="1:28" ht="15">
      <c r="A9" s="683"/>
      <c r="B9" s="683" t="s">
        <v>632</v>
      </c>
      <c r="C9" s="683"/>
      <c r="D9" s="683"/>
      <c r="E9" s="683"/>
      <c r="F9" s="683"/>
      <c r="G9" s="683"/>
      <c r="H9" s="683"/>
      <c r="I9" s="683"/>
      <c r="J9" s="685"/>
      <c r="K9" s="685"/>
      <c r="L9" s="685"/>
      <c r="M9" s="685"/>
      <c r="N9" s="685"/>
      <c r="O9" s="689" t="e">
        <f>'Econ-Perf 2'!O64</f>
        <v>#REF!</v>
      </c>
      <c r="P9" s="689" t="e">
        <f>'Econ-Perf 2'!P64</f>
        <v>#REF!</v>
      </c>
      <c r="Q9" s="689" t="e">
        <f>'Econ-Perf 2'!Q64</f>
        <v>#REF!</v>
      </c>
      <c r="R9" s="689" t="e">
        <f>'Econ-Perf 2'!R64</f>
        <v>#REF!</v>
      </c>
      <c r="S9" s="689" t="e">
        <f>'Econ-Perf 2'!S64</f>
        <v>#REF!</v>
      </c>
      <c r="T9" s="689" t="e">
        <f>'Econ-Perf 2'!T64</f>
        <v>#REF!</v>
      </c>
      <c r="U9" s="711">
        <v>3</v>
      </c>
      <c r="V9" s="776"/>
      <c r="W9" s="776"/>
      <c r="X9" s="776"/>
      <c r="Y9" s="776"/>
      <c r="Z9" s="776"/>
      <c r="AA9" s="776"/>
      <c r="AB9" s="776"/>
    </row>
    <row r="10" spans="1:28" ht="15">
      <c r="A10" s="683"/>
      <c r="B10" s="683" t="s">
        <v>662</v>
      </c>
      <c r="C10" s="683"/>
      <c r="D10" s="683"/>
      <c r="E10" s="683"/>
      <c r="F10" s="683"/>
      <c r="G10" s="683"/>
      <c r="H10" s="683"/>
      <c r="I10" s="683"/>
      <c r="J10" s="685"/>
      <c r="K10" s="685"/>
      <c r="L10" s="685"/>
      <c r="M10" s="685"/>
      <c r="N10" s="683"/>
      <c r="O10" s="688" t="e">
        <f>O8-O9</f>
        <v>#REF!</v>
      </c>
      <c r="P10" s="688" t="e">
        <f t="shared" ref="P10:T10" si="6">P8-P9</f>
        <v>#REF!</v>
      </c>
      <c r="Q10" s="688" t="e">
        <f t="shared" si="6"/>
        <v>#REF!</v>
      </c>
      <c r="R10" s="688" t="e">
        <f t="shared" si="6"/>
        <v>#REF!</v>
      </c>
      <c r="S10" s="688" t="e">
        <f t="shared" si="6"/>
        <v>#REF!</v>
      </c>
      <c r="T10" s="688" t="e">
        <f t="shared" si="6"/>
        <v>#REF!</v>
      </c>
      <c r="U10" s="70">
        <f t="shared" ref="U10" si="7">U9+1</f>
        <v>4</v>
      </c>
      <c r="V10" s="776"/>
      <c r="W10" s="776"/>
      <c r="X10" s="776"/>
      <c r="Y10" s="776"/>
      <c r="Z10" s="776"/>
      <c r="AA10" s="776"/>
      <c r="AB10" s="776"/>
    </row>
    <row r="11" spans="1:28" ht="15">
      <c r="A11" s="683"/>
      <c r="B11" s="683"/>
      <c r="C11" s="683"/>
      <c r="D11" s="683"/>
      <c r="E11" s="683"/>
      <c r="F11" s="683"/>
      <c r="G11" s="683"/>
      <c r="H11" s="683"/>
      <c r="I11" s="683"/>
      <c r="J11" s="685"/>
      <c r="K11" s="685"/>
      <c r="L11" s="685"/>
      <c r="M11" s="685"/>
      <c r="N11" s="683"/>
      <c r="O11" s="690"/>
      <c r="P11" s="690"/>
      <c r="Q11" s="690"/>
      <c r="R11" s="690"/>
      <c r="S11" s="690"/>
      <c r="T11" s="690"/>
      <c r="U11" s="711">
        <v>4</v>
      </c>
      <c r="V11" s="776"/>
      <c r="W11" s="776"/>
      <c r="X11" s="776"/>
      <c r="Y11" s="776"/>
      <c r="Z11" s="776"/>
      <c r="AA11" s="776"/>
      <c r="AB11" s="776"/>
    </row>
    <row r="12" spans="1:28" s="592" customFormat="1">
      <c r="A12" s="683"/>
      <c r="B12" s="683" t="s">
        <v>608</v>
      </c>
      <c r="C12" s="683"/>
      <c r="D12" s="683"/>
      <c r="E12" s="683"/>
      <c r="F12" s="683"/>
      <c r="G12" s="683"/>
      <c r="H12" s="683"/>
      <c r="I12" s="683"/>
      <c r="J12" s="685"/>
      <c r="K12" s="685"/>
      <c r="L12" s="685"/>
      <c r="M12" s="685"/>
      <c r="N12" s="687" t="e">
        <f>#REF!</f>
        <v>#REF!</v>
      </c>
      <c r="O12" s="687" t="e">
        <f>#REF!</f>
        <v>#REF!</v>
      </c>
      <c r="P12" s="687" t="e">
        <f>#REF!</f>
        <v>#REF!</v>
      </c>
      <c r="Q12" s="687" t="e">
        <f>#REF!</f>
        <v>#REF!</v>
      </c>
      <c r="R12" s="687" t="e">
        <f>#REF!</f>
        <v>#REF!</v>
      </c>
      <c r="S12" s="687" t="e">
        <f>#REF!</f>
        <v>#REF!</v>
      </c>
      <c r="T12" s="687" t="e">
        <f>#REF!</f>
        <v>#REF!</v>
      </c>
      <c r="U12" s="70">
        <f t="shared" ref="U12" si="8">U11+1</f>
        <v>5</v>
      </c>
      <c r="V12" s="776"/>
      <c r="W12" s="776"/>
      <c r="X12" s="776"/>
      <c r="Y12" s="776"/>
      <c r="Z12" s="776"/>
      <c r="AA12" s="776"/>
      <c r="AB12" s="776"/>
    </row>
    <row r="13" spans="1:28" s="592" customFormat="1">
      <c r="A13" s="683"/>
      <c r="B13" s="683" t="s">
        <v>854</v>
      </c>
      <c r="C13" s="683"/>
      <c r="D13" s="683"/>
      <c r="E13" s="683"/>
      <c r="F13" s="683"/>
      <c r="G13" s="683"/>
      <c r="H13" s="683"/>
      <c r="I13" s="683"/>
      <c r="J13" s="685"/>
      <c r="K13" s="685"/>
      <c r="L13" s="685"/>
      <c r="M13" s="685"/>
      <c r="N13" s="687"/>
      <c r="O13" s="687" t="e">
        <f>(N12+O12)/2</f>
        <v>#REF!</v>
      </c>
      <c r="P13" s="687" t="e">
        <f t="shared" ref="P13:T13" si="9">(O12+P12)/2</f>
        <v>#REF!</v>
      </c>
      <c r="Q13" s="687" t="e">
        <f t="shared" si="9"/>
        <v>#REF!</v>
      </c>
      <c r="R13" s="687" t="e">
        <f t="shared" si="9"/>
        <v>#REF!</v>
      </c>
      <c r="S13" s="687" t="e">
        <f t="shared" si="9"/>
        <v>#REF!</v>
      </c>
      <c r="T13" s="687" t="e">
        <f t="shared" si="9"/>
        <v>#REF!</v>
      </c>
      <c r="U13" s="711">
        <v>5</v>
      </c>
      <c r="V13" s="776"/>
      <c r="W13" s="776"/>
      <c r="X13" s="776"/>
      <c r="Y13" s="776"/>
      <c r="Z13" s="776"/>
      <c r="AA13" s="776"/>
      <c r="AB13" s="776"/>
    </row>
    <row r="14" spans="1:28" s="592" customFormat="1">
      <c r="A14" s="683"/>
      <c r="B14" s="683"/>
      <c r="C14" s="683"/>
      <c r="D14" s="683"/>
      <c r="E14" s="683"/>
      <c r="F14" s="683"/>
      <c r="G14" s="683"/>
      <c r="H14" s="683"/>
      <c r="I14" s="683"/>
      <c r="J14" s="685"/>
      <c r="K14" s="685"/>
      <c r="L14" s="685"/>
      <c r="M14" s="685"/>
      <c r="N14" s="687"/>
      <c r="O14" s="687"/>
      <c r="P14" s="687"/>
      <c r="Q14" s="687"/>
      <c r="R14" s="687"/>
      <c r="S14" s="687"/>
      <c r="T14" s="687"/>
      <c r="U14" s="70">
        <f t="shared" ref="U14" si="10">U13+1</f>
        <v>6</v>
      </c>
      <c r="V14" s="776"/>
      <c r="W14" s="776"/>
      <c r="X14" s="776"/>
      <c r="Y14" s="776"/>
      <c r="Z14" s="776"/>
      <c r="AA14" s="776"/>
      <c r="AB14" s="776"/>
    </row>
    <row r="15" spans="1:28" s="592" customFormat="1">
      <c r="A15" s="683"/>
      <c r="B15" s="683" t="s">
        <v>855</v>
      </c>
      <c r="C15" s="683"/>
      <c r="D15" s="683"/>
      <c r="E15" s="683"/>
      <c r="F15" s="683"/>
      <c r="G15" s="683"/>
      <c r="H15" s="683"/>
      <c r="I15" s="683"/>
      <c r="J15" s="685"/>
      <c r="K15" s="685"/>
      <c r="L15" s="685"/>
      <c r="M15" s="685"/>
      <c r="N15" s="687"/>
      <c r="O15" s="691" t="e">
        <f>O17/O13</f>
        <v>#REF!</v>
      </c>
      <c r="P15" s="691" t="e">
        <f t="shared" ref="P15:S15" si="11">P17/P13</f>
        <v>#REF!</v>
      </c>
      <c r="Q15" s="691" t="e">
        <f t="shared" si="11"/>
        <v>#REF!</v>
      </c>
      <c r="R15" s="691" t="e">
        <f t="shared" si="11"/>
        <v>#REF!</v>
      </c>
      <c r="S15" s="691" t="e">
        <f t="shared" si="11"/>
        <v>#REF!</v>
      </c>
      <c r="T15" s="687"/>
      <c r="U15" s="711">
        <v>6</v>
      </c>
      <c r="V15" s="776"/>
      <c r="W15" s="776"/>
      <c r="X15" s="776"/>
      <c r="Y15" s="776"/>
      <c r="Z15" s="776"/>
      <c r="AA15" s="776"/>
      <c r="AB15" s="776"/>
    </row>
    <row r="16" spans="1:28" s="592" customFormat="1">
      <c r="A16" s="683"/>
      <c r="B16" s="683"/>
      <c r="C16" s="683"/>
      <c r="D16" s="683"/>
      <c r="E16" s="683"/>
      <c r="F16" s="683"/>
      <c r="G16" s="683"/>
      <c r="H16" s="683"/>
      <c r="I16" s="683"/>
      <c r="J16" s="685"/>
      <c r="K16" s="685"/>
      <c r="L16" s="685"/>
      <c r="M16" s="685"/>
      <c r="N16" s="687"/>
      <c r="O16" s="687"/>
      <c r="P16" s="687"/>
      <c r="Q16" s="687"/>
      <c r="R16" s="687"/>
      <c r="S16" s="687"/>
      <c r="T16" s="687"/>
      <c r="U16" s="70">
        <f t="shared" ref="U16" si="12">U15+1</f>
        <v>7</v>
      </c>
      <c r="V16" s="776"/>
      <c r="W16" s="776"/>
      <c r="X16" s="776"/>
      <c r="Y16" s="776"/>
      <c r="Z16" s="776"/>
      <c r="AA16" s="776"/>
      <c r="AB16" s="776"/>
    </row>
    <row r="17" spans="1:21">
      <c r="A17" s="683"/>
      <c r="B17" s="683" t="s">
        <v>704</v>
      </c>
      <c r="C17" s="683"/>
      <c r="D17" s="683"/>
      <c r="E17" s="683"/>
      <c r="F17" s="683"/>
      <c r="G17" s="683"/>
      <c r="H17" s="683"/>
      <c r="I17" s="692" t="s">
        <v>554</v>
      </c>
      <c r="J17" s="685"/>
      <c r="K17" s="685"/>
      <c r="L17" s="685"/>
      <c r="M17" s="685"/>
      <c r="N17" s="685"/>
      <c r="O17" s="687">
        <f>'Econ-Perf 1'!O8</f>
        <v>5511</v>
      </c>
      <c r="P17" s="687">
        <f>'Econ-Perf 1'!P8</f>
        <v>6595</v>
      </c>
      <c r="Q17" s="687">
        <f>'Econ-Perf 1'!Q8</f>
        <v>16463</v>
      </c>
      <c r="R17" s="687">
        <f>'Econ-Perf 1'!R8</f>
        <v>22284</v>
      </c>
      <c r="S17" s="687">
        <f>'Econ-Perf 1'!S8</f>
        <v>11100</v>
      </c>
      <c r="T17" s="687">
        <f>'Econ-Perf 1'!T8</f>
        <v>13300</v>
      </c>
      <c r="U17" s="711">
        <v>7</v>
      </c>
    </row>
    <row r="18" spans="1:21">
      <c r="A18" s="683"/>
      <c r="B18" s="683" t="s">
        <v>712</v>
      </c>
      <c r="C18" s="683"/>
      <c r="D18" s="683"/>
      <c r="E18" s="683"/>
      <c r="F18" s="683"/>
      <c r="G18" s="683"/>
      <c r="H18" s="683"/>
      <c r="I18" s="683"/>
      <c r="J18" s="685"/>
      <c r="K18" s="685"/>
      <c r="L18" s="685"/>
      <c r="M18" s="685"/>
      <c r="N18" s="683"/>
      <c r="O18" s="693" t="e">
        <f>O5/O17</f>
        <v>#REF!</v>
      </c>
      <c r="P18" s="693" t="e">
        <f t="shared" ref="P18:T18" si="13">P5/P17</f>
        <v>#REF!</v>
      </c>
      <c r="Q18" s="693" t="e">
        <f t="shared" si="13"/>
        <v>#REF!</v>
      </c>
      <c r="R18" s="693" t="e">
        <f t="shared" si="13"/>
        <v>#REF!</v>
      </c>
      <c r="S18" s="693" t="e">
        <f t="shared" si="13"/>
        <v>#REF!</v>
      </c>
      <c r="T18" s="693" t="e">
        <f t="shared" si="13"/>
        <v>#REF!</v>
      </c>
      <c r="U18" s="70">
        <f t="shared" ref="U18" si="14">U17+1</f>
        <v>8</v>
      </c>
    </row>
    <row r="19" spans="1:21">
      <c r="A19" s="683"/>
      <c r="B19" s="683"/>
      <c r="C19" s="683"/>
      <c r="D19" s="683"/>
      <c r="E19" s="683"/>
      <c r="F19" s="683"/>
      <c r="G19" s="683"/>
      <c r="H19" s="683"/>
      <c r="I19" s="683"/>
      <c r="J19" s="685"/>
      <c r="K19" s="685"/>
      <c r="L19" s="685"/>
      <c r="M19" s="685"/>
      <c r="N19" s="683"/>
      <c r="O19" s="693"/>
      <c r="P19" s="693"/>
      <c r="Q19" s="693"/>
      <c r="R19" s="693"/>
      <c r="S19" s="693"/>
      <c r="T19" s="693"/>
      <c r="U19" s="711">
        <v>8</v>
      </c>
    </row>
    <row r="20" spans="1:21" s="592" customFormat="1">
      <c r="A20" s="683"/>
      <c r="B20" s="683" t="s">
        <v>856</v>
      </c>
      <c r="C20" s="683"/>
      <c r="D20" s="683"/>
      <c r="E20" s="683"/>
      <c r="F20" s="683"/>
      <c r="G20" s="683"/>
      <c r="H20" s="683"/>
      <c r="I20" s="683"/>
      <c r="J20" s="685"/>
      <c r="K20" s="685"/>
      <c r="L20" s="685"/>
      <c r="M20" s="685"/>
      <c r="N20" s="692" t="e">
        <f>N12</f>
        <v>#REF!</v>
      </c>
      <c r="O20" s="687" t="e">
        <f>O12</f>
        <v>#REF!</v>
      </c>
      <c r="P20" s="687" t="e">
        <f t="shared" ref="P20:T20" si="15">P12</f>
        <v>#REF!</v>
      </c>
      <c r="Q20" s="687" t="e">
        <f t="shared" si="15"/>
        <v>#REF!</v>
      </c>
      <c r="R20" s="687" t="e">
        <f t="shared" si="15"/>
        <v>#REF!</v>
      </c>
      <c r="S20" s="687" t="e">
        <f t="shared" si="15"/>
        <v>#REF!</v>
      </c>
      <c r="T20" s="687" t="e">
        <f t="shared" si="15"/>
        <v>#REF!</v>
      </c>
      <c r="U20" s="70">
        <f t="shared" ref="U20" si="16">U19+1</f>
        <v>9</v>
      </c>
    </row>
    <row r="21" spans="1:21" s="592" customFormat="1">
      <c r="A21" s="683"/>
      <c r="B21" s="683" t="s">
        <v>857</v>
      </c>
      <c r="C21" s="683"/>
      <c r="D21" s="683"/>
      <c r="E21" s="683"/>
      <c r="F21" s="683"/>
      <c r="G21" s="683"/>
      <c r="H21" s="683"/>
      <c r="I21" s="683"/>
      <c r="J21" s="685"/>
      <c r="K21" s="685"/>
      <c r="L21" s="685"/>
      <c r="M21" s="685"/>
      <c r="N21" s="694" t="e">
        <f>#REF!</f>
        <v>#REF!</v>
      </c>
      <c r="O21" s="694" t="e">
        <f>#REF!</f>
        <v>#REF!</v>
      </c>
      <c r="P21" s="694" t="e">
        <f>#REF!</f>
        <v>#REF!</v>
      </c>
      <c r="Q21" s="694" t="e">
        <f>#REF!</f>
        <v>#REF!</v>
      </c>
      <c r="R21" s="694" t="e">
        <f>#REF!</f>
        <v>#REF!</v>
      </c>
      <c r="S21" s="694" t="e">
        <f>#REF!</f>
        <v>#REF!</v>
      </c>
      <c r="T21" s="713" t="e">
        <f>#REF!</f>
        <v>#REF!</v>
      </c>
      <c r="U21" s="711">
        <v>9</v>
      </c>
    </row>
    <row r="22" spans="1:21" s="592" customFormat="1">
      <c r="A22" s="683"/>
      <c r="B22" s="683" t="s">
        <v>634</v>
      </c>
      <c r="C22" s="683"/>
      <c r="D22" s="683"/>
      <c r="E22" s="683"/>
      <c r="F22" s="683"/>
      <c r="G22" s="683"/>
      <c r="H22" s="683"/>
      <c r="I22" s="683"/>
      <c r="J22" s="685"/>
      <c r="K22" s="685"/>
      <c r="L22" s="685"/>
      <c r="M22" s="685"/>
      <c r="N22" s="687" t="e">
        <f>N20+N21</f>
        <v>#REF!</v>
      </c>
      <c r="O22" s="687" t="e">
        <f t="shared" ref="O22:T22" si="17">O20+O21</f>
        <v>#REF!</v>
      </c>
      <c r="P22" s="687" t="e">
        <f t="shared" si="17"/>
        <v>#REF!</v>
      </c>
      <c r="Q22" s="687" t="e">
        <f t="shared" si="17"/>
        <v>#REF!</v>
      </c>
      <c r="R22" s="687" t="e">
        <f t="shared" si="17"/>
        <v>#REF!</v>
      </c>
      <c r="S22" s="687" t="e">
        <f t="shared" si="17"/>
        <v>#REF!</v>
      </c>
      <c r="T22" s="687" t="e">
        <f t="shared" si="17"/>
        <v>#REF!</v>
      </c>
      <c r="U22" s="70">
        <f t="shared" ref="U22" si="18">U21+1</f>
        <v>10</v>
      </c>
    </row>
    <row r="23" spans="1:21" s="592" customFormat="1">
      <c r="A23" s="683"/>
      <c r="B23" s="683" t="s">
        <v>635</v>
      </c>
      <c r="C23" s="683"/>
      <c r="D23" s="683"/>
      <c r="E23" s="683"/>
      <c r="F23" s="683"/>
      <c r="G23" s="683"/>
      <c r="H23" s="683"/>
      <c r="I23" s="683"/>
      <c r="J23" s="685"/>
      <c r="K23" s="685"/>
      <c r="L23" s="685"/>
      <c r="M23" s="685"/>
      <c r="N23" s="692"/>
      <c r="O23" s="602" t="e">
        <f>#REF!</f>
        <v>#REF!</v>
      </c>
      <c r="P23" s="602" t="e">
        <f>#REF!</f>
        <v>#REF!</v>
      </c>
      <c r="Q23" s="602" t="e">
        <f>#REF!</f>
        <v>#REF!</v>
      </c>
      <c r="R23" s="602" t="e">
        <f>#REF!</f>
        <v>#REF!</v>
      </c>
      <c r="S23" s="602" t="e">
        <f>#REF!</f>
        <v>#REF!</v>
      </c>
      <c r="T23" s="602" t="e">
        <f>#REF!</f>
        <v>#REF!</v>
      </c>
      <c r="U23" s="711">
        <v>10</v>
      </c>
    </row>
    <row r="24" spans="1:21" s="592" customFormat="1">
      <c r="A24" s="683"/>
      <c r="B24" s="683" t="s">
        <v>723</v>
      </c>
      <c r="C24" s="683"/>
      <c r="D24" s="683"/>
      <c r="E24" s="683"/>
      <c r="F24" s="683"/>
      <c r="G24" s="683"/>
      <c r="H24" s="683"/>
      <c r="I24" s="683"/>
      <c r="J24" s="685"/>
      <c r="K24" s="685"/>
      <c r="L24" s="685"/>
      <c r="M24" s="685"/>
      <c r="N24" s="683"/>
      <c r="O24" s="687" t="e">
        <f t="shared" ref="O24" si="19">O22+O23</f>
        <v>#REF!</v>
      </c>
      <c r="P24" s="687" t="e">
        <f t="shared" ref="P24" si="20">P22+P23</f>
        <v>#REF!</v>
      </c>
      <c r="Q24" s="687" t="e">
        <f t="shared" ref="Q24" si="21">Q22+Q23</f>
        <v>#REF!</v>
      </c>
      <c r="R24" s="687" t="e">
        <f t="shared" ref="R24" si="22">R22+R23</f>
        <v>#REF!</v>
      </c>
      <c r="S24" s="687" t="e">
        <f t="shared" ref="S24" si="23">S22+S23</f>
        <v>#REF!</v>
      </c>
      <c r="T24" s="687" t="e">
        <f t="shared" ref="T24" si="24">T22+T23</f>
        <v>#REF!</v>
      </c>
      <c r="U24" s="70">
        <f t="shared" ref="U24" si="25">U23+1</f>
        <v>11</v>
      </c>
    </row>
    <row r="25" spans="1:21" s="592" customFormat="1">
      <c r="A25" s="683"/>
      <c r="B25" s="683"/>
      <c r="C25" s="683"/>
      <c r="D25" s="683"/>
      <c r="E25" s="683"/>
      <c r="F25" s="683"/>
      <c r="G25" s="683"/>
      <c r="H25" s="683"/>
      <c r="I25" s="683"/>
      <c r="J25" s="685"/>
      <c r="K25" s="685"/>
      <c r="L25" s="685"/>
      <c r="M25" s="685"/>
      <c r="N25" s="683"/>
      <c r="O25" s="693"/>
      <c r="P25" s="693"/>
      <c r="Q25" s="693"/>
      <c r="R25" s="693"/>
      <c r="S25" s="693"/>
      <c r="T25" s="693"/>
      <c r="U25" s="711">
        <v>11</v>
      </c>
    </row>
    <row r="26" spans="1:21" s="592" customFormat="1">
      <c r="A26" s="683"/>
      <c r="B26" s="683" t="s">
        <v>858</v>
      </c>
      <c r="C26" s="683"/>
      <c r="D26" s="683"/>
      <c r="E26" s="683"/>
      <c r="F26" s="683"/>
      <c r="G26" s="683"/>
      <c r="H26" s="683"/>
      <c r="I26" s="683"/>
      <c r="J26" s="685"/>
      <c r="K26" s="685"/>
      <c r="L26" s="685"/>
      <c r="M26" s="685"/>
      <c r="N26" s="683"/>
      <c r="O26" s="693"/>
      <c r="P26" s="693" t="e">
        <f>P23/P17</f>
        <v>#REF!</v>
      </c>
      <c r="Q26" s="693" t="e">
        <f t="shared" ref="Q26:T26" si="26">Q23/Q17</f>
        <v>#REF!</v>
      </c>
      <c r="R26" s="693" t="e">
        <f t="shared" si="26"/>
        <v>#REF!</v>
      </c>
      <c r="S26" s="693" t="e">
        <f t="shared" si="26"/>
        <v>#REF!</v>
      </c>
      <c r="T26" s="693" t="e">
        <f t="shared" si="26"/>
        <v>#REF!</v>
      </c>
      <c r="U26" s="70">
        <f t="shared" ref="U26" si="27">U25+1</f>
        <v>12</v>
      </c>
    </row>
    <row r="27" spans="1:21" s="592" customFormat="1">
      <c r="A27" s="683"/>
      <c r="B27" s="683"/>
      <c r="C27" s="683"/>
      <c r="D27" s="683"/>
      <c r="E27" s="683"/>
      <c r="F27" s="683"/>
      <c r="G27" s="683"/>
      <c r="H27" s="683"/>
      <c r="I27" s="683"/>
      <c r="J27" s="685"/>
      <c r="K27" s="685"/>
      <c r="L27" s="685"/>
      <c r="M27" s="685"/>
      <c r="N27" s="683"/>
      <c r="O27" s="693"/>
      <c r="P27" s="693"/>
      <c r="Q27" s="693"/>
      <c r="R27" s="693"/>
      <c r="S27" s="693"/>
      <c r="T27" s="693"/>
      <c r="U27" s="70"/>
    </row>
    <row r="28" spans="1:21">
      <c r="A28" s="683"/>
      <c r="B28" s="683" t="s">
        <v>723</v>
      </c>
      <c r="C28" s="683"/>
      <c r="D28" s="683"/>
      <c r="E28" s="683"/>
      <c r="F28" s="683"/>
      <c r="G28" s="683"/>
      <c r="H28" s="683"/>
      <c r="I28" s="684" t="s">
        <v>32</v>
      </c>
      <c r="J28" s="685"/>
      <c r="K28" s="685"/>
      <c r="L28" s="685"/>
      <c r="M28" s="685"/>
      <c r="N28" s="685"/>
      <c r="O28" s="687" t="e">
        <f t="shared" ref="O28:T28" si="28">O24</f>
        <v>#REF!</v>
      </c>
      <c r="P28" s="687" t="e">
        <f t="shared" si="28"/>
        <v>#REF!</v>
      </c>
      <c r="Q28" s="687" t="e">
        <f t="shared" si="28"/>
        <v>#REF!</v>
      </c>
      <c r="R28" s="687" t="e">
        <f t="shared" si="28"/>
        <v>#REF!</v>
      </c>
      <c r="S28" s="687" t="e">
        <f t="shared" si="28"/>
        <v>#REF!</v>
      </c>
      <c r="T28" s="687" t="e">
        <f t="shared" si="28"/>
        <v>#REF!</v>
      </c>
      <c r="U28" s="711">
        <v>13</v>
      </c>
    </row>
    <row r="29" spans="1:21">
      <c r="A29" s="683"/>
      <c r="B29" s="683" t="s">
        <v>657</v>
      </c>
      <c r="C29" s="683"/>
      <c r="D29" s="683"/>
      <c r="E29" s="683"/>
      <c r="F29" s="683"/>
      <c r="G29" s="683"/>
      <c r="H29" s="683"/>
      <c r="I29" s="684" t="s">
        <v>32</v>
      </c>
      <c r="J29" s="685"/>
      <c r="K29" s="685"/>
      <c r="L29" s="685"/>
      <c r="M29" s="685"/>
      <c r="N29" s="685"/>
      <c r="O29" s="695" t="e">
        <f t="shared" ref="O29:T29" si="29">O12</f>
        <v>#REF!</v>
      </c>
      <c r="P29" s="695" t="e">
        <f t="shared" si="29"/>
        <v>#REF!</v>
      </c>
      <c r="Q29" s="695" t="e">
        <f t="shared" si="29"/>
        <v>#REF!</v>
      </c>
      <c r="R29" s="695" t="e">
        <f t="shared" si="29"/>
        <v>#REF!</v>
      </c>
      <c r="S29" s="695" t="e">
        <f t="shared" si="29"/>
        <v>#REF!</v>
      </c>
      <c r="T29" s="695" t="e">
        <f t="shared" si="29"/>
        <v>#REF!</v>
      </c>
      <c r="U29" s="70">
        <f t="shared" ref="U29" si="30">U28+1</f>
        <v>14</v>
      </c>
    </row>
    <row r="30" spans="1:21">
      <c r="A30" s="683"/>
      <c r="B30" s="683" t="s">
        <v>754</v>
      </c>
      <c r="C30" s="683"/>
      <c r="D30" s="683"/>
      <c r="E30" s="683"/>
      <c r="F30" s="683"/>
      <c r="G30" s="683"/>
      <c r="H30" s="683"/>
      <c r="I30" s="684" t="s">
        <v>32</v>
      </c>
      <c r="J30" s="685"/>
      <c r="K30" s="685"/>
      <c r="L30" s="685"/>
      <c r="M30" s="685"/>
      <c r="N30" s="685"/>
      <c r="O30" s="602" t="e">
        <f>O28-O29</f>
        <v>#REF!</v>
      </c>
      <c r="P30" s="602" t="e">
        <f t="shared" ref="P30" si="31">P28-P29</f>
        <v>#REF!</v>
      </c>
      <c r="Q30" s="602" t="e">
        <f t="shared" ref="Q30" si="32">Q28-Q29</f>
        <v>#REF!</v>
      </c>
      <c r="R30" s="602" t="e">
        <f t="shared" ref="R30" si="33">R28-R29</f>
        <v>#REF!</v>
      </c>
      <c r="S30" s="602" t="e">
        <f t="shared" ref="S30" si="34">S28-S29</f>
        <v>#REF!</v>
      </c>
      <c r="T30" s="602" t="e">
        <f t="shared" ref="T30" si="35">T28-T29</f>
        <v>#REF!</v>
      </c>
      <c r="U30" s="711">
        <v>14</v>
      </c>
    </row>
    <row r="31" spans="1:21">
      <c r="A31" s="683"/>
      <c r="B31" s="683"/>
      <c r="C31" s="683"/>
      <c r="D31" s="683"/>
      <c r="E31" s="683"/>
      <c r="F31" s="683"/>
      <c r="G31" s="683"/>
      <c r="H31" s="683"/>
      <c r="I31" s="683"/>
      <c r="J31" s="685"/>
      <c r="K31" s="685"/>
      <c r="L31" s="685"/>
      <c r="M31" s="685"/>
      <c r="N31" s="683"/>
      <c r="O31" s="687"/>
      <c r="P31" s="687"/>
      <c r="Q31" s="687"/>
      <c r="R31" s="687"/>
      <c r="S31" s="687"/>
      <c r="T31" s="687"/>
      <c r="U31" s="70">
        <f t="shared" ref="U31" si="36">U30+1</f>
        <v>15</v>
      </c>
    </row>
    <row r="32" spans="1:21">
      <c r="A32" s="683"/>
      <c r="B32" s="683" t="s">
        <v>770</v>
      </c>
      <c r="C32" s="683"/>
      <c r="D32" s="683"/>
      <c r="E32" s="683"/>
      <c r="F32" s="683"/>
      <c r="G32" s="683"/>
      <c r="H32" s="683"/>
      <c r="I32" s="683"/>
      <c r="J32" s="685"/>
      <c r="K32" s="685"/>
      <c r="L32" s="685"/>
      <c r="M32" s="685"/>
      <c r="N32" s="683"/>
      <c r="O32" s="698">
        <f>'Mark-Expect'!O43</f>
        <v>0</v>
      </c>
      <c r="P32" s="698" t="e">
        <f>'Mark-Expect'!P43</f>
        <v>#REF!</v>
      </c>
      <c r="Q32" s="698" t="e">
        <f>'Mark-Expect'!Q43</f>
        <v>#REF!</v>
      </c>
      <c r="R32" s="698" t="e">
        <f>'Mark-Expect'!R43</f>
        <v>#REF!</v>
      </c>
      <c r="S32" s="698" t="e">
        <f>'Mark-Expect'!S43</f>
        <v>#REF!</v>
      </c>
      <c r="T32" s="698" t="e">
        <f>'Mark-Expect'!T43</f>
        <v>#REF!</v>
      </c>
      <c r="U32" s="711">
        <v>15</v>
      </c>
    </row>
    <row r="33" spans="1:21">
      <c r="A33" s="683"/>
      <c r="B33" s="683" t="s">
        <v>859</v>
      </c>
      <c r="C33" s="683"/>
      <c r="D33" s="683"/>
      <c r="E33" s="683"/>
      <c r="F33" s="683"/>
      <c r="G33" s="683"/>
      <c r="H33" s="683"/>
      <c r="I33" s="683"/>
      <c r="J33" s="685"/>
      <c r="K33" s="685"/>
      <c r="L33" s="685"/>
      <c r="M33" s="685"/>
      <c r="N33" s="683"/>
      <c r="O33" s="698">
        <f>'Mark-Expect'!O44</f>
        <v>0</v>
      </c>
      <c r="P33" s="698" t="e">
        <f>'Mark-Expect'!P44</f>
        <v>#REF!</v>
      </c>
      <c r="Q33" s="698" t="e">
        <f>'Mark-Expect'!Q44</f>
        <v>#REF!</v>
      </c>
      <c r="R33" s="698" t="e">
        <f>'Mark-Expect'!R44</f>
        <v>#REF!</v>
      </c>
      <c r="S33" s="698" t="e">
        <f>'Mark-Expect'!S44</f>
        <v>#REF!</v>
      </c>
      <c r="T33" s="698" t="e">
        <f>'Mark-Expect'!T44</f>
        <v>#REF!</v>
      </c>
      <c r="U33" s="70">
        <f t="shared" ref="U33" si="37">U32+1</f>
        <v>16</v>
      </c>
    </row>
    <row r="34" spans="1:21">
      <c r="A34" s="683"/>
      <c r="B34" s="683" t="s">
        <v>608</v>
      </c>
      <c r="C34" s="683"/>
      <c r="D34" s="683"/>
      <c r="E34" s="683"/>
      <c r="F34" s="683"/>
      <c r="G34" s="683"/>
      <c r="H34" s="683"/>
      <c r="I34" s="683"/>
      <c r="J34" s="685"/>
      <c r="K34" s="685"/>
      <c r="L34" s="685"/>
      <c r="M34" s="685"/>
      <c r="N34" s="683"/>
      <c r="O34" s="699">
        <f>'Mark-Expect'!O45</f>
        <v>0</v>
      </c>
      <c r="P34" s="699" t="e">
        <f>'Mark-Expect'!P45</f>
        <v>#REF!</v>
      </c>
      <c r="Q34" s="699" t="e">
        <f>'Mark-Expect'!Q45</f>
        <v>#REF!</v>
      </c>
      <c r="R34" s="699" t="e">
        <f>'Mark-Expect'!R45</f>
        <v>#REF!</v>
      </c>
      <c r="S34" s="699" t="e">
        <f>'Mark-Expect'!S45</f>
        <v>#REF!</v>
      </c>
      <c r="T34" s="699" t="e">
        <f>'Mark-Expect'!T45</f>
        <v>#REF!</v>
      </c>
      <c r="U34" s="711">
        <v>16</v>
      </c>
    </row>
    <row r="35" spans="1:21">
      <c r="A35" s="683"/>
      <c r="B35" s="683" t="s">
        <v>860</v>
      </c>
      <c r="C35" s="683"/>
      <c r="D35" s="683"/>
      <c r="E35" s="683"/>
      <c r="F35" s="683"/>
      <c r="G35" s="683"/>
      <c r="H35" s="683"/>
      <c r="I35" s="683"/>
      <c r="J35" s="685"/>
      <c r="K35" s="685"/>
      <c r="L35" s="685"/>
      <c r="M35" s="685"/>
      <c r="N35" s="683"/>
      <c r="O35" s="700">
        <f>SUM(O32:O34)</f>
        <v>0</v>
      </c>
      <c r="P35" s="700" t="e">
        <f t="shared" ref="P35:T35" si="38">SUM(P32:P34)</f>
        <v>#REF!</v>
      </c>
      <c r="Q35" s="700" t="e">
        <f t="shared" si="38"/>
        <v>#REF!</v>
      </c>
      <c r="R35" s="700" t="e">
        <f t="shared" si="38"/>
        <v>#REF!</v>
      </c>
      <c r="S35" s="700" t="e">
        <f t="shared" si="38"/>
        <v>#REF!</v>
      </c>
      <c r="T35" s="700" t="e">
        <f t="shared" si="38"/>
        <v>#REF!</v>
      </c>
      <c r="U35" s="70">
        <f t="shared" ref="U35" si="39">U34+1</f>
        <v>17</v>
      </c>
    </row>
    <row r="36" spans="1:21">
      <c r="A36" s="683"/>
      <c r="B36" s="683"/>
      <c r="C36" s="683"/>
      <c r="D36" s="683"/>
      <c r="E36" s="683"/>
      <c r="F36" s="683"/>
      <c r="G36" s="683"/>
      <c r="H36" s="683"/>
      <c r="I36" s="683"/>
      <c r="J36" s="685"/>
      <c r="K36" s="685"/>
      <c r="L36" s="685"/>
      <c r="M36" s="685"/>
      <c r="N36" s="683"/>
      <c r="O36" s="687"/>
      <c r="P36" s="687"/>
      <c r="Q36" s="687"/>
      <c r="R36" s="687"/>
      <c r="S36" s="687"/>
      <c r="T36" s="687"/>
      <c r="U36" s="711">
        <v>17</v>
      </c>
    </row>
    <row r="37" spans="1:21">
      <c r="A37" s="683"/>
      <c r="B37" s="683" t="s">
        <v>858</v>
      </c>
      <c r="C37" s="683"/>
      <c r="D37" s="683"/>
      <c r="E37" s="683"/>
      <c r="F37" s="683"/>
      <c r="G37" s="683"/>
      <c r="H37" s="683"/>
      <c r="I37" s="683"/>
      <c r="J37" s="685"/>
      <c r="K37" s="685"/>
      <c r="L37" s="685"/>
      <c r="M37" s="685"/>
      <c r="N37" s="683"/>
      <c r="O37" s="700" t="e">
        <f>'Econ-Perf 2'!O88</f>
        <v>#REF!</v>
      </c>
      <c r="P37" s="700" t="e">
        <f>'Econ-Perf 2'!P88</f>
        <v>#REF!</v>
      </c>
      <c r="Q37" s="700" t="e">
        <f>'Econ-Perf 2'!Q88</f>
        <v>#REF!</v>
      </c>
      <c r="R37" s="700" t="e">
        <f>'Econ-Perf 2'!R88</f>
        <v>#REF!</v>
      </c>
      <c r="S37" s="700" t="e">
        <f>'Econ-Perf 2'!S88</f>
        <v>#REF!</v>
      </c>
      <c r="T37" s="700" t="e">
        <f>'Econ-Perf 2'!T88</f>
        <v>#REF!</v>
      </c>
      <c r="U37" s="70">
        <f t="shared" ref="U37" si="40">U36+1</f>
        <v>18</v>
      </c>
    </row>
    <row r="38" spans="1:21">
      <c r="A38" s="683"/>
      <c r="B38" s="683" t="s">
        <v>861</v>
      </c>
      <c r="C38" s="683"/>
      <c r="D38" s="683"/>
      <c r="E38" s="683"/>
      <c r="F38" s="683"/>
      <c r="G38" s="683"/>
      <c r="H38" s="683"/>
      <c r="I38" s="683"/>
      <c r="J38" s="685"/>
      <c r="K38" s="685"/>
      <c r="L38" s="685"/>
      <c r="M38" s="685"/>
      <c r="N38" s="683"/>
      <c r="O38" s="698" t="e">
        <f t="shared" ref="O38:T38" si="41">O23/O24</f>
        <v>#REF!</v>
      </c>
      <c r="P38" s="698" t="e">
        <f t="shared" si="41"/>
        <v>#REF!</v>
      </c>
      <c r="Q38" s="698" t="e">
        <f t="shared" si="41"/>
        <v>#REF!</v>
      </c>
      <c r="R38" s="698" t="e">
        <f t="shared" si="41"/>
        <v>#REF!</v>
      </c>
      <c r="S38" s="698" t="e">
        <f t="shared" si="41"/>
        <v>#REF!</v>
      </c>
      <c r="T38" s="698" t="e">
        <f t="shared" si="41"/>
        <v>#REF!</v>
      </c>
      <c r="U38" s="711">
        <v>18</v>
      </c>
    </row>
    <row r="39" spans="1:21">
      <c r="A39" s="683"/>
      <c r="B39" s="683" t="s">
        <v>862</v>
      </c>
      <c r="C39" s="701"/>
      <c r="D39" s="701"/>
      <c r="E39" s="701"/>
      <c r="F39" s="701"/>
      <c r="G39" s="701"/>
      <c r="H39" s="701"/>
      <c r="I39" s="701"/>
      <c r="J39" s="685"/>
      <c r="K39" s="685"/>
      <c r="L39" s="685"/>
      <c r="M39" s="685"/>
      <c r="N39" s="701"/>
      <c r="O39" s="714" t="e">
        <f t="shared" ref="O39:T39" si="42">O23/O20</f>
        <v>#REF!</v>
      </c>
      <c r="P39" s="714" t="e">
        <f t="shared" si="42"/>
        <v>#REF!</v>
      </c>
      <c r="Q39" s="714" t="e">
        <f t="shared" si="42"/>
        <v>#REF!</v>
      </c>
      <c r="R39" s="714" t="e">
        <f t="shared" si="42"/>
        <v>#REF!</v>
      </c>
      <c r="S39" s="714" t="e">
        <f t="shared" si="42"/>
        <v>#REF!</v>
      </c>
      <c r="T39" s="714" t="e">
        <f t="shared" si="42"/>
        <v>#REF!</v>
      </c>
      <c r="U39" s="70">
        <f t="shared" ref="U39" si="43">U38+1</f>
        <v>19</v>
      </c>
    </row>
    <row r="40" spans="1:21">
      <c r="A40" s="683"/>
      <c r="B40" s="683"/>
      <c r="C40" s="683"/>
      <c r="D40" s="683"/>
      <c r="E40" s="683"/>
      <c r="F40" s="683"/>
      <c r="G40" s="683"/>
      <c r="H40" s="683"/>
      <c r="I40" s="683"/>
      <c r="J40" s="685"/>
      <c r="K40" s="685"/>
      <c r="L40" s="685"/>
      <c r="M40" s="685"/>
      <c r="N40" s="683"/>
      <c r="O40" s="683"/>
      <c r="P40" s="683"/>
      <c r="Q40" s="683"/>
      <c r="R40" s="683"/>
      <c r="S40" s="683"/>
      <c r="T40" s="683"/>
      <c r="U40" s="711">
        <v>19</v>
      </c>
    </row>
    <row r="41" spans="1:21">
      <c r="A41" s="683"/>
      <c r="B41" s="685" t="s">
        <v>863</v>
      </c>
      <c r="C41" s="683"/>
      <c r="D41" s="683"/>
      <c r="E41" s="683"/>
      <c r="F41" s="683"/>
      <c r="G41" s="683"/>
      <c r="H41" s="683"/>
      <c r="I41" s="683"/>
      <c r="J41" s="685"/>
      <c r="K41" s="685"/>
      <c r="L41" s="685"/>
      <c r="M41" s="685"/>
      <c r="N41" s="693">
        <v>0</v>
      </c>
      <c r="O41" s="693">
        <v>0</v>
      </c>
      <c r="P41" s="693">
        <v>0</v>
      </c>
      <c r="Q41" s="693">
        <v>0</v>
      </c>
      <c r="R41" s="693">
        <v>0</v>
      </c>
      <c r="S41" s="693">
        <v>0</v>
      </c>
      <c r="T41" s="693">
        <v>0</v>
      </c>
      <c r="U41" s="70">
        <f t="shared" ref="U41" si="44">U40+1</f>
        <v>20</v>
      </c>
    </row>
    <row r="42" spans="1:21">
      <c r="A42" s="683"/>
      <c r="B42" s="685" t="s">
        <v>661</v>
      </c>
      <c r="C42" s="683"/>
      <c r="D42" s="683"/>
      <c r="E42" s="683"/>
      <c r="F42" s="683"/>
      <c r="G42" s="683"/>
      <c r="H42" s="683"/>
      <c r="I42" s="683"/>
      <c r="J42" s="685"/>
      <c r="K42" s="685"/>
      <c r="L42" s="685"/>
      <c r="M42" s="685"/>
      <c r="N42" s="697" t="e">
        <f>#REF!</f>
        <v>#REF!</v>
      </c>
      <c r="O42" s="697" t="e">
        <f>#REF!</f>
        <v>#REF!</v>
      </c>
      <c r="P42" s="697" t="e">
        <f>#REF!</f>
        <v>#REF!</v>
      </c>
      <c r="Q42" s="697" t="e">
        <f>#REF!</f>
        <v>#REF!</v>
      </c>
      <c r="R42" s="697" t="e">
        <f>#REF!</f>
        <v>#REF!</v>
      </c>
      <c r="S42" s="697" t="e">
        <f>#REF!</f>
        <v>#REF!</v>
      </c>
      <c r="T42" s="697" t="e">
        <f>#REF!</f>
        <v>#REF!</v>
      </c>
      <c r="U42" s="711">
        <v>20</v>
      </c>
    </row>
    <row r="43" spans="1:21">
      <c r="A43" s="683"/>
      <c r="B43" s="685"/>
      <c r="C43" s="683"/>
      <c r="D43" s="683"/>
      <c r="E43" s="683"/>
      <c r="F43" s="683"/>
      <c r="G43" s="683"/>
      <c r="H43" s="683"/>
      <c r="I43" s="683"/>
      <c r="J43" s="685"/>
      <c r="K43" s="685"/>
      <c r="L43" s="685"/>
      <c r="M43" s="685"/>
      <c r="N43" s="693">
        <v>0.19885817759877239</v>
      </c>
      <c r="O43" s="693">
        <v>-0.56087740288127175</v>
      </c>
      <c r="P43" s="693">
        <v>0.1797683412384716</v>
      </c>
      <c r="Q43" s="693">
        <v>-0.1839463294600138</v>
      </c>
      <c r="R43" s="693">
        <v>-5.112267748304572E-2</v>
      </c>
      <c r="S43" s="693">
        <v>-0.33588803287108371</v>
      </c>
      <c r="T43" s="693">
        <v>0.46322105361305349</v>
      </c>
      <c r="U43" s="70">
        <f t="shared" ref="U43" si="45">U42+1</f>
        <v>21</v>
      </c>
    </row>
    <row r="44" spans="1:21">
      <c r="A44" s="683"/>
      <c r="B44" s="685"/>
      <c r="C44" s="683"/>
      <c r="D44" s="683"/>
      <c r="E44" s="683"/>
      <c r="F44" s="683"/>
      <c r="G44" s="683"/>
      <c r="H44" s="683"/>
      <c r="I44" s="683"/>
      <c r="J44" s="685"/>
      <c r="K44" s="685"/>
      <c r="L44" s="685"/>
      <c r="M44" s="685"/>
      <c r="N44" s="693"/>
      <c r="O44" s="693"/>
      <c r="P44" s="693"/>
      <c r="Q44" s="693"/>
      <c r="R44" s="693"/>
      <c r="S44" s="693"/>
      <c r="T44" s="693"/>
      <c r="U44" s="711">
        <v>21</v>
      </c>
    </row>
    <row r="45" spans="1:21">
      <c r="A45" s="683"/>
      <c r="B45" s="685" t="s">
        <v>653</v>
      </c>
      <c r="C45" s="683"/>
      <c r="D45" s="683"/>
      <c r="E45" s="683"/>
      <c r="F45" s="683"/>
      <c r="G45" s="683"/>
      <c r="H45" s="683"/>
      <c r="I45" s="683"/>
      <c r="J45" s="685"/>
      <c r="K45" s="685"/>
      <c r="L45" s="685"/>
      <c r="M45" s="685"/>
      <c r="N45" s="712">
        <f t="shared" ref="N45:R45" si="46">O45+1</f>
        <v>7</v>
      </c>
      <c r="O45" s="712">
        <f t="shared" si="46"/>
        <v>6</v>
      </c>
      <c r="P45" s="712">
        <f t="shared" si="46"/>
        <v>5</v>
      </c>
      <c r="Q45" s="712">
        <f t="shared" si="46"/>
        <v>4</v>
      </c>
      <c r="R45" s="712">
        <f t="shared" si="46"/>
        <v>3</v>
      </c>
      <c r="S45" s="712">
        <f>T45+1</f>
        <v>2</v>
      </c>
      <c r="T45" s="712">
        <v>1</v>
      </c>
      <c r="U45" s="70">
        <f t="shared" ref="U45" si="47">U44+1</f>
        <v>22</v>
      </c>
    </row>
    <row r="46" spans="1:21">
      <c r="A46" s="683"/>
      <c r="B46" s="685" t="s">
        <v>864</v>
      </c>
      <c r="C46" s="683"/>
      <c r="D46" s="683"/>
      <c r="E46" s="683"/>
      <c r="F46" s="683"/>
      <c r="G46" s="683"/>
      <c r="H46" s="683"/>
      <c r="I46" s="683"/>
      <c r="J46" s="685"/>
      <c r="K46" s="685"/>
      <c r="L46" s="685"/>
      <c r="M46" s="685"/>
      <c r="N46" s="693">
        <v>0</v>
      </c>
      <c r="O46" s="693">
        <v>0</v>
      </c>
      <c r="P46" s="693">
        <v>0</v>
      </c>
      <c r="Q46" s="693">
        <v>0</v>
      </c>
      <c r="R46" s="693">
        <v>0</v>
      </c>
      <c r="S46" s="693">
        <v>0</v>
      </c>
      <c r="T46" s="693">
        <v>0</v>
      </c>
      <c r="U46" s="711">
        <v>22</v>
      </c>
    </row>
    <row r="47" spans="1:21">
      <c r="A47" s="683"/>
      <c r="B47" s="683"/>
      <c r="C47" s="683"/>
      <c r="D47" s="683"/>
      <c r="E47" s="683"/>
      <c r="F47" s="683"/>
      <c r="G47" s="683"/>
      <c r="H47" s="683"/>
      <c r="I47" s="683"/>
      <c r="J47" s="685"/>
      <c r="K47" s="685"/>
      <c r="L47" s="685"/>
      <c r="M47" s="685"/>
      <c r="N47" s="683"/>
      <c r="O47" s="683"/>
      <c r="P47" s="683"/>
      <c r="Q47" s="683"/>
      <c r="R47" s="683"/>
      <c r="S47" s="683"/>
      <c r="T47" s="683"/>
      <c r="U47" s="70">
        <f t="shared" ref="U47" si="48">U46+1</f>
        <v>23</v>
      </c>
    </row>
    <row r="48" spans="1:21">
      <c r="A48" s="683"/>
      <c r="B48" s="683" t="s">
        <v>654</v>
      </c>
      <c r="C48" s="683"/>
      <c r="D48" s="683"/>
      <c r="E48" s="683"/>
      <c r="F48" s="683"/>
      <c r="G48" s="683"/>
      <c r="H48" s="683"/>
      <c r="I48" s="683" t="s">
        <v>631</v>
      </c>
      <c r="J48" s="685"/>
      <c r="K48" s="685"/>
      <c r="L48" s="685"/>
      <c r="M48" s="685"/>
      <c r="N48" s="702" t="e">
        <f>#REF!</f>
        <v>#REF!</v>
      </c>
      <c r="O48" s="702" t="e">
        <f>#REF!</f>
        <v>#REF!</v>
      </c>
      <c r="P48" s="702" t="e">
        <f>#REF!</f>
        <v>#REF!</v>
      </c>
      <c r="Q48" s="702" t="e">
        <f>#REF!</f>
        <v>#REF!</v>
      </c>
      <c r="R48" s="702" t="e">
        <f>#REF!</f>
        <v>#REF!</v>
      </c>
      <c r="S48" s="702" t="e">
        <f>#REF!</f>
        <v>#REF!</v>
      </c>
      <c r="T48" s="702" t="e">
        <f>#REF!</f>
        <v>#REF!</v>
      </c>
      <c r="U48" s="711">
        <v>23</v>
      </c>
    </row>
    <row r="49" spans="1:21">
      <c r="A49" s="683"/>
      <c r="B49" s="683"/>
      <c r="C49" s="683"/>
      <c r="D49" s="683"/>
      <c r="E49" s="683"/>
      <c r="F49" s="683"/>
      <c r="G49" s="683"/>
      <c r="H49" s="683"/>
      <c r="I49" s="683"/>
      <c r="J49" s="685"/>
      <c r="K49" s="685"/>
      <c r="L49" s="685"/>
      <c r="M49" s="685"/>
      <c r="N49" s="702"/>
      <c r="O49" s="702"/>
      <c r="P49" s="702"/>
      <c r="Q49" s="702"/>
      <c r="R49" s="702"/>
      <c r="S49" s="702"/>
      <c r="T49" s="702"/>
      <c r="U49" s="70">
        <f t="shared" ref="U49" si="49">U48+1</f>
        <v>24</v>
      </c>
    </row>
    <row r="50" spans="1:21">
      <c r="A50" s="683"/>
      <c r="B50" s="683" t="s">
        <v>865</v>
      </c>
      <c r="C50" s="683"/>
      <c r="D50" s="683"/>
      <c r="E50" s="683"/>
      <c r="F50" s="683"/>
      <c r="G50" s="683"/>
      <c r="H50" s="683"/>
      <c r="I50" s="683"/>
      <c r="J50" s="685"/>
      <c r="K50" s="685"/>
      <c r="L50" s="685"/>
      <c r="M50" s="685"/>
      <c r="N50" s="702"/>
      <c r="O50" s="715" t="e">
        <f t="shared" ref="O50:T50" si="50">O17/O20</f>
        <v>#REF!</v>
      </c>
      <c r="P50" s="715" t="e">
        <f t="shared" si="50"/>
        <v>#REF!</v>
      </c>
      <c r="Q50" s="715" t="e">
        <f t="shared" si="50"/>
        <v>#REF!</v>
      </c>
      <c r="R50" s="715" t="e">
        <f t="shared" si="50"/>
        <v>#REF!</v>
      </c>
      <c r="S50" s="715" t="e">
        <f t="shared" si="50"/>
        <v>#REF!</v>
      </c>
      <c r="T50" s="715" t="e">
        <f t="shared" si="50"/>
        <v>#REF!</v>
      </c>
      <c r="U50" s="711">
        <v>24</v>
      </c>
    </row>
    <row r="51" spans="1:21">
      <c r="A51" s="683"/>
      <c r="B51" s="683"/>
      <c r="C51" s="683"/>
      <c r="D51" s="683"/>
      <c r="E51" s="683"/>
      <c r="F51" s="683"/>
      <c r="G51" s="683"/>
      <c r="H51" s="683"/>
      <c r="I51" s="683"/>
      <c r="J51" s="685"/>
      <c r="K51" s="685"/>
      <c r="L51" s="685"/>
      <c r="M51" s="685"/>
      <c r="N51" s="702"/>
      <c r="O51" s="702"/>
      <c r="P51" s="702"/>
      <c r="Q51" s="702"/>
      <c r="R51" s="702"/>
      <c r="S51" s="702"/>
      <c r="T51" s="702"/>
      <c r="U51" s="70">
        <f t="shared" ref="U51" si="51">U50+1</f>
        <v>25</v>
      </c>
    </row>
    <row r="52" spans="1:21">
      <c r="A52" s="683"/>
      <c r="B52" s="683" t="s">
        <v>607</v>
      </c>
      <c r="C52" s="683"/>
      <c r="D52" s="683"/>
      <c r="E52" s="683"/>
      <c r="F52" s="683"/>
      <c r="G52" s="683"/>
      <c r="H52" s="683"/>
      <c r="I52" s="692" t="s">
        <v>554</v>
      </c>
      <c r="J52" s="685"/>
      <c r="K52" s="685"/>
      <c r="L52" s="685"/>
      <c r="M52" s="685"/>
      <c r="N52" s="685"/>
      <c r="O52" s="687" t="e">
        <f t="shared" ref="O52:T52" si="52">O6</f>
        <v>#REF!</v>
      </c>
      <c r="P52" s="687" t="e">
        <f t="shared" si="52"/>
        <v>#REF!</v>
      </c>
      <c r="Q52" s="687" t="e">
        <f t="shared" si="52"/>
        <v>#REF!</v>
      </c>
      <c r="R52" s="687" t="e">
        <f t="shared" si="52"/>
        <v>#REF!</v>
      </c>
      <c r="S52" s="687" t="e">
        <f t="shared" si="52"/>
        <v>#REF!</v>
      </c>
      <c r="T52" s="687" t="e">
        <f t="shared" si="52"/>
        <v>#REF!</v>
      </c>
      <c r="U52" s="711">
        <v>25</v>
      </c>
    </row>
    <row r="53" spans="1:21">
      <c r="A53" s="683"/>
      <c r="B53" s="683" t="s">
        <v>866</v>
      </c>
      <c r="C53" s="683"/>
      <c r="D53" s="683"/>
      <c r="E53" s="683"/>
      <c r="F53" s="683"/>
      <c r="G53" s="683"/>
      <c r="H53" s="683"/>
      <c r="I53" s="702"/>
      <c r="J53" s="685"/>
      <c r="K53" s="685"/>
      <c r="L53" s="685"/>
      <c r="M53" s="685"/>
      <c r="N53" s="685"/>
      <c r="O53" s="703" t="e">
        <f t="shared" ref="O53:T53" si="53">O23/O52</f>
        <v>#REF!</v>
      </c>
      <c r="P53" s="703" t="e">
        <f t="shared" si="53"/>
        <v>#REF!</v>
      </c>
      <c r="Q53" s="703" t="e">
        <f t="shared" si="53"/>
        <v>#REF!</v>
      </c>
      <c r="R53" s="703" t="e">
        <f t="shared" si="53"/>
        <v>#REF!</v>
      </c>
      <c r="S53" s="703" t="e">
        <f t="shared" si="53"/>
        <v>#REF!</v>
      </c>
      <c r="T53" s="703" t="e">
        <f t="shared" si="53"/>
        <v>#REF!</v>
      </c>
      <c r="U53" s="70">
        <f t="shared" ref="U53" si="54">U52+1</f>
        <v>26</v>
      </c>
    </row>
    <row r="54" spans="1:21">
      <c r="A54" s="683"/>
      <c r="B54" s="683"/>
      <c r="C54" s="683"/>
      <c r="D54" s="683"/>
      <c r="E54" s="683"/>
      <c r="F54" s="683"/>
      <c r="G54" s="683"/>
      <c r="H54" s="683"/>
      <c r="I54" s="702"/>
      <c r="J54" s="685"/>
      <c r="K54" s="685"/>
      <c r="L54" s="685"/>
      <c r="M54" s="685"/>
      <c r="N54" s="685"/>
      <c r="O54" s="703"/>
      <c r="P54" s="703"/>
      <c r="Q54" s="703"/>
      <c r="R54" s="703"/>
      <c r="S54" s="703"/>
      <c r="T54" s="703"/>
      <c r="U54" s="711">
        <v>26</v>
      </c>
    </row>
    <row r="55" spans="1:21">
      <c r="A55" s="683"/>
      <c r="B55" s="683" t="s">
        <v>748</v>
      </c>
      <c r="C55" s="683"/>
      <c r="D55" s="683"/>
      <c r="E55" s="683"/>
      <c r="F55" s="683"/>
      <c r="G55" s="683"/>
      <c r="H55" s="683"/>
      <c r="I55" s="684"/>
      <c r="J55" s="685"/>
      <c r="K55" s="685"/>
      <c r="L55" s="685"/>
      <c r="M55" s="685"/>
      <c r="N55" s="685"/>
      <c r="O55" s="716"/>
      <c r="P55" s="716"/>
      <c r="Q55" s="716"/>
      <c r="R55" s="716"/>
      <c r="S55" s="717" t="e">
        <f>S52/' 11-BU Perf'!#REF!</f>
        <v>#REF!</v>
      </c>
      <c r="T55" s="717" t="e">
        <f>T52/' 11-BU Perf'!#REF!</f>
        <v>#REF!</v>
      </c>
      <c r="U55" s="70">
        <f t="shared" ref="U55" si="55">U54+1</f>
        <v>27</v>
      </c>
    </row>
    <row r="56" spans="1:21">
      <c r="A56" s="683"/>
      <c r="B56" s="683"/>
      <c r="C56" s="683"/>
      <c r="D56" s="683"/>
      <c r="E56" s="683"/>
      <c r="F56" s="683"/>
      <c r="G56" s="683"/>
      <c r="H56" s="683"/>
      <c r="I56" s="702"/>
      <c r="J56" s="685"/>
      <c r="K56" s="685"/>
      <c r="L56" s="685"/>
      <c r="M56" s="685"/>
      <c r="N56" s="685"/>
      <c r="O56" s="702"/>
      <c r="P56" s="702"/>
      <c r="Q56" s="702"/>
      <c r="R56" s="702"/>
      <c r="S56" s="702"/>
      <c r="T56" s="702"/>
      <c r="U56" s="711">
        <v>27</v>
      </c>
    </row>
    <row r="57" spans="1:21">
      <c r="A57" s="683"/>
      <c r="B57" s="683" t="s">
        <v>867</v>
      </c>
      <c r="C57" s="683"/>
      <c r="D57" s="683"/>
      <c r="E57" s="683"/>
      <c r="F57" s="683"/>
      <c r="G57" s="683"/>
      <c r="H57" s="683"/>
      <c r="I57" s="702"/>
      <c r="J57" s="685"/>
      <c r="K57" s="685"/>
      <c r="L57" s="685"/>
      <c r="M57" s="685"/>
      <c r="N57" s="685"/>
      <c r="O57" s="718"/>
      <c r="P57" s="718"/>
      <c r="Q57" s="718"/>
      <c r="R57" s="718"/>
      <c r="S57" s="718"/>
      <c r="T57" s="718"/>
      <c r="U57" s="70">
        <f t="shared" ref="U57" si="56">U56+1</f>
        <v>28</v>
      </c>
    </row>
    <row r="58" spans="1:21">
      <c r="A58" s="683"/>
      <c r="B58" s="683" t="s">
        <v>868</v>
      </c>
      <c r="C58" s="683"/>
      <c r="D58" s="683"/>
      <c r="E58" s="683"/>
      <c r="F58" s="683"/>
      <c r="G58" s="683"/>
      <c r="H58" s="683"/>
      <c r="I58" s="702"/>
      <c r="J58" s="685"/>
      <c r="K58" s="685"/>
      <c r="L58" s="685"/>
      <c r="M58" s="685"/>
      <c r="N58" s="685"/>
      <c r="O58" s="589"/>
      <c r="P58" s="589"/>
      <c r="Q58" s="589"/>
      <c r="R58" s="589"/>
      <c r="S58" s="589"/>
      <c r="T58" s="589"/>
      <c r="U58" s="711">
        <v>28</v>
      </c>
    </row>
    <row r="59" spans="1:21">
      <c r="A59" s="683"/>
      <c r="B59" s="683"/>
      <c r="C59" s="683"/>
      <c r="D59" s="683"/>
      <c r="E59" s="683"/>
      <c r="F59" s="683"/>
      <c r="G59" s="683"/>
      <c r="H59" s="683"/>
      <c r="I59" s="702"/>
      <c r="J59" s="685"/>
      <c r="K59" s="685"/>
      <c r="L59" s="685"/>
      <c r="M59" s="685"/>
      <c r="N59" s="685"/>
      <c r="O59" s="702"/>
      <c r="P59" s="702"/>
      <c r="Q59" s="702"/>
      <c r="R59" s="702"/>
      <c r="S59" s="702"/>
      <c r="T59" s="702"/>
      <c r="U59" s="70">
        <f t="shared" ref="U59" si="57">U58+1</f>
        <v>29</v>
      </c>
    </row>
    <row r="60" spans="1:21">
      <c r="A60" s="683"/>
      <c r="B60" s="683" t="s">
        <v>700</v>
      </c>
      <c r="C60" s="683"/>
      <c r="D60" s="683"/>
      <c r="E60" s="683"/>
      <c r="F60" s="683"/>
      <c r="G60" s="683"/>
      <c r="H60" s="683"/>
      <c r="I60" s="684"/>
      <c r="J60" s="685"/>
      <c r="K60" s="685"/>
      <c r="L60" s="685"/>
      <c r="M60" s="685"/>
      <c r="N60" s="685"/>
      <c r="O60" s="703" t="e">
        <f>' 11-BU Perf'!#REF!</f>
        <v>#REF!</v>
      </c>
      <c r="P60" s="703" t="e">
        <f>' 11-BU Perf'!#REF!</f>
        <v>#REF!</v>
      </c>
      <c r="Q60" s="703" t="e">
        <f>' 11-BU Perf'!#REF!</f>
        <v>#REF!</v>
      </c>
      <c r="R60" s="703" t="e">
        <f>' 11-BU Perf'!#REF!</f>
        <v>#REF!</v>
      </c>
      <c r="S60" s="703" t="e">
        <f>' 11-BU Perf'!#REF!</f>
        <v>#REF!</v>
      </c>
      <c r="T60" s="703" t="e">
        <f>' 11-BU Perf'!#REF!</f>
        <v>#REF!</v>
      </c>
      <c r="U60" s="711">
        <v>29</v>
      </c>
    </row>
    <row r="61" spans="1:21">
      <c r="A61" s="683"/>
      <c r="B61" s="683" t="s">
        <v>869</v>
      </c>
      <c r="C61" s="683"/>
      <c r="D61" s="683"/>
      <c r="E61" s="683"/>
      <c r="F61" s="683"/>
      <c r="G61" s="683"/>
      <c r="H61" s="683"/>
      <c r="I61" s="692"/>
      <c r="J61" s="685"/>
      <c r="K61" s="685"/>
      <c r="L61" s="685"/>
      <c r="M61" s="685"/>
      <c r="N61" s="685"/>
      <c r="O61" s="687"/>
      <c r="P61" s="687"/>
      <c r="Q61" s="687"/>
      <c r="R61" s="687"/>
      <c r="S61" s="687"/>
      <c r="T61" s="687"/>
      <c r="U61" s="70">
        <f t="shared" ref="U61" si="58">U60+1</f>
        <v>30</v>
      </c>
    </row>
    <row r="62" spans="1:21">
      <c r="A62" s="683"/>
      <c r="B62" s="683" t="s">
        <v>671</v>
      </c>
      <c r="C62" s="683"/>
      <c r="D62" s="683"/>
      <c r="E62" s="683"/>
      <c r="F62" s="683"/>
      <c r="G62" s="683"/>
      <c r="H62" s="683"/>
      <c r="I62" s="692" t="s">
        <v>554</v>
      </c>
      <c r="J62" s="685"/>
      <c r="K62" s="685"/>
      <c r="L62" s="685"/>
      <c r="M62" s="685"/>
      <c r="N62" s="685"/>
      <c r="O62" s="719"/>
      <c r="P62" s="719"/>
      <c r="Q62" s="719"/>
      <c r="R62" s="719"/>
      <c r="S62" s="720" t="e">
        <f>S17/S60</f>
        <v>#REF!</v>
      </c>
      <c r="T62" s="720" t="e">
        <f>T17/T60</f>
        <v>#REF!</v>
      </c>
      <c r="U62" s="711">
        <v>30</v>
      </c>
    </row>
    <row r="63" spans="1:21">
      <c r="A63" s="683"/>
      <c r="B63" s="683" t="s">
        <v>707</v>
      </c>
      <c r="C63" s="683"/>
      <c r="D63" s="683"/>
      <c r="E63" s="683"/>
      <c r="F63" s="683"/>
      <c r="G63" s="683"/>
      <c r="H63" s="683"/>
      <c r="I63" s="692" t="s">
        <v>554</v>
      </c>
      <c r="J63" s="685"/>
      <c r="K63" s="685"/>
      <c r="L63" s="685"/>
      <c r="M63" s="685"/>
      <c r="N63" s="685"/>
      <c r="O63" s="687"/>
      <c r="P63" s="687"/>
      <c r="Q63" s="687"/>
      <c r="R63" s="687"/>
      <c r="S63" s="687"/>
      <c r="T63" s="687"/>
      <c r="U63" s="70">
        <f t="shared" ref="U63" si="59">U62+1</f>
        <v>31</v>
      </c>
    </row>
    <row r="64" spans="1:21">
      <c r="A64" s="683"/>
      <c r="B64" s="683"/>
      <c r="C64" s="683"/>
      <c r="D64" s="683"/>
      <c r="E64" s="683"/>
      <c r="F64" s="683"/>
      <c r="G64" s="683"/>
      <c r="H64" s="683"/>
      <c r="I64" s="702"/>
      <c r="J64" s="685"/>
      <c r="K64" s="685"/>
      <c r="L64" s="685"/>
      <c r="M64" s="685"/>
      <c r="N64" s="685"/>
      <c r="O64" s="702"/>
      <c r="P64" s="702"/>
      <c r="Q64" s="702"/>
      <c r="R64" s="702"/>
      <c r="S64" s="702"/>
      <c r="T64" s="702"/>
      <c r="U64" s="711">
        <v>31</v>
      </c>
    </row>
    <row r="65" spans="1:21">
      <c r="A65" s="683"/>
      <c r="B65" s="683" t="s">
        <v>870</v>
      </c>
      <c r="C65" s="683"/>
      <c r="D65" s="683"/>
      <c r="E65" s="683"/>
      <c r="F65" s="683"/>
      <c r="G65" s="683"/>
      <c r="H65" s="683"/>
      <c r="I65" s="692" t="s">
        <v>554</v>
      </c>
      <c r="J65" s="685"/>
      <c r="K65" s="685"/>
      <c r="L65" s="685"/>
      <c r="M65" s="685"/>
      <c r="N65" s="685"/>
      <c r="O65" s="693"/>
      <c r="P65" s="693"/>
      <c r="Q65" s="693"/>
      <c r="R65" s="693"/>
      <c r="S65" s="693">
        <f>'Econ-Perf 2'!S78</f>
        <v>0</v>
      </c>
      <c r="T65" s="693">
        <f>'Econ-Perf 2'!T78</f>
        <v>0</v>
      </c>
      <c r="U65" s="70">
        <f t="shared" ref="U65" si="60">U64+1</f>
        <v>32</v>
      </c>
    </row>
    <row r="66" spans="1:21">
      <c r="A66" s="683"/>
      <c r="B66" s="683" t="s">
        <v>660</v>
      </c>
      <c r="C66" s="683"/>
      <c r="D66" s="683"/>
      <c r="E66" s="683"/>
      <c r="F66" s="683"/>
      <c r="G66" s="683"/>
      <c r="H66" s="683"/>
      <c r="I66" s="692" t="s">
        <v>554</v>
      </c>
      <c r="J66" s="685"/>
      <c r="K66" s="685"/>
      <c r="L66" s="685"/>
      <c r="M66" s="685"/>
      <c r="N66" s="685"/>
      <c r="O66" s="687" t="e">
        <f>#REF!</f>
        <v>#REF!</v>
      </c>
      <c r="P66" s="687" t="e">
        <f>#REF!</f>
        <v>#REF!</v>
      </c>
      <c r="Q66" s="687" t="e">
        <f>#REF!</f>
        <v>#REF!</v>
      </c>
      <c r="R66" s="687" t="e">
        <f>#REF!</f>
        <v>#REF!</v>
      </c>
      <c r="S66" s="687" t="e">
        <f>#REF!</f>
        <v>#REF!</v>
      </c>
      <c r="T66" s="687" t="e">
        <f>#REF!</f>
        <v>#REF!</v>
      </c>
      <c r="U66" s="711">
        <v>32</v>
      </c>
    </row>
    <row r="67" spans="1:21">
      <c r="A67" s="683"/>
      <c r="B67" s="683" t="s">
        <v>660</v>
      </c>
      <c r="C67" s="683"/>
      <c r="D67" s="683"/>
      <c r="E67" s="683"/>
      <c r="F67" s="683"/>
      <c r="G67" s="683"/>
      <c r="H67" s="683"/>
      <c r="I67" s="702"/>
      <c r="J67" s="685"/>
      <c r="K67" s="685"/>
      <c r="L67" s="685"/>
      <c r="M67" s="685"/>
      <c r="N67" s="685"/>
      <c r="O67" s="693" t="e">
        <f>'Econ-Perf 2'!O96</f>
        <v>#REF!</v>
      </c>
      <c r="P67" s="693" t="e">
        <f>'Econ-Perf 2'!P96</f>
        <v>#REF!</v>
      </c>
      <c r="Q67" s="693" t="e">
        <f>'Econ-Perf 2'!Q96</f>
        <v>#REF!</v>
      </c>
      <c r="R67" s="693" t="e">
        <f>'Econ-Perf 2'!R96</f>
        <v>#REF!</v>
      </c>
      <c r="S67" s="693" t="e">
        <f>'Econ-Perf 2'!S96</f>
        <v>#REF!</v>
      </c>
      <c r="T67" s="693" t="e">
        <f>'Econ-Perf 2'!T96</f>
        <v>#REF!</v>
      </c>
      <c r="U67" s="70">
        <f t="shared" ref="U67" si="61">U66+1</f>
        <v>33</v>
      </c>
    </row>
    <row r="68" spans="1:21">
      <c r="A68" s="683"/>
      <c r="B68" s="683"/>
      <c r="C68" s="683"/>
      <c r="D68" s="683"/>
      <c r="E68" s="683"/>
      <c r="F68" s="683"/>
      <c r="G68" s="683"/>
      <c r="H68" s="683"/>
      <c r="I68" s="702"/>
      <c r="J68" s="685"/>
      <c r="K68" s="685"/>
      <c r="L68" s="685"/>
      <c r="M68" s="685"/>
      <c r="N68" s="685"/>
      <c r="O68" s="702"/>
      <c r="P68" s="702"/>
      <c r="Q68" s="702"/>
      <c r="R68" s="702"/>
      <c r="S68" s="702"/>
      <c r="T68" s="702"/>
      <c r="U68" s="711">
        <v>33</v>
      </c>
    </row>
    <row r="69" spans="1:21">
      <c r="A69" s="683"/>
      <c r="B69" s="683" t="s">
        <v>557</v>
      </c>
      <c r="C69" s="683"/>
      <c r="D69" s="683"/>
      <c r="E69" s="683"/>
      <c r="F69" s="683"/>
      <c r="G69" s="683"/>
      <c r="H69" s="683"/>
      <c r="I69" s="692" t="s">
        <v>554</v>
      </c>
      <c r="J69" s="685"/>
      <c r="K69" s="685"/>
      <c r="L69" s="685"/>
      <c r="M69" s="685"/>
      <c r="N69" s="685"/>
      <c r="O69" s="687" t="e">
        <f>#REF!</f>
        <v>#REF!</v>
      </c>
      <c r="P69" s="687" t="e">
        <f>#REF!</f>
        <v>#REF!</v>
      </c>
      <c r="Q69" s="687" t="e">
        <f>#REF!</f>
        <v>#REF!</v>
      </c>
      <c r="R69" s="687" t="e">
        <f>#REF!</f>
        <v>#REF!</v>
      </c>
      <c r="S69" s="687" t="e">
        <f>#REF!</f>
        <v>#REF!</v>
      </c>
      <c r="T69" s="687" t="e">
        <f>#REF!</f>
        <v>#REF!</v>
      </c>
      <c r="U69" s="70">
        <f t="shared" ref="U69" si="62">U68+1</f>
        <v>34</v>
      </c>
    </row>
    <row r="70" spans="1:21">
      <c r="A70" s="683"/>
      <c r="B70" s="683" t="s">
        <v>871</v>
      </c>
      <c r="C70" s="683"/>
      <c r="D70" s="683"/>
      <c r="E70" s="683"/>
      <c r="F70" s="683"/>
      <c r="G70" s="683"/>
      <c r="H70" s="683"/>
      <c r="I70" s="702"/>
      <c r="J70" s="685"/>
      <c r="K70" s="685"/>
      <c r="L70" s="685"/>
      <c r="M70" s="685"/>
      <c r="N70" s="685"/>
      <c r="O70" s="693" t="e">
        <f t="shared" ref="O70:T70" si="63">O69/O17</f>
        <v>#REF!</v>
      </c>
      <c r="P70" s="693" t="e">
        <f t="shared" si="63"/>
        <v>#REF!</v>
      </c>
      <c r="Q70" s="693" t="e">
        <f t="shared" si="63"/>
        <v>#REF!</v>
      </c>
      <c r="R70" s="693" t="e">
        <f t="shared" si="63"/>
        <v>#REF!</v>
      </c>
      <c r="S70" s="693" t="e">
        <f t="shared" si="63"/>
        <v>#REF!</v>
      </c>
      <c r="T70" s="693" t="e">
        <f t="shared" si="63"/>
        <v>#REF!</v>
      </c>
      <c r="U70" s="711">
        <v>34</v>
      </c>
    </row>
    <row r="71" spans="1:21">
      <c r="A71" s="683"/>
      <c r="B71" s="683" t="s">
        <v>688</v>
      </c>
      <c r="C71" s="683"/>
      <c r="D71" s="683"/>
      <c r="E71" s="683"/>
      <c r="F71" s="683"/>
      <c r="G71" s="683"/>
      <c r="H71" s="683"/>
      <c r="I71" s="692" t="s">
        <v>554</v>
      </c>
      <c r="J71" s="685"/>
      <c r="K71" s="685"/>
      <c r="L71" s="685"/>
      <c r="M71" s="685"/>
      <c r="N71" s="685"/>
      <c r="O71" s="716"/>
      <c r="P71" s="716"/>
      <c r="Q71" s="716"/>
      <c r="R71" s="716"/>
      <c r="S71" s="702" t="e">
        <f t="shared" ref="S71:T71" si="64">S69/S60</f>
        <v>#REF!</v>
      </c>
      <c r="T71" s="702" t="e">
        <f t="shared" si="64"/>
        <v>#REF!</v>
      </c>
      <c r="U71" s="70">
        <f t="shared" ref="U71" si="65">U70+1</f>
        <v>35</v>
      </c>
    </row>
    <row r="72" spans="1:21">
      <c r="A72" s="683"/>
      <c r="B72" s="683" t="s">
        <v>872</v>
      </c>
      <c r="C72" s="683"/>
      <c r="D72" s="683"/>
      <c r="E72" s="683"/>
      <c r="F72" s="683"/>
      <c r="G72" s="683"/>
      <c r="H72" s="683"/>
      <c r="I72" s="684" t="s">
        <v>631</v>
      </c>
      <c r="J72" s="685"/>
      <c r="K72" s="685"/>
      <c r="L72" s="685"/>
      <c r="M72" s="685"/>
      <c r="N72" s="685"/>
      <c r="O72" s="686"/>
      <c r="P72" s="686"/>
      <c r="Q72" s="686"/>
      <c r="R72" s="686"/>
      <c r="S72" s="686"/>
      <c r="T72" s="686"/>
      <c r="U72" s="711">
        <v>35</v>
      </c>
    </row>
    <row r="73" spans="1:21">
      <c r="A73" s="683"/>
      <c r="B73" s="683"/>
      <c r="C73" s="683"/>
      <c r="D73" s="683"/>
      <c r="E73" s="683"/>
      <c r="F73" s="683"/>
      <c r="G73" s="683"/>
      <c r="H73" s="683"/>
      <c r="I73" s="702"/>
      <c r="J73" s="685"/>
      <c r="K73" s="685"/>
      <c r="L73" s="685"/>
      <c r="M73" s="685"/>
      <c r="N73" s="685"/>
      <c r="O73" s="686"/>
      <c r="P73" s="686"/>
      <c r="Q73" s="686"/>
      <c r="R73" s="686"/>
      <c r="S73" s="686"/>
      <c r="T73" s="686"/>
      <c r="U73" s="70">
        <f t="shared" ref="U73" si="66">U72+1</f>
        <v>36</v>
      </c>
    </row>
    <row r="74" spans="1:21">
      <c r="A74" s="683"/>
      <c r="B74" s="696" t="s">
        <v>873</v>
      </c>
      <c r="C74" s="683"/>
      <c r="D74" s="683"/>
      <c r="E74" s="683"/>
      <c r="F74" s="683"/>
      <c r="G74" s="683"/>
      <c r="H74" s="683"/>
      <c r="I74" s="702"/>
      <c r="J74" s="685"/>
      <c r="K74" s="685"/>
      <c r="L74" s="685"/>
      <c r="M74" s="685"/>
      <c r="N74" s="685"/>
      <c r="O74" s="686"/>
      <c r="P74" s="686"/>
      <c r="Q74" s="686"/>
      <c r="R74" s="686"/>
      <c r="S74" s="686"/>
      <c r="T74" s="686"/>
      <c r="U74" s="711">
        <v>36</v>
      </c>
    </row>
    <row r="75" spans="1:21">
      <c r="A75" s="683"/>
      <c r="B75" s="683" t="s">
        <v>860</v>
      </c>
      <c r="C75" s="683"/>
      <c r="D75" s="683"/>
      <c r="E75" s="683"/>
      <c r="F75" s="683"/>
      <c r="G75" s="683"/>
      <c r="H75" s="683"/>
      <c r="I75" s="684" t="s">
        <v>631</v>
      </c>
      <c r="J75" s="685"/>
      <c r="K75" s="685"/>
      <c r="L75" s="685"/>
      <c r="M75" s="685"/>
      <c r="N75" s="685"/>
      <c r="O75" s="716"/>
      <c r="P75" s="716"/>
      <c r="Q75" s="716"/>
      <c r="R75" s="716"/>
      <c r="S75" s="702" t="e">
        <f>S24/S60</f>
        <v>#REF!</v>
      </c>
      <c r="T75" s="702" t="e">
        <f>T24/T60</f>
        <v>#REF!</v>
      </c>
      <c r="U75" s="70">
        <f t="shared" ref="U75" si="67">U74+1</f>
        <v>37</v>
      </c>
    </row>
    <row r="76" spans="1:21">
      <c r="A76" s="683"/>
      <c r="B76" s="683" t="s">
        <v>754</v>
      </c>
      <c r="C76" s="683"/>
      <c r="D76" s="683"/>
      <c r="E76" s="683"/>
      <c r="F76" s="683"/>
      <c r="G76" s="683"/>
      <c r="H76" s="683"/>
      <c r="I76" s="684" t="s">
        <v>631</v>
      </c>
      <c r="J76" s="685"/>
      <c r="K76" s="685"/>
      <c r="L76" s="685"/>
      <c r="M76" s="685"/>
      <c r="N76" s="685"/>
      <c r="O76" s="721"/>
      <c r="P76" s="721"/>
      <c r="Q76" s="721"/>
      <c r="R76" s="721"/>
      <c r="S76" s="722" t="e">
        <f>S23/S60</f>
        <v>#REF!</v>
      </c>
      <c r="T76" s="722" t="e">
        <f>T23/T60</f>
        <v>#REF!</v>
      </c>
      <c r="U76" s="711">
        <v>37</v>
      </c>
    </row>
    <row r="77" spans="1:21">
      <c r="A77" s="683"/>
      <c r="B77" s="683" t="s">
        <v>608</v>
      </c>
      <c r="C77" s="683"/>
      <c r="D77" s="683"/>
      <c r="E77" s="683"/>
      <c r="F77" s="683"/>
      <c r="G77" s="683"/>
      <c r="H77" s="683"/>
      <c r="I77" s="684" t="s">
        <v>631</v>
      </c>
      <c r="J77" s="685"/>
      <c r="K77" s="685"/>
      <c r="L77" s="685"/>
      <c r="M77" s="685"/>
      <c r="N77" s="685"/>
      <c r="O77" s="716"/>
      <c r="P77" s="716"/>
      <c r="Q77" s="716"/>
      <c r="R77" s="716"/>
      <c r="S77" s="718" t="e">
        <f>S20/S60</f>
        <v>#REF!</v>
      </c>
      <c r="T77" s="718" t="e">
        <f>T20/T60</f>
        <v>#REF!</v>
      </c>
      <c r="U77" s="70">
        <f t="shared" ref="U77" si="68">U76+1</f>
        <v>38</v>
      </c>
    </row>
    <row r="78" spans="1:21">
      <c r="A78" s="683"/>
      <c r="B78" s="683"/>
      <c r="C78" s="683"/>
      <c r="D78" s="683"/>
      <c r="E78" s="683"/>
      <c r="F78" s="683"/>
      <c r="G78" s="683"/>
      <c r="H78" s="683"/>
      <c r="I78" s="702"/>
      <c r="J78" s="685"/>
      <c r="K78" s="685"/>
      <c r="L78" s="685"/>
      <c r="M78" s="685"/>
      <c r="N78" s="685"/>
      <c r="O78" s="686"/>
      <c r="P78" s="686"/>
      <c r="Q78" s="686"/>
      <c r="R78" s="686"/>
      <c r="S78" s="723" t="e">
        <f>S75-S76</f>
        <v>#REF!</v>
      </c>
      <c r="T78" s="723" t="e">
        <f>T75-T76</f>
        <v>#REF!</v>
      </c>
      <c r="U78" s="711">
        <v>38</v>
      </c>
    </row>
    <row r="79" spans="1:21">
      <c r="A79" s="683"/>
      <c r="B79" s="683" t="s">
        <v>607</v>
      </c>
      <c r="C79" s="683"/>
      <c r="D79" s="683"/>
      <c r="E79" s="683"/>
      <c r="F79" s="683"/>
      <c r="G79" s="683"/>
      <c r="H79" s="683"/>
      <c r="I79" s="692" t="s">
        <v>554</v>
      </c>
      <c r="J79" s="685"/>
      <c r="K79" s="685"/>
      <c r="L79" s="685"/>
      <c r="M79" s="685"/>
      <c r="N79" s="685"/>
      <c r="O79" s="686" t="e">
        <f>O52</f>
        <v>#REF!</v>
      </c>
      <c r="P79" s="686" t="e">
        <f t="shared" ref="P79:T79" si="69">P52</f>
        <v>#REF!</v>
      </c>
      <c r="Q79" s="686" t="e">
        <f t="shared" si="69"/>
        <v>#REF!</v>
      </c>
      <c r="R79" s="686" t="e">
        <f t="shared" si="69"/>
        <v>#REF!</v>
      </c>
      <c r="S79" s="686" t="e">
        <f t="shared" si="69"/>
        <v>#REF!</v>
      </c>
      <c r="T79" s="686" t="e">
        <f t="shared" si="69"/>
        <v>#REF!</v>
      </c>
      <c r="U79" s="70">
        <f t="shared" ref="U79" si="70">U78+1</f>
        <v>39</v>
      </c>
    </row>
    <row r="80" spans="1:21">
      <c r="A80" s="683"/>
      <c r="B80" s="683" t="s">
        <v>380</v>
      </c>
      <c r="C80" s="683"/>
      <c r="D80" s="683"/>
      <c r="E80" s="683"/>
      <c r="F80" s="683"/>
      <c r="G80" s="683"/>
      <c r="H80" s="683"/>
      <c r="I80" s="692" t="s">
        <v>554</v>
      </c>
      <c r="J80" s="685"/>
      <c r="K80" s="685"/>
      <c r="L80" s="685"/>
      <c r="M80" s="685"/>
      <c r="N80" s="685"/>
      <c r="O80" s="704" t="e">
        <f>#REF!</f>
        <v>#REF!</v>
      </c>
      <c r="P80" s="704" t="e">
        <f>#REF!</f>
        <v>#REF!</v>
      </c>
      <c r="Q80" s="704" t="e">
        <f>#REF!</f>
        <v>#REF!</v>
      </c>
      <c r="R80" s="704" t="e">
        <f>#REF!</f>
        <v>#REF!</v>
      </c>
      <c r="S80" s="704" t="e">
        <f>#REF!</f>
        <v>#REF!</v>
      </c>
      <c r="T80" s="704" t="e">
        <f>#REF!</f>
        <v>#REF!</v>
      </c>
      <c r="U80" s="711">
        <v>39</v>
      </c>
    </row>
    <row r="81" spans="1:21">
      <c r="A81" s="683"/>
      <c r="B81" s="683" t="s">
        <v>659</v>
      </c>
      <c r="C81" s="683"/>
      <c r="D81" s="683"/>
      <c r="E81" s="683"/>
      <c r="F81" s="683"/>
      <c r="G81" s="683"/>
      <c r="H81" s="683"/>
      <c r="I81" s="692" t="s">
        <v>554</v>
      </c>
      <c r="J81" s="685"/>
      <c r="K81" s="685"/>
      <c r="L81" s="685"/>
      <c r="M81" s="685"/>
      <c r="N81" s="685"/>
      <c r="O81" s="686" t="e">
        <f>#REF!</f>
        <v>#REF!</v>
      </c>
      <c r="P81" s="686" t="e">
        <f>#REF!</f>
        <v>#REF!</v>
      </c>
      <c r="Q81" s="686" t="e">
        <f>#REF!</f>
        <v>#REF!</v>
      </c>
      <c r="R81" s="686" t="e">
        <f>#REF!</f>
        <v>#REF!</v>
      </c>
      <c r="S81" s="686" t="e">
        <f>#REF!</f>
        <v>#REF!</v>
      </c>
      <c r="T81" s="686" t="e">
        <f>#REF!</f>
        <v>#REF!</v>
      </c>
      <c r="U81" s="70">
        <f t="shared" ref="U81" si="71">U80+1</f>
        <v>40</v>
      </c>
    </row>
    <row r="82" spans="1:21">
      <c r="A82" s="683"/>
      <c r="B82" s="683"/>
      <c r="C82" s="683"/>
      <c r="D82" s="683"/>
      <c r="E82" s="683"/>
      <c r="F82" s="683"/>
      <c r="G82" s="683"/>
      <c r="H82" s="683"/>
      <c r="I82" s="702"/>
      <c r="J82" s="685"/>
      <c r="K82" s="685"/>
      <c r="L82" s="685"/>
      <c r="M82" s="685"/>
      <c r="N82" s="685"/>
      <c r="O82" s="686"/>
      <c r="P82" s="686"/>
      <c r="Q82" s="686"/>
      <c r="R82" s="686"/>
      <c r="S82" s="686"/>
      <c r="T82" s="686"/>
      <c r="U82" s="711">
        <v>40</v>
      </c>
    </row>
    <row r="83" spans="1:21">
      <c r="A83" s="683"/>
      <c r="B83" s="683" t="s">
        <v>380</v>
      </c>
      <c r="C83" s="683"/>
      <c r="D83" s="683"/>
      <c r="E83" s="683"/>
      <c r="F83" s="683"/>
      <c r="G83" s="683"/>
      <c r="H83" s="683"/>
      <c r="I83" s="692" t="s">
        <v>554</v>
      </c>
      <c r="J83" s="685"/>
      <c r="K83" s="685"/>
      <c r="L83" s="685"/>
      <c r="M83" s="685"/>
      <c r="N83" s="685"/>
      <c r="O83" s="686" t="e">
        <f>O80</f>
        <v>#REF!</v>
      </c>
      <c r="P83" s="686" t="e">
        <f t="shared" ref="P83:T83" si="72">P80</f>
        <v>#REF!</v>
      </c>
      <c r="Q83" s="686" t="e">
        <f t="shared" si="72"/>
        <v>#REF!</v>
      </c>
      <c r="R83" s="686" t="e">
        <f t="shared" si="72"/>
        <v>#REF!</v>
      </c>
      <c r="S83" s="686" t="e">
        <f t="shared" si="72"/>
        <v>#REF!</v>
      </c>
      <c r="T83" s="686" t="e">
        <f t="shared" si="72"/>
        <v>#REF!</v>
      </c>
      <c r="U83" s="70">
        <f t="shared" ref="U83" si="73">U82+1</f>
        <v>41</v>
      </c>
    </row>
    <row r="84" spans="1:21">
      <c r="A84" s="683"/>
      <c r="B84" s="683" t="s">
        <v>874</v>
      </c>
      <c r="C84" s="683"/>
      <c r="D84" s="683"/>
      <c r="E84" s="683"/>
      <c r="F84" s="683"/>
      <c r="G84" s="683"/>
      <c r="H84" s="683"/>
      <c r="I84" s="684" t="s">
        <v>631</v>
      </c>
      <c r="J84" s="685"/>
      <c r="K84" s="685"/>
      <c r="L84" s="685"/>
      <c r="M84" s="685"/>
      <c r="N84" s="685"/>
      <c r="O84" s="716"/>
      <c r="P84" s="716"/>
      <c r="Q84" s="716"/>
      <c r="R84" s="716"/>
      <c r="S84" s="702" t="e">
        <f t="shared" ref="S84:T84" si="74">S83/S60</f>
        <v>#REF!</v>
      </c>
      <c r="T84" s="702" t="e">
        <f t="shared" si="74"/>
        <v>#REF!</v>
      </c>
      <c r="U84" s="711">
        <v>41</v>
      </c>
    </row>
    <row r="85" spans="1:21">
      <c r="A85" s="683"/>
      <c r="B85" s="683"/>
      <c r="C85" s="683"/>
      <c r="D85" s="683"/>
      <c r="E85" s="683"/>
      <c r="F85" s="683"/>
      <c r="G85" s="683"/>
      <c r="H85" s="683"/>
      <c r="I85" s="702"/>
      <c r="J85" s="685"/>
      <c r="K85" s="685"/>
      <c r="L85" s="685"/>
      <c r="M85" s="685"/>
      <c r="N85" s="685"/>
      <c r="O85" s="686"/>
      <c r="P85" s="686"/>
      <c r="Q85" s="686"/>
      <c r="R85" s="686"/>
      <c r="S85" s="686"/>
      <c r="T85" s="686"/>
      <c r="U85" s="70">
        <f t="shared" ref="U85" si="75">U84+1</f>
        <v>42</v>
      </c>
    </row>
    <row r="86" spans="1:21">
      <c r="A86" s="683"/>
      <c r="B86" s="683" t="s">
        <v>749</v>
      </c>
      <c r="C86" s="683"/>
      <c r="D86" s="683"/>
      <c r="E86" s="683"/>
      <c r="F86" s="683"/>
      <c r="G86" s="683"/>
      <c r="H86" s="683"/>
      <c r="I86" s="692" t="s">
        <v>554</v>
      </c>
      <c r="J86" s="685"/>
      <c r="K86" s="685"/>
      <c r="L86" s="685"/>
      <c r="M86" s="685"/>
      <c r="N86" s="685"/>
      <c r="O86" s="686" t="e">
        <f>O69</f>
        <v>#REF!</v>
      </c>
      <c r="P86" s="686" t="e">
        <f t="shared" ref="P86:T86" si="76">P69</f>
        <v>#REF!</v>
      </c>
      <c r="Q86" s="686" t="e">
        <f t="shared" si="76"/>
        <v>#REF!</v>
      </c>
      <c r="R86" s="686" t="e">
        <f t="shared" si="76"/>
        <v>#REF!</v>
      </c>
      <c r="S86" s="686" t="e">
        <f t="shared" si="76"/>
        <v>#REF!</v>
      </c>
      <c r="T86" s="686" t="e">
        <f t="shared" si="76"/>
        <v>#REF!</v>
      </c>
      <c r="U86" s="711">
        <v>42</v>
      </c>
    </row>
    <row r="87" spans="1:21">
      <c r="A87" s="683"/>
      <c r="B87" s="683" t="s">
        <v>875</v>
      </c>
      <c r="C87" s="683"/>
      <c r="D87" s="683"/>
      <c r="E87" s="683"/>
      <c r="F87" s="683"/>
      <c r="G87" s="683"/>
      <c r="H87" s="683"/>
      <c r="I87" s="692" t="s">
        <v>554</v>
      </c>
      <c r="J87" s="685"/>
      <c r="K87" s="685"/>
      <c r="L87" s="685"/>
      <c r="M87" s="685"/>
      <c r="N87" s="685"/>
      <c r="O87" s="686" t="e">
        <f>#REF!+#REF!</f>
        <v>#REF!</v>
      </c>
      <c r="P87" s="686" t="e">
        <f>#REF!+#REF!</f>
        <v>#REF!</v>
      </c>
      <c r="Q87" s="686" t="e">
        <f>#REF!+#REF!</f>
        <v>#REF!</v>
      </c>
      <c r="R87" s="686" t="e">
        <f>#REF!+#REF!</f>
        <v>#REF!</v>
      </c>
      <c r="S87" s="686" t="e">
        <f>#REF!+#REF!</f>
        <v>#REF!</v>
      </c>
      <c r="T87" s="686" t="e">
        <f>#REF!+#REF!</f>
        <v>#REF!</v>
      </c>
      <c r="U87" s="70">
        <f t="shared" ref="U87" si="77">U86+1</f>
        <v>43</v>
      </c>
    </row>
    <row r="88" spans="1:21">
      <c r="A88" s="683"/>
      <c r="B88" s="683" t="s">
        <v>28</v>
      </c>
      <c r="C88" s="683"/>
      <c r="D88" s="683"/>
      <c r="E88" s="683"/>
      <c r="F88" s="683"/>
      <c r="G88" s="683"/>
      <c r="H88" s="683"/>
      <c r="I88" s="692" t="s">
        <v>554</v>
      </c>
      <c r="J88" s="685"/>
      <c r="K88" s="685"/>
      <c r="L88" s="685"/>
      <c r="M88" s="685"/>
      <c r="N88" s="685"/>
      <c r="O88" s="704" t="e">
        <f>#REF!</f>
        <v>#REF!</v>
      </c>
      <c r="P88" s="704" t="e">
        <f>#REF!</f>
        <v>#REF!</v>
      </c>
      <c r="Q88" s="704" t="e">
        <f>#REF!</f>
        <v>#REF!</v>
      </c>
      <c r="R88" s="704" t="e">
        <f>#REF!</f>
        <v>#REF!</v>
      </c>
      <c r="S88" s="704" t="e">
        <f>#REF!</f>
        <v>#REF!</v>
      </c>
      <c r="T88" s="704" t="e">
        <f>#REF!</f>
        <v>#REF!</v>
      </c>
      <c r="U88" s="711">
        <v>43</v>
      </c>
    </row>
    <row r="89" spans="1:21">
      <c r="A89" s="683"/>
      <c r="B89" s="683" t="s">
        <v>608</v>
      </c>
      <c r="C89" s="683"/>
      <c r="D89" s="683"/>
      <c r="E89" s="683"/>
      <c r="F89" s="683"/>
      <c r="G89" s="683"/>
      <c r="H89" s="683"/>
      <c r="I89" s="692" t="s">
        <v>554</v>
      </c>
      <c r="J89" s="685"/>
      <c r="K89" s="685"/>
      <c r="L89" s="685"/>
      <c r="M89" s="685"/>
      <c r="N89" s="685"/>
      <c r="O89" s="686" t="e">
        <f>SUM(O86:O88)</f>
        <v>#REF!</v>
      </c>
      <c r="P89" s="686" t="e">
        <f t="shared" ref="P89:T89" si="78">SUM(P86:P88)</f>
        <v>#REF!</v>
      </c>
      <c r="Q89" s="686" t="e">
        <f t="shared" si="78"/>
        <v>#REF!</v>
      </c>
      <c r="R89" s="686" t="e">
        <f t="shared" si="78"/>
        <v>#REF!</v>
      </c>
      <c r="S89" s="686" t="e">
        <f t="shared" si="78"/>
        <v>#REF!</v>
      </c>
      <c r="T89" s="686" t="e">
        <f t="shared" si="78"/>
        <v>#REF!</v>
      </c>
      <c r="U89" s="70">
        <f t="shared" ref="U89" si="79">U88+1</f>
        <v>44</v>
      </c>
    </row>
    <row r="90" spans="1:21">
      <c r="A90" s="683"/>
      <c r="B90" s="683"/>
      <c r="C90" s="683"/>
      <c r="D90" s="683"/>
      <c r="E90" s="683"/>
      <c r="F90" s="683"/>
      <c r="G90" s="683"/>
      <c r="H90" s="683"/>
      <c r="I90" s="702"/>
      <c r="J90" s="685"/>
      <c r="K90" s="685"/>
      <c r="L90" s="685"/>
      <c r="M90" s="685"/>
      <c r="N90" s="685"/>
      <c r="O90" s="724" t="e">
        <f t="shared" ref="O90:T90" si="80">O89-O20</f>
        <v>#REF!</v>
      </c>
      <c r="P90" s="724" t="e">
        <f t="shared" si="80"/>
        <v>#REF!</v>
      </c>
      <c r="Q90" s="724" t="e">
        <f t="shared" si="80"/>
        <v>#REF!</v>
      </c>
      <c r="R90" s="724" t="e">
        <f t="shared" si="80"/>
        <v>#REF!</v>
      </c>
      <c r="S90" s="724" t="e">
        <f t="shared" si="80"/>
        <v>#REF!</v>
      </c>
      <c r="T90" s="724" t="e">
        <f t="shared" si="80"/>
        <v>#REF!</v>
      </c>
      <c r="U90" s="711">
        <v>44</v>
      </c>
    </row>
    <row r="91" spans="1:21">
      <c r="A91" s="683"/>
      <c r="B91" s="683" t="s">
        <v>755</v>
      </c>
      <c r="C91" s="683"/>
      <c r="D91" s="683"/>
      <c r="E91" s="683"/>
      <c r="F91" s="683"/>
      <c r="G91" s="683"/>
      <c r="H91" s="683"/>
      <c r="I91" s="692" t="s">
        <v>554</v>
      </c>
      <c r="J91" s="685"/>
      <c r="K91" s="685"/>
      <c r="L91" s="685"/>
      <c r="M91" s="685"/>
      <c r="N91" s="685"/>
      <c r="O91" s="686" t="e">
        <f>O24</f>
        <v>#REF!</v>
      </c>
      <c r="P91" s="686" t="e">
        <f t="shared" ref="P91:T91" si="81">P24</f>
        <v>#REF!</v>
      </c>
      <c r="Q91" s="686" t="e">
        <f t="shared" si="81"/>
        <v>#REF!</v>
      </c>
      <c r="R91" s="686" t="e">
        <f t="shared" si="81"/>
        <v>#REF!</v>
      </c>
      <c r="S91" s="686" t="e">
        <f t="shared" si="81"/>
        <v>#REF!</v>
      </c>
      <c r="T91" s="686" t="e">
        <f t="shared" si="81"/>
        <v>#REF!</v>
      </c>
      <c r="U91" s="70">
        <f t="shared" ref="U91" si="82">U90+1</f>
        <v>45</v>
      </c>
    </row>
    <row r="92" spans="1:21">
      <c r="A92" s="683"/>
      <c r="B92" s="683"/>
      <c r="C92" s="683"/>
      <c r="D92" s="683"/>
      <c r="E92" s="683"/>
      <c r="F92" s="683"/>
      <c r="G92" s="683"/>
      <c r="H92" s="683"/>
      <c r="I92" s="702"/>
      <c r="J92" s="685"/>
      <c r="K92" s="685"/>
      <c r="L92" s="685"/>
      <c r="M92" s="685"/>
      <c r="N92" s="685"/>
      <c r="O92" s="686"/>
      <c r="P92" s="686"/>
      <c r="Q92" s="686"/>
      <c r="R92" s="686"/>
      <c r="S92" s="686"/>
      <c r="T92" s="686"/>
      <c r="U92" s="711">
        <v>45</v>
      </c>
    </row>
    <row r="93" spans="1:21">
      <c r="A93" s="683"/>
      <c r="B93" s="683" t="s">
        <v>876</v>
      </c>
      <c r="C93" s="683"/>
      <c r="D93" s="683"/>
      <c r="E93" s="683"/>
      <c r="F93" s="683"/>
      <c r="G93" s="683"/>
      <c r="H93" s="683"/>
      <c r="I93" s="684" t="s">
        <v>631</v>
      </c>
      <c r="J93" s="685"/>
      <c r="K93" s="685"/>
      <c r="L93" s="685"/>
      <c r="M93" s="685"/>
      <c r="N93" s="685"/>
      <c r="O93" s="716"/>
      <c r="P93" s="716"/>
      <c r="Q93" s="716"/>
      <c r="R93" s="716"/>
      <c r="S93" s="702" t="e">
        <f>S5/S60</f>
        <v>#REF!</v>
      </c>
      <c r="T93" s="702" t="e">
        <f>T5/T60</f>
        <v>#REF!</v>
      </c>
      <c r="U93" s="70">
        <f t="shared" ref="U93" si="83">U92+1</f>
        <v>46</v>
      </c>
    </row>
    <row r="94" spans="1:21">
      <c r="A94" s="683"/>
      <c r="B94" s="683" t="s">
        <v>877</v>
      </c>
      <c r="C94" s="683"/>
      <c r="D94" s="683"/>
      <c r="E94" s="683"/>
      <c r="F94" s="683"/>
      <c r="G94" s="683"/>
      <c r="H94" s="683"/>
      <c r="I94" s="705" t="s">
        <v>631</v>
      </c>
      <c r="J94" s="685"/>
      <c r="K94" s="685"/>
      <c r="L94" s="685"/>
      <c r="M94" s="685"/>
      <c r="N94" s="685"/>
      <c r="O94" s="706" t="e">
        <f t="shared" ref="O94:T94" si="84">O5/O17*100</f>
        <v>#REF!</v>
      </c>
      <c r="P94" s="706" t="e">
        <f t="shared" si="84"/>
        <v>#REF!</v>
      </c>
      <c r="Q94" s="706" t="e">
        <f t="shared" si="84"/>
        <v>#REF!</v>
      </c>
      <c r="R94" s="706" t="e">
        <f t="shared" si="84"/>
        <v>#REF!</v>
      </c>
      <c r="S94" s="706" t="e">
        <f t="shared" si="84"/>
        <v>#REF!</v>
      </c>
      <c r="T94" s="706" t="e">
        <f t="shared" si="84"/>
        <v>#REF!</v>
      </c>
      <c r="U94" s="711">
        <v>46</v>
      </c>
    </row>
    <row r="95" spans="1:21">
      <c r="A95" s="683"/>
      <c r="B95" s="683" t="s">
        <v>711</v>
      </c>
      <c r="C95" s="683"/>
      <c r="D95" s="683"/>
      <c r="E95" s="683"/>
      <c r="F95" s="683"/>
      <c r="G95" s="683"/>
      <c r="H95" s="683"/>
      <c r="I95" s="705" t="s">
        <v>631</v>
      </c>
      <c r="J95" s="685"/>
      <c r="K95" s="685"/>
      <c r="L95" s="685"/>
      <c r="M95" s="685"/>
      <c r="N95" s="685"/>
      <c r="O95" s="686"/>
      <c r="P95" s="686"/>
      <c r="Q95" s="686"/>
      <c r="R95" s="686"/>
      <c r="S95" s="686"/>
      <c r="T95" s="686"/>
      <c r="U95" s="70">
        <f t="shared" ref="U95" si="85">U94+1</f>
        <v>47</v>
      </c>
    </row>
    <row r="96" spans="1:21">
      <c r="A96" s="683"/>
      <c r="B96" s="683"/>
      <c r="C96" s="683"/>
      <c r="D96" s="683"/>
      <c r="E96" s="683"/>
      <c r="F96" s="683"/>
      <c r="G96" s="683"/>
      <c r="H96" s="683"/>
      <c r="I96" s="683"/>
      <c r="J96" s="685"/>
      <c r="K96" s="685"/>
      <c r="L96" s="685"/>
      <c r="M96" s="685"/>
      <c r="N96" s="685"/>
      <c r="O96" s="686"/>
      <c r="P96" s="686"/>
      <c r="Q96" s="686"/>
      <c r="R96" s="686"/>
      <c r="S96" s="686"/>
      <c r="T96" s="686"/>
      <c r="U96" s="711">
        <v>47</v>
      </c>
    </row>
    <row r="97" spans="1:21">
      <c r="A97" s="685"/>
      <c r="B97" s="683" t="s">
        <v>698</v>
      </c>
      <c r="C97" s="685"/>
      <c r="D97" s="685"/>
      <c r="E97" s="685"/>
      <c r="F97" s="685"/>
      <c r="G97" s="685"/>
      <c r="H97" s="685"/>
      <c r="I97" s="685"/>
      <c r="J97" s="685"/>
      <c r="K97" s="685"/>
      <c r="L97" s="685"/>
      <c r="M97" s="685"/>
      <c r="N97" s="685"/>
      <c r="O97" s="707" t="e">
        <f>O86/O89</f>
        <v>#REF!</v>
      </c>
      <c r="P97" s="707" t="e">
        <f t="shared" ref="P97:T97" si="86">P86/P89</f>
        <v>#REF!</v>
      </c>
      <c r="Q97" s="707" t="e">
        <f t="shared" si="86"/>
        <v>#REF!</v>
      </c>
      <c r="R97" s="707" t="e">
        <f t="shared" si="86"/>
        <v>#REF!</v>
      </c>
      <c r="S97" s="707" t="e">
        <f t="shared" si="86"/>
        <v>#REF!</v>
      </c>
      <c r="T97" s="707" t="e">
        <f t="shared" si="86"/>
        <v>#REF!</v>
      </c>
      <c r="U97" s="70">
        <f t="shared" ref="U97" si="87">U96+1</f>
        <v>48</v>
      </c>
    </row>
    <row r="98" spans="1:21">
      <c r="A98" s="685"/>
      <c r="B98" s="683" t="s">
        <v>708</v>
      </c>
      <c r="C98" s="685"/>
      <c r="D98" s="685"/>
      <c r="E98" s="685"/>
      <c r="F98" s="685"/>
      <c r="G98" s="685"/>
      <c r="H98" s="685"/>
      <c r="I98" s="685"/>
      <c r="J98" s="685"/>
      <c r="K98" s="685"/>
      <c r="L98" s="685"/>
      <c r="M98" s="685"/>
      <c r="N98" s="685"/>
      <c r="O98" s="725"/>
      <c r="P98" s="725"/>
      <c r="Q98" s="725"/>
      <c r="R98" s="725"/>
      <c r="S98" s="725"/>
      <c r="T98" s="725"/>
      <c r="U98" s="711">
        <v>48</v>
      </c>
    </row>
    <row r="99" spans="1:21">
      <c r="A99" s="708"/>
      <c r="B99" s="708"/>
      <c r="C99" s="708"/>
      <c r="D99" s="708"/>
      <c r="E99" s="708"/>
      <c r="F99" s="708"/>
      <c r="G99" s="708"/>
      <c r="H99" s="708"/>
      <c r="I99" s="708"/>
      <c r="J99" s="685"/>
      <c r="K99" s="685"/>
      <c r="L99" s="685"/>
      <c r="M99" s="685"/>
      <c r="N99" s="708"/>
      <c r="O99" s="709"/>
      <c r="P99" s="709"/>
      <c r="Q99" s="709"/>
      <c r="R99" s="709"/>
      <c r="S99" s="709"/>
      <c r="T99" s="709"/>
      <c r="U99" s="776"/>
    </row>
  </sheetData>
  <mergeCells count="3">
    <mergeCell ref="P1:R1"/>
    <mergeCell ref="A1:D1"/>
    <mergeCell ref="F1:G1"/>
  </mergeCells>
  <printOptions headings="1" gridLines="1"/>
  <pageMargins left="0.70866141732283472" right="0.70866141732283472" top="0.74803149606299213" bottom="0.74803149606299213" header="0.31496062992125984" footer="0.31496062992125984"/>
  <pageSetup paperSize="9" scale="59" fitToHeight="0" orientation="landscape" horizontalDpi="0" verticalDpi="0" r:id="rId1"/>
  <headerFooter>
    <oddHeader>&amp;L&amp;8&amp;D&amp;C&amp;8DRAFT&amp;R&amp;8&amp;A</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pageSetUpPr fitToPage="1"/>
  </sheetPr>
  <dimension ref="A1:AY722"/>
  <sheetViews>
    <sheetView workbookViewId="0"/>
  </sheetViews>
  <sheetFormatPr defaultRowHeight="12.75"/>
  <cols>
    <col min="1" max="1" width="12" style="371" customWidth="1"/>
    <col min="2" max="2" width="6" customWidth="1"/>
    <col min="3" max="3" width="11.28515625" customWidth="1"/>
    <col min="4" max="4" width="11" bestFit="1" customWidth="1"/>
    <col min="5" max="5" width="9" customWidth="1"/>
    <col min="6" max="6" width="10.5703125" customWidth="1"/>
    <col min="7" max="7" width="10" customWidth="1"/>
    <col min="8" max="9" width="8.5703125" customWidth="1"/>
    <col min="10" max="10" width="2.28515625" customWidth="1"/>
    <col min="11" max="11" width="1.85546875" customWidth="1"/>
    <col min="12" max="12" width="8.5703125" customWidth="1"/>
    <col min="13" max="13" width="12.5703125" customWidth="1"/>
    <col min="14" max="14" width="10" customWidth="1"/>
    <col min="15" max="15" width="10.28515625" customWidth="1"/>
    <col min="16" max="16" width="10" style="361" customWidth="1"/>
    <col min="17" max="17" width="8.85546875" customWidth="1"/>
    <col min="18" max="18" width="9.5703125" customWidth="1"/>
    <col min="19" max="19" width="9" customWidth="1"/>
    <col min="20" max="20" width="10.85546875" customWidth="1"/>
    <col min="21" max="21" width="4.85546875" style="361" customWidth="1"/>
    <col min="22" max="22" width="10" bestFit="1" customWidth="1"/>
    <col min="23" max="23" width="10" style="361" bestFit="1" customWidth="1"/>
    <col min="24" max="24" width="1.5703125" customWidth="1"/>
    <col min="25" max="25" width="11" customWidth="1"/>
    <col min="27" max="27" width="4" bestFit="1" customWidth="1"/>
    <col min="28" max="30" width="8.85546875" bestFit="1" customWidth="1"/>
    <col min="40" max="40" width="2.85546875" customWidth="1"/>
    <col min="41" max="41" width="7.85546875" customWidth="1"/>
    <col min="42" max="42" width="9.28515625" customWidth="1"/>
    <col min="43" max="43" width="10" customWidth="1"/>
    <col min="44" max="44" width="9.85546875" customWidth="1"/>
    <col min="46" max="46" width="9.85546875" customWidth="1"/>
  </cols>
  <sheetData>
    <row r="1" spans="1:31" s="592" customFormat="1" ht="19.5" customHeight="1" thickBot="1">
      <c r="A1" s="1268" t="s">
        <v>0</v>
      </c>
      <c r="B1" s="1268"/>
      <c r="C1" s="1044" t="e">
        <f>'1_Contents'!#REF!</f>
        <v>#REF!</v>
      </c>
      <c r="D1" s="967"/>
      <c r="E1" s="967"/>
      <c r="F1" s="1045"/>
      <c r="G1" s="1045"/>
      <c r="H1" s="1045"/>
      <c r="I1" s="1045"/>
      <c r="J1" s="1045"/>
      <c r="K1" s="968"/>
      <c r="L1" s="1045"/>
      <c r="M1" s="1045"/>
      <c r="N1" s="1045"/>
      <c r="O1" s="1045"/>
      <c r="P1" s="1045"/>
      <c r="Q1" s="1045"/>
      <c r="R1" s="1045"/>
      <c r="S1" s="1045"/>
      <c r="T1" s="968" t="e">
        <f>'1_Contents'!#REF!</f>
        <v>#REF!</v>
      </c>
      <c r="U1" s="1045"/>
      <c r="V1" s="1045"/>
      <c r="W1" s="1045"/>
      <c r="X1" s="1045"/>
      <c r="Y1" s="1045"/>
      <c r="Z1" s="967"/>
      <c r="AA1" s="967"/>
      <c r="AB1" s="967"/>
      <c r="AC1" s="967"/>
      <c r="AD1" s="967"/>
      <c r="AE1" s="967"/>
    </row>
    <row r="2" spans="1:31" s="592" customFormat="1" hidden="1">
      <c r="A2" s="776"/>
      <c r="B2" s="320" t="s">
        <v>22</v>
      </c>
      <c r="C2" s="321"/>
      <c r="D2" s="610" t="s">
        <v>878</v>
      </c>
      <c r="E2" s="4"/>
      <c r="F2" s="4"/>
      <c r="G2" s="4"/>
      <c r="H2" s="4"/>
      <c r="I2" s="4"/>
      <c r="J2" s="4"/>
      <c r="K2" s="4"/>
      <c r="L2" s="4"/>
      <c r="M2" s="4"/>
      <c r="N2" s="4"/>
      <c r="O2" s="4"/>
      <c r="P2" s="4"/>
      <c r="Q2" s="4"/>
      <c r="R2" s="4"/>
      <c r="S2" s="4"/>
      <c r="T2" s="4"/>
      <c r="U2" s="4"/>
      <c r="V2" s="4"/>
      <c r="W2" s="4"/>
      <c r="X2" s="4"/>
      <c r="Y2" s="4"/>
      <c r="Z2" s="776"/>
      <c r="AA2" s="776"/>
      <c r="AB2" s="776"/>
      <c r="AC2" s="776"/>
      <c r="AD2" s="776"/>
      <c r="AE2" s="776"/>
    </row>
    <row r="3" spans="1:31" s="592" customFormat="1" hidden="1">
      <c r="A3" s="776"/>
      <c r="B3" s="776"/>
      <c r="C3" s="776"/>
      <c r="D3" s="776"/>
      <c r="E3" s="776"/>
      <c r="F3" s="776"/>
      <c r="G3" s="776"/>
      <c r="H3" s="776"/>
      <c r="I3" s="776"/>
      <c r="J3" s="776"/>
      <c r="K3" s="776"/>
      <c r="L3" s="776"/>
      <c r="M3" s="776"/>
      <c r="N3" s="776"/>
      <c r="O3" s="776"/>
      <c r="P3" s="776"/>
      <c r="Q3" s="776"/>
      <c r="R3" s="776"/>
      <c r="S3" s="776"/>
      <c r="T3" s="776"/>
      <c r="U3" s="776"/>
      <c r="V3" s="776"/>
      <c r="W3" s="776"/>
      <c r="X3" s="776"/>
      <c r="Y3" s="776"/>
      <c r="Z3" s="776"/>
      <c r="AA3" s="776"/>
      <c r="AB3" s="776"/>
      <c r="AC3" s="776"/>
      <c r="AD3" s="776"/>
      <c r="AE3" s="776"/>
    </row>
    <row r="4" spans="1:31" s="426" customFormat="1" ht="13.5" hidden="1">
      <c r="A4" s="776"/>
      <c r="B4" s="531" t="s">
        <v>879</v>
      </c>
      <c r="C4" s="62"/>
      <c r="D4" s="62"/>
      <c r="E4" s="62"/>
      <c r="F4" s="44"/>
      <c r="G4" s="44"/>
      <c r="H4" s="776"/>
      <c r="I4" s="421"/>
      <c r="J4" s="776"/>
      <c r="K4" s="776"/>
      <c r="L4" s="776"/>
      <c r="M4" s="776"/>
      <c r="N4" s="776"/>
      <c r="O4" s="776"/>
      <c r="P4" s="776"/>
      <c r="Q4" s="776"/>
      <c r="R4" s="776"/>
      <c r="S4" s="776"/>
      <c r="T4" s="776"/>
      <c r="U4" s="776"/>
      <c r="V4" s="776"/>
      <c r="W4" s="776"/>
      <c r="X4" s="776"/>
      <c r="Y4" s="776"/>
      <c r="Z4" s="776"/>
      <c r="AA4" s="776"/>
      <c r="AB4" s="776"/>
      <c r="AC4" s="776"/>
      <c r="AD4" s="776"/>
      <c r="AE4" s="776"/>
    </row>
    <row r="5" spans="1:31" s="408" customFormat="1" hidden="1">
      <c r="A5" s="776"/>
      <c r="B5" s="776"/>
      <c r="C5" s="776"/>
      <c r="D5" s="776"/>
      <c r="E5" s="776"/>
      <c r="F5" s="51"/>
      <c r="G5" s="51"/>
      <c r="H5" s="776"/>
      <c r="I5" s="51"/>
      <c r="J5" s="51"/>
      <c r="K5" s="51"/>
      <c r="L5" s="51"/>
      <c r="M5" s="51"/>
      <c r="N5" s="776"/>
      <c r="O5" s="776"/>
      <c r="P5" s="776"/>
      <c r="Q5" s="776"/>
      <c r="R5" s="776"/>
      <c r="S5" s="776"/>
      <c r="T5" s="776"/>
      <c r="U5" s="776"/>
      <c r="V5" s="776"/>
      <c r="W5" s="776"/>
      <c r="X5" s="776"/>
      <c r="Y5" s="776"/>
      <c r="Z5" s="776"/>
      <c r="AA5" s="776"/>
      <c r="AB5" s="776"/>
      <c r="AC5" s="776"/>
      <c r="AD5" s="776"/>
      <c r="AE5" s="776"/>
    </row>
    <row r="6" spans="1:31" s="408" customFormat="1" ht="19.5" hidden="1">
      <c r="A6" s="776"/>
      <c r="B6" s="627" t="str">
        <f>I8</f>
        <v>Increasing EVA drives shareholder value</v>
      </c>
      <c r="C6" s="628"/>
      <c r="D6" s="628"/>
      <c r="E6" s="628"/>
      <c r="F6" s="628"/>
      <c r="G6" s="628"/>
      <c r="H6" s="776"/>
      <c r="I6" s="414" t="s">
        <v>880</v>
      </c>
      <c r="J6" s="776"/>
      <c r="K6" s="776"/>
      <c r="L6" s="776"/>
      <c r="M6" s="776"/>
      <c r="N6" s="776">
        <v>1</v>
      </c>
      <c r="O6" s="634" t="s">
        <v>881</v>
      </c>
      <c r="P6" s="635"/>
      <c r="Q6" s="776"/>
      <c r="R6" s="634" t="s">
        <v>882</v>
      </c>
      <c r="S6" s="635"/>
      <c r="T6" s="776"/>
      <c r="U6" s="776"/>
      <c r="V6" s="776"/>
      <c r="W6" s="776"/>
      <c r="X6" s="776"/>
      <c r="Y6" s="776"/>
      <c r="Z6" s="776"/>
      <c r="AA6" s="776"/>
      <c r="AB6" s="776"/>
      <c r="AC6" s="776"/>
      <c r="AD6" s="776"/>
      <c r="AE6" s="776"/>
    </row>
    <row r="7" spans="1:31" s="408" customFormat="1" ht="16.5" hidden="1">
      <c r="A7" s="776"/>
      <c r="B7" s="629" t="str">
        <f>'X-Chart Basics'!F21</f>
        <v>The Warehouse v. Briscoe</v>
      </c>
      <c r="C7" s="628"/>
      <c r="D7" s="628"/>
      <c r="E7" s="628"/>
      <c r="F7" s="628"/>
      <c r="G7" s="628"/>
      <c r="H7" s="776"/>
      <c r="I7" s="414" t="s">
        <v>18</v>
      </c>
      <c r="J7" s="776"/>
      <c r="K7" s="776"/>
      <c r="L7" s="776"/>
      <c r="M7" s="776"/>
      <c r="N7" s="776"/>
      <c r="O7" s="776"/>
      <c r="P7" s="776"/>
      <c r="Q7" s="776"/>
      <c r="R7" s="776"/>
      <c r="S7" s="776"/>
      <c r="T7" s="776"/>
      <c r="U7" s="776"/>
      <c r="V7" s="776"/>
      <c r="W7" s="776"/>
      <c r="X7" s="776"/>
      <c r="Y7" s="776"/>
      <c r="Z7" s="776"/>
      <c r="AA7" s="776"/>
      <c r="AB7" s="776"/>
      <c r="AC7" s="776"/>
      <c r="AD7" s="776"/>
      <c r="AE7" s="776"/>
    </row>
    <row r="8" spans="1:31" s="408" customFormat="1" ht="19.5" hidden="1">
      <c r="A8" s="776"/>
      <c r="B8" s="630" t="s">
        <v>883</v>
      </c>
      <c r="C8" s="628"/>
      <c r="D8" s="628"/>
      <c r="E8" s="628"/>
      <c r="F8" s="628"/>
      <c r="G8" s="628"/>
      <c r="H8" s="776"/>
      <c r="I8" s="573" t="s">
        <v>884</v>
      </c>
      <c r="J8" s="776"/>
      <c r="K8" s="776"/>
      <c r="L8" s="776"/>
      <c r="M8" s="776"/>
      <c r="N8" s="776">
        <v>2</v>
      </c>
      <c r="O8" s="634" t="s">
        <v>712</v>
      </c>
      <c r="P8" s="635"/>
      <c r="Q8" s="776"/>
      <c r="R8" s="634" t="s">
        <v>885</v>
      </c>
      <c r="S8" s="635"/>
      <c r="T8" s="776"/>
      <c r="U8" s="776"/>
      <c r="V8" s="776"/>
      <c r="W8" s="776"/>
      <c r="X8" s="776"/>
      <c r="Y8" s="776"/>
      <c r="Z8" s="776"/>
      <c r="AA8" s="776"/>
      <c r="AB8" s="776"/>
      <c r="AC8" s="776"/>
      <c r="AD8" s="776"/>
      <c r="AE8" s="776"/>
    </row>
    <row r="9" spans="1:31" s="408" customFormat="1" ht="13.5" hidden="1">
      <c r="A9" s="776"/>
      <c r="B9" s="631" t="str">
        <f>'X-Chart Basics'!F23</f>
        <v>Millions of Dollars</v>
      </c>
      <c r="C9" s="628"/>
      <c r="D9" s="628"/>
      <c r="E9" s="628"/>
      <c r="F9" s="628"/>
      <c r="G9" s="628"/>
      <c r="H9" s="776"/>
      <c r="I9" s="414" t="s">
        <v>886</v>
      </c>
      <c r="J9" s="776"/>
      <c r="K9" s="776"/>
      <c r="L9" s="776"/>
      <c r="M9" s="776"/>
      <c r="N9" s="776"/>
      <c r="O9" s="433"/>
      <c r="P9" s="776"/>
      <c r="Q9" s="776"/>
      <c r="R9" s="776"/>
      <c r="S9" s="776"/>
      <c r="T9" s="776"/>
      <c r="U9" s="776"/>
      <c r="V9" s="776"/>
      <c r="W9" s="776"/>
      <c r="X9" s="776"/>
      <c r="Y9" s="776"/>
      <c r="Z9" s="776"/>
      <c r="AA9" s="776"/>
      <c r="AB9" s="776"/>
      <c r="AC9" s="776"/>
      <c r="AD9" s="776"/>
      <c r="AE9" s="776"/>
    </row>
    <row r="10" spans="1:31" s="408" customFormat="1" ht="13.5" hidden="1">
      <c r="A10" s="776"/>
      <c r="B10" s="628"/>
      <c r="C10" s="628"/>
      <c r="D10" s="628"/>
      <c r="E10" s="628"/>
      <c r="F10" s="628"/>
      <c r="G10" s="628"/>
      <c r="H10" s="776"/>
      <c r="I10" s="414" t="s">
        <v>887</v>
      </c>
      <c r="J10" s="776"/>
      <c r="K10" s="776"/>
      <c r="L10" s="776"/>
      <c r="M10" s="776"/>
      <c r="N10" s="776">
        <v>3</v>
      </c>
      <c r="O10" s="634" t="s">
        <v>888</v>
      </c>
      <c r="P10" s="635"/>
      <c r="Q10" s="776"/>
      <c r="R10" s="634" t="s">
        <v>889</v>
      </c>
      <c r="S10" s="635"/>
      <c r="T10" s="776"/>
      <c r="U10" s="776"/>
      <c r="V10" s="776"/>
      <c r="W10" s="776"/>
      <c r="X10" s="776"/>
      <c r="Y10" s="776"/>
      <c r="Z10" s="776"/>
      <c r="AA10" s="776"/>
      <c r="AB10" s="776"/>
      <c r="AC10" s="776"/>
      <c r="AD10" s="776"/>
      <c r="AE10" s="776"/>
    </row>
    <row r="11" spans="1:31" s="408" customFormat="1" ht="13.5" hidden="1">
      <c r="A11" s="776"/>
      <c r="B11" s="628"/>
      <c r="C11" s="628"/>
      <c r="D11" s="628"/>
      <c r="E11" s="628"/>
      <c r="F11" s="628"/>
      <c r="G11" s="628"/>
      <c r="H11" s="776"/>
      <c r="I11" s="414" t="s">
        <v>890</v>
      </c>
      <c r="J11" s="776"/>
      <c r="K11" s="776"/>
      <c r="L11" s="776"/>
      <c r="M11" s="776"/>
      <c r="N11" s="776"/>
      <c r="O11" s="776"/>
      <c r="P11" s="776"/>
      <c r="Q11" s="776"/>
      <c r="R11" s="776"/>
      <c r="S11" s="776"/>
      <c r="T11" s="776"/>
      <c r="U11" s="776"/>
      <c r="V11" s="776"/>
      <c r="W11" s="776"/>
      <c r="X11" s="776"/>
      <c r="Y11" s="776"/>
      <c r="Z11" s="776"/>
      <c r="AA11" s="776"/>
      <c r="AB11" s="776"/>
      <c r="AC11" s="776"/>
      <c r="AD11" s="776"/>
      <c r="AE11" s="776"/>
    </row>
    <row r="12" spans="1:31" s="408" customFormat="1" ht="13.5" hidden="1">
      <c r="A12" s="776"/>
      <c r="B12" s="628"/>
      <c r="C12" s="628"/>
      <c r="D12" s="628"/>
      <c r="E12" s="628"/>
      <c r="F12" s="628"/>
      <c r="G12" s="628"/>
      <c r="H12" s="776"/>
      <c r="I12" s="414" t="s">
        <v>891</v>
      </c>
      <c r="J12" s="776"/>
      <c r="K12" s="776"/>
      <c r="L12" s="776"/>
      <c r="M12" s="776"/>
      <c r="N12" s="776">
        <v>4</v>
      </c>
      <c r="O12" s="634" t="s">
        <v>892</v>
      </c>
      <c r="P12" s="635"/>
      <c r="Q12" s="776"/>
      <c r="R12" s="634" t="s">
        <v>20</v>
      </c>
      <c r="S12" s="635"/>
      <c r="T12" s="776"/>
      <c r="U12" s="776"/>
      <c r="V12" s="776"/>
      <c r="W12" s="776"/>
      <c r="X12" s="776"/>
      <c r="Y12" s="776"/>
      <c r="Z12" s="776"/>
      <c r="AA12" s="776"/>
      <c r="AB12" s="776"/>
      <c r="AC12" s="776"/>
      <c r="AD12" s="776"/>
      <c r="AE12" s="776"/>
    </row>
    <row r="13" spans="1:31" s="408" customFormat="1" ht="13.5" hidden="1">
      <c r="A13" s="776"/>
      <c r="B13" s="628"/>
      <c r="C13" s="628"/>
      <c r="D13" s="628"/>
      <c r="E13" s="628"/>
      <c r="F13" s="628"/>
      <c r="G13" s="628"/>
      <c r="H13" s="776"/>
      <c r="I13" s="414" t="s">
        <v>893</v>
      </c>
      <c r="J13" s="776"/>
      <c r="K13" s="776"/>
      <c r="L13" s="776"/>
      <c r="M13" s="776"/>
      <c r="N13" s="776"/>
      <c r="O13" s="776"/>
      <c r="P13" s="776"/>
      <c r="Q13" s="776"/>
      <c r="R13" s="776"/>
      <c r="S13" s="776"/>
      <c r="T13" s="776"/>
      <c r="U13" s="776"/>
      <c r="V13" s="776"/>
      <c r="W13" s="776"/>
      <c r="X13" s="776"/>
      <c r="Y13" s="776"/>
      <c r="Z13" s="776"/>
      <c r="AA13" s="776"/>
      <c r="AB13" s="776"/>
      <c r="AC13" s="776"/>
      <c r="AD13" s="776"/>
      <c r="AE13" s="776"/>
    </row>
    <row r="14" spans="1:31" s="408" customFormat="1" ht="13.5" hidden="1">
      <c r="A14" s="776"/>
      <c r="B14" s="628"/>
      <c r="C14" s="628"/>
      <c r="D14" s="628"/>
      <c r="E14" s="628"/>
      <c r="F14" s="628"/>
      <c r="G14" s="628"/>
      <c r="H14" s="776"/>
      <c r="I14" s="414" t="s">
        <v>894</v>
      </c>
      <c r="J14" s="776"/>
      <c r="K14" s="776"/>
      <c r="L14" s="776"/>
      <c r="M14" s="776"/>
      <c r="N14" s="776">
        <v>5</v>
      </c>
      <c r="O14" s="634" t="s">
        <v>895</v>
      </c>
      <c r="P14" s="635"/>
      <c r="Q14" s="776"/>
      <c r="R14" s="776"/>
      <c r="S14" s="776"/>
      <c r="T14" s="776"/>
      <c r="U14" s="776"/>
      <c r="V14" s="776"/>
      <c r="W14" s="776"/>
      <c r="X14" s="776"/>
      <c r="Y14" s="776"/>
      <c r="Z14" s="776"/>
      <c r="AA14" s="776"/>
      <c r="AB14" s="776"/>
      <c r="AC14" s="776"/>
      <c r="AD14" s="776"/>
      <c r="AE14" s="776"/>
    </row>
    <row r="15" spans="1:31" s="408" customFormat="1" ht="13.5" hidden="1">
      <c r="A15" s="776"/>
      <c r="B15" s="628"/>
      <c r="C15" s="628"/>
      <c r="D15" s="628"/>
      <c r="E15" s="628"/>
      <c r="F15" s="628"/>
      <c r="G15" s="628"/>
      <c r="H15" s="776"/>
      <c r="I15" s="414" t="s">
        <v>896</v>
      </c>
      <c r="J15" s="776"/>
      <c r="K15" s="776"/>
      <c r="L15" s="776"/>
      <c r="M15" s="776"/>
      <c r="N15" s="776"/>
      <c r="O15" s="776"/>
      <c r="P15" s="776"/>
      <c r="Q15" s="776"/>
      <c r="R15" s="776"/>
      <c r="S15" s="776"/>
      <c r="T15" s="776"/>
      <c r="U15" s="776"/>
      <c r="V15" s="776"/>
      <c r="W15" s="776"/>
      <c r="X15" s="776"/>
      <c r="Y15" s="776"/>
      <c r="Z15" s="776"/>
      <c r="AA15" s="776"/>
      <c r="AB15" s="776"/>
      <c r="AC15" s="776"/>
      <c r="AD15" s="776"/>
      <c r="AE15" s="776"/>
    </row>
    <row r="16" spans="1:31" s="408" customFormat="1" hidden="1">
      <c r="A16" s="776"/>
      <c r="B16" s="628"/>
      <c r="C16" s="628"/>
      <c r="D16" s="628"/>
      <c r="E16" s="628"/>
      <c r="F16" s="628"/>
      <c r="G16" s="628"/>
      <c r="H16" s="776"/>
      <c r="I16" s="776"/>
      <c r="J16" s="776"/>
      <c r="K16" s="776"/>
      <c r="L16" s="776"/>
      <c r="M16" s="776"/>
      <c r="N16" s="776">
        <v>6</v>
      </c>
      <c r="O16" s="634" t="s">
        <v>897</v>
      </c>
      <c r="P16" s="635"/>
      <c r="Q16" s="776"/>
      <c r="R16" s="776"/>
      <c r="S16" s="776"/>
      <c r="T16" s="776"/>
      <c r="U16" s="776"/>
      <c r="V16" s="776"/>
      <c r="W16" s="776"/>
      <c r="X16" s="776"/>
      <c r="Y16" s="776"/>
      <c r="Z16" s="776"/>
      <c r="AA16" s="776"/>
      <c r="AB16" s="776"/>
      <c r="AC16" s="776"/>
      <c r="AD16" s="776"/>
      <c r="AE16" s="776"/>
    </row>
    <row r="17" spans="2:16" s="408" customFormat="1" hidden="1">
      <c r="B17" s="628"/>
      <c r="C17" s="628"/>
      <c r="D17" s="628"/>
      <c r="E17" s="628"/>
      <c r="F17" s="628"/>
      <c r="G17" s="628"/>
      <c r="H17" s="776"/>
      <c r="I17" s="776"/>
      <c r="J17" s="776"/>
      <c r="K17" s="776"/>
      <c r="L17" s="776"/>
      <c r="M17" s="776"/>
      <c r="N17" s="776"/>
      <c r="O17" s="776"/>
      <c r="P17" s="776"/>
    </row>
    <row r="18" spans="2:16" s="408" customFormat="1" hidden="1">
      <c r="B18" s="628"/>
      <c r="C18" s="628"/>
      <c r="D18" s="628"/>
      <c r="E18" s="628"/>
      <c r="F18" s="628"/>
      <c r="G18" s="628"/>
      <c r="H18" s="776"/>
      <c r="I18" s="776"/>
      <c r="J18" s="776"/>
      <c r="K18" s="776"/>
      <c r="L18" s="776"/>
      <c r="M18" s="776"/>
      <c r="N18" s="776">
        <v>7</v>
      </c>
      <c r="O18" s="634" t="s">
        <v>898</v>
      </c>
      <c r="P18" s="635"/>
    </row>
    <row r="19" spans="2:16" s="408" customFormat="1" hidden="1">
      <c r="B19" s="628"/>
      <c r="C19" s="628"/>
      <c r="D19" s="628"/>
      <c r="E19" s="628"/>
      <c r="F19" s="628"/>
      <c r="G19" s="628"/>
      <c r="H19" s="776"/>
      <c r="I19" s="776"/>
      <c r="J19" s="776"/>
      <c r="K19" s="776"/>
      <c r="L19" s="776"/>
      <c r="M19" s="776"/>
      <c r="N19" s="776"/>
      <c r="O19" s="776"/>
      <c r="P19" s="776"/>
    </row>
    <row r="20" spans="2:16" s="408" customFormat="1" hidden="1">
      <c r="B20" s="628"/>
      <c r="C20" s="628"/>
      <c r="D20" s="628"/>
      <c r="E20" s="628"/>
      <c r="F20" s="628"/>
      <c r="G20" s="628"/>
      <c r="H20" s="776"/>
      <c r="I20" s="776"/>
      <c r="J20" s="776"/>
      <c r="K20" s="776"/>
      <c r="L20" s="776"/>
      <c r="M20" s="776"/>
      <c r="N20" s="776">
        <v>8</v>
      </c>
      <c r="O20" s="634" t="s">
        <v>899</v>
      </c>
      <c r="P20" s="635"/>
    </row>
    <row r="21" spans="2:16" s="408" customFormat="1" hidden="1">
      <c r="B21" s="628"/>
      <c r="C21" s="628"/>
      <c r="D21" s="628"/>
      <c r="E21" s="628"/>
      <c r="F21" s="628"/>
      <c r="G21" s="628"/>
      <c r="H21" s="776"/>
      <c r="I21" s="776"/>
      <c r="J21" s="776"/>
      <c r="K21" s="776"/>
      <c r="L21" s="776"/>
      <c r="M21" s="776"/>
      <c r="N21" s="776"/>
      <c r="O21" s="776"/>
      <c r="P21" s="776"/>
    </row>
    <row r="22" spans="2:16" s="408" customFormat="1" hidden="1">
      <c r="B22" s="628"/>
      <c r="C22" s="628"/>
      <c r="D22" s="628"/>
      <c r="E22" s="628"/>
      <c r="F22" s="628"/>
      <c r="G22" s="628"/>
      <c r="H22" s="776"/>
      <c r="I22" s="776"/>
      <c r="J22" s="776"/>
      <c r="K22" s="776"/>
      <c r="L22" s="776"/>
      <c r="M22" s="776"/>
      <c r="N22" s="776">
        <v>9</v>
      </c>
      <c r="O22" s="634" t="s">
        <v>697</v>
      </c>
      <c r="P22" s="635"/>
    </row>
    <row r="23" spans="2:16" s="408" customFormat="1" hidden="1">
      <c r="B23" s="628"/>
      <c r="C23" s="628"/>
      <c r="D23" s="628"/>
      <c r="E23" s="628"/>
      <c r="F23" s="628"/>
      <c r="G23" s="628"/>
      <c r="H23" s="776"/>
      <c r="I23" s="776"/>
      <c r="J23" s="776"/>
      <c r="K23" s="776"/>
      <c r="L23" s="776"/>
      <c r="M23" s="776"/>
      <c r="N23" s="776"/>
      <c r="O23" s="776"/>
      <c r="P23" s="776"/>
    </row>
    <row r="24" spans="2:16" s="408" customFormat="1" hidden="1">
      <c r="B24" s="632" t="s">
        <v>890</v>
      </c>
      <c r="C24" s="628"/>
      <c r="D24" s="628"/>
      <c r="E24" s="628"/>
      <c r="F24" s="628"/>
      <c r="G24" s="628"/>
      <c r="H24" s="776"/>
      <c r="I24" s="776"/>
      <c r="J24" s="776"/>
      <c r="K24" s="776"/>
      <c r="L24" s="776"/>
      <c r="M24" s="776"/>
      <c r="N24" s="776">
        <v>10</v>
      </c>
      <c r="O24" s="634" t="s">
        <v>691</v>
      </c>
      <c r="P24" s="635"/>
    </row>
    <row r="25" spans="2:16" s="408" customFormat="1" hidden="1">
      <c r="B25" s="632" t="str">
        <f>I14</f>
        <v>Over last 4 years BRG EVA is $103m; WHS $6m</v>
      </c>
      <c r="C25" s="628"/>
      <c r="D25" s="628"/>
      <c r="E25" s="628"/>
      <c r="F25" s="628"/>
      <c r="G25" s="628"/>
      <c r="H25" s="776"/>
      <c r="I25" s="776"/>
      <c r="J25" s="776"/>
      <c r="K25" s="776"/>
      <c r="L25" s="776"/>
      <c r="M25" s="776"/>
      <c r="N25" s="776"/>
      <c r="O25" s="776"/>
      <c r="P25" s="776"/>
    </row>
    <row r="26" spans="2:16" s="409" customFormat="1" ht="13.5" hidden="1">
      <c r="B26" s="633"/>
      <c r="C26" s="628"/>
      <c r="D26" s="628"/>
      <c r="E26" s="628"/>
      <c r="F26" s="628"/>
      <c r="G26" s="628"/>
      <c r="H26" s="776"/>
      <c r="I26" s="776"/>
      <c r="J26" s="776"/>
      <c r="K26" s="776"/>
      <c r="L26" s="776"/>
      <c r="M26" s="776"/>
      <c r="N26" s="776">
        <v>11</v>
      </c>
      <c r="O26" s="634" t="s">
        <v>708</v>
      </c>
      <c r="P26" s="635"/>
    </row>
    <row r="27" spans="2:16" s="409" customFormat="1" ht="13.5" hidden="1">
      <c r="B27" s="632" t="str">
        <f>'X-Chart Basics'!D20</f>
        <v>Source: Annual Reports</v>
      </c>
      <c r="C27" s="628"/>
      <c r="D27" s="628"/>
      <c r="E27" s="628"/>
      <c r="F27" s="628"/>
      <c r="G27" s="633"/>
      <c r="H27" s="776"/>
      <c r="I27" s="776"/>
      <c r="J27" s="776"/>
      <c r="K27" s="776"/>
      <c r="L27" s="776"/>
      <c r="M27" s="776"/>
      <c r="N27" s="776"/>
      <c r="O27" s="776"/>
      <c r="P27" s="776"/>
    </row>
    <row r="28" spans="2:16" s="408" customFormat="1" hidden="1">
      <c r="B28" s="632" t="str">
        <f>'X-Chart Basics'!F18</f>
        <v xml:space="preserve">Ireland, Wallace &amp; Associates </v>
      </c>
      <c r="C28" s="628"/>
      <c r="D28" s="628"/>
      <c r="E28" s="628"/>
      <c r="F28" s="628"/>
      <c r="G28" s="628"/>
      <c r="H28" s="776"/>
      <c r="I28" s="776"/>
      <c r="J28" s="776"/>
      <c r="K28" s="776"/>
      <c r="L28" s="776"/>
      <c r="M28" s="776"/>
      <c r="N28" s="776">
        <v>12</v>
      </c>
      <c r="O28" s="634"/>
      <c r="P28" s="635"/>
    </row>
    <row r="29" spans="2:16" s="408" customFormat="1" hidden="1">
      <c r="B29" s="776"/>
      <c r="C29" s="776"/>
      <c r="D29" s="776"/>
      <c r="E29" s="776"/>
      <c r="F29" s="776"/>
      <c r="G29" s="776"/>
      <c r="H29" s="776"/>
      <c r="I29" s="776"/>
      <c r="J29" s="776"/>
      <c r="K29" s="776"/>
      <c r="L29" s="776"/>
      <c r="M29" s="776"/>
      <c r="N29" s="776"/>
      <c r="O29" s="776"/>
      <c r="P29" s="776"/>
    </row>
    <row r="30" spans="2:16" s="408" customFormat="1" hidden="1">
      <c r="B30" s="1" t="s">
        <v>900</v>
      </c>
      <c r="C30" s="776"/>
      <c r="D30" s="776"/>
      <c r="E30" s="776"/>
      <c r="F30" s="776"/>
      <c r="G30" s="776"/>
      <c r="H30" s="776"/>
      <c r="I30" s="776"/>
      <c r="J30" s="776"/>
      <c r="K30" s="776"/>
      <c r="L30" s="776"/>
      <c r="M30" s="776"/>
      <c r="N30" s="776"/>
      <c r="O30" s="776"/>
      <c r="P30" s="776"/>
    </row>
    <row r="31" spans="2:16" s="409" customFormat="1" ht="15" hidden="1">
      <c r="B31" s="372"/>
      <c r="C31" s="373" t="s">
        <v>554</v>
      </c>
      <c r="D31" s="386">
        <v>2008</v>
      </c>
      <c r="E31" s="386">
        <f t="shared" ref="E31:M31" si="0">D31+1</f>
        <v>2009</v>
      </c>
      <c r="F31" s="386">
        <f t="shared" si="0"/>
        <v>2010</v>
      </c>
      <c r="G31" s="386">
        <f t="shared" si="0"/>
        <v>2011</v>
      </c>
      <c r="H31" s="386">
        <f t="shared" si="0"/>
        <v>2012</v>
      </c>
      <c r="I31" s="386">
        <f t="shared" si="0"/>
        <v>2013</v>
      </c>
      <c r="J31" s="386">
        <f t="shared" si="0"/>
        <v>2014</v>
      </c>
      <c r="K31" s="386">
        <f t="shared" si="0"/>
        <v>2015</v>
      </c>
      <c r="L31" s="386">
        <f t="shared" si="0"/>
        <v>2016</v>
      </c>
      <c r="M31" s="386">
        <f t="shared" si="0"/>
        <v>2017</v>
      </c>
      <c r="N31" s="504" t="s">
        <v>901</v>
      </c>
      <c r="O31" s="504" t="s">
        <v>902</v>
      </c>
      <c r="P31" s="504" t="s">
        <v>903</v>
      </c>
    </row>
    <row r="32" spans="2:16" s="409" customFormat="1" hidden="1">
      <c r="B32" s="458" t="s">
        <v>840</v>
      </c>
      <c r="C32" s="458"/>
      <c r="D32" s="455" t="e">
        <f>'18 Data for Charts'!O5/1000</f>
        <v>#REF!</v>
      </c>
      <c r="E32" s="455" t="e">
        <f>'18 Data for Charts'!P5/1000</f>
        <v>#REF!</v>
      </c>
      <c r="F32" s="455" t="e">
        <f>'18 Data for Charts'!Q5/1000</f>
        <v>#REF!</v>
      </c>
      <c r="G32" s="455" t="e">
        <f>'18 Data for Charts'!R5/1000</f>
        <v>#REF!</v>
      </c>
      <c r="H32" s="455" t="e">
        <f>'18 Data for Charts'!S5/1000</f>
        <v>#REF!</v>
      </c>
      <c r="I32" s="455" t="e">
        <f>'18 Data for Charts'!T5/1000</f>
        <v>#REF!</v>
      </c>
      <c r="J32" s="455" t="e">
        <f>'18 Data for Charts'!#REF!/1000</f>
        <v>#REF!</v>
      </c>
      <c r="K32" s="455" t="e">
        <f>'18 Data for Charts'!#REF!/1000</f>
        <v>#REF!</v>
      </c>
      <c r="L32" s="455" t="e">
        <f>'18 Data for Charts'!#REF!/1000</f>
        <v>#REF!</v>
      </c>
      <c r="M32" s="455" t="e">
        <f>'18 Data for Charts'!#REF!/1000</f>
        <v>#REF!</v>
      </c>
      <c r="N32" s="404"/>
      <c r="O32" s="415"/>
      <c r="P32" s="415"/>
    </row>
    <row r="33" spans="1:51" s="409" customFormat="1" ht="13.5" hidden="1">
      <c r="A33" s="776"/>
      <c r="B33" s="459" t="s">
        <v>839</v>
      </c>
      <c r="C33" s="460" t="s">
        <v>554</v>
      </c>
      <c r="D33" s="455" t="e">
        <f>#REF!/1000</f>
        <v>#REF!</v>
      </c>
      <c r="E33" s="455" t="e">
        <f>#REF!/1000</f>
        <v>#REF!</v>
      </c>
      <c r="F33" s="455" t="e">
        <f>#REF!/1000</f>
        <v>#REF!</v>
      </c>
      <c r="G33" s="455" t="e">
        <f>#REF!/1000</f>
        <v>#REF!</v>
      </c>
      <c r="H33" s="455" t="e">
        <f>#REF!/1000</f>
        <v>#REF!</v>
      </c>
      <c r="I33" s="455" t="e">
        <f>#REF!/1000</f>
        <v>#REF!</v>
      </c>
      <c r="J33" s="455" t="e">
        <f>#REF!/1000</f>
        <v>#REF!</v>
      </c>
      <c r="K33" s="455" t="e">
        <f>#REF!/1000</f>
        <v>#REF!</v>
      </c>
      <c r="L33" s="455" t="e">
        <f>#REF!/1000</f>
        <v>#REF!</v>
      </c>
      <c r="M33" s="455" t="e">
        <f>#REF!/1000</f>
        <v>#REF!</v>
      </c>
      <c r="N33" s="405"/>
      <c r="O33" s="416"/>
      <c r="P33" s="416"/>
      <c r="Q33" s="776"/>
      <c r="R33" s="776"/>
      <c r="S33" s="776"/>
      <c r="T33" s="776"/>
      <c r="U33" s="776"/>
      <c r="V33" s="776"/>
      <c r="W33" s="776"/>
      <c r="X33" s="776"/>
      <c r="Y33" s="776"/>
      <c r="Z33" s="776"/>
      <c r="AA33" s="776"/>
      <c r="AB33" s="776"/>
      <c r="AC33" s="776"/>
      <c r="AD33" s="776"/>
      <c r="AE33" s="776"/>
      <c r="AF33" s="776"/>
      <c r="AG33" s="776"/>
      <c r="AH33" s="776"/>
      <c r="AI33" s="776"/>
      <c r="AJ33" s="776"/>
      <c r="AK33" s="776"/>
      <c r="AL33" s="776"/>
      <c r="AM33" s="776"/>
      <c r="AN33" s="776"/>
      <c r="AO33" s="776"/>
      <c r="AP33" s="776"/>
      <c r="AQ33" s="776"/>
      <c r="AR33" s="776"/>
      <c r="AS33" s="776"/>
      <c r="AT33" s="776"/>
      <c r="AU33" s="776"/>
      <c r="AV33" s="776"/>
      <c r="AW33" s="776"/>
      <c r="AX33" s="776"/>
      <c r="AY33" s="776"/>
    </row>
    <row r="34" spans="1:51" s="408" customFormat="1" hidden="1">
      <c r="A34" s="776"/>
      <c r="B34" s="776"/>
      <c r="C34" s="776"/>
      <c r="D34" s="1"/>
      <c r="E34" s="1"/>
      <c r="F34" s="51"/>
      <c r="G34" s="7"/>
      <c r="H34" s="776"/>
      <c r="I34" s="28"/>
      <c r="J34" s="28"/>
      <c r="K34" s="28"/>
      <c r="L34" s="28"/>
      <c r="M34" s="28"/>
      <c r="N34" s="50"/>
      <c r="O34" s="28"/>
      <c r="P34" s="28"/>
      <c r="Q34" s="50"/>
      <c r="R34" s="776"/>
      <c r="S34" s="776"/>
      <c r="T34" s="776"/>
      <c r="U34" s="776"/>
      <c r="V34" s="776"/>
      <c r="W34" s="776"/>
      <c r="X34" s="776"/>
      <c r="Y34" s="776"/>
      <c r="Z34" s="776"/>
      <c r="AA34" s="776"/>
      <c r="AB34" s="776"/>
      <c r="AC34" s="776"/>
      <c r="AD34" s="776"/>
      <c r="AE34" s="776"/>
      <c r="AF34" s="776"/>
      <c r="AG34" s="776"/>
      <c r="AH34" s="776"/>
      <c r="AI34" s="776"/>
      <c r="AJ34" s="776"/>
      <c r="AK34" s="776"/>
      <c r="AL34" s="776"/>
      <c r="AM34" s="776"/>
      <c r="AN34" s="776"/>
      <c r="AO34" s="776"/>
      <c r="AP34" s="776"/>
      <c r="AQ34" s="776"/>
      <c r="AR34" s="776"/>
      <c r="AS34" s="776"/>
      <c r="AT34" s="776"/>
      <c r="AU34" s="776"/>
      <c r="AV34" s="776"/>
      <c r="AW34" s="776"/>
      <c r="AX34" s="776"/>
      <c r="AY34" s="776"/>
    </row>
    <row r="35" spans="1:51" s="408" customFormat="1" ht="14.25" hidden="1">
      <c r="A35" s="776"/>
      <c r="B35" s="531" t="s">
        <v>904</v>
      </c>
      <c r="C35" s="62"/>
      <c r="D35" s="532"/>
      <c r="E35" s="532"/>
      <c r="F35" s="44"/>
      <c r="G35" s="44"/>
      <c r="H35" s="776"/>
      <c r="I35" s="28"/>
      <c r="J35" s="28"/>
      <c r="K35" s="28"/>
      <c r="L35" s="28"/>
      <c r="M35" s="28"/>
      <c r="N35" s="50"/>
      <c r="O35" s="28"/>
      <c r="P35" s="28"/>
      <c r="Q35" s="50"/>
      <c r="R35" s="776"/>
      <c r="S35" s="776"/>
      <c r="T35" s="776"/>
      <c r="U35" s="776"/>
      <c r="V35" s="776"/>
      <c r="W35" s="776"/>
      <c r="X35" s="776"/>
      <c r="Y35" s="776"/>
      <c r="Z35" s="776"/>
      <c r="AA35" s="776"/>
      <c r="AB35" s="776"/>
      <c r="AC35" s="776"/>
      <c r="AD35" s="776"/>
      <c r="AE35" s="776"/>
      <c r="AF35" s="776"/>
      <c r="AG35" s="776"/>
      <c r="AH35" s="776"/>
      <c r="AI35" s="776"/>
      <c r="AJ35" s="776"/>
      <c r="AK35" s="776"/>
      <c r="AL35" s="776"/>
      <c r="AM35" s="776"/>
      <c r="AN35" s="776"/>
      <c r="AO35" s="776"/>
      <c r="AP35" s="776"/>
      <c r="AQ35" s="776"/>
      <c r="AR35" s="776"/>
      <c r="AS35" s="776"/>
      <c r="AT35" s="776"/>
      <c r="AU35" s="776"/>
      <c r="AV35" s="776"/>
      <c r="AW35" s="776"/>
      <c r="AX35" s="776"/>
      <c r="AY35" s="776"/>
    </row>
    <row r="36" spans="1:51" s="353" customFormat="1" ht="14.25" hidden="1">
      <c r="A36" s="776"/>
      <c r="B36" s="776"/>
      <c r="C36" s="182"/>
      <c r="D36" s="776"/>
      <c r="E36" s="776"/>
      <c r="F36" s="776"/>
      <c r="G36" s="776"/>
      <c r="H36" s="776"/>
      <c r="I36" s="776"/>
      <c r="J36" s="776"/>
      <c r="K36" s="776"/>
      <c r="L36" s="776"/>
      <c r="M36" s="776"/>
      <c r="N36" s="776"/>
      <c r="O36" s="776"/>
      <c r="P36" s="776"/>
      <c r="Q36" s="776"/>
      <c r="R36" s="776"/>
      <c r="S36" s="776"/>
      <c r="T36" s="776"/>
      <c r="U36" s="776"/>
      <c r="V36" s="776"/>
      <c r="W36" s="776"/>
      <c r="X36" s="776"/>
      <c r="Y36" s="776"/>
      <c r="Z36" s="776"/>
      <c r="AA36" s="776"/>
      <c r="AB36" s="776"/>
      <c r="AC36" s="776"/>
      <c r="AD36" s="776"/>
      <c r="AE36" s="776"/>
      <c r="AF36" s="776"/>
      <c r="AG36" s="776"/>
      <c r="AH36" s="776"/>
      <c r="AI36" s="776"/>
      <c r="AJ36" s="776"/>
      <c r="AK36" s="776"/>
      <c r="AL36" s="776"/>
      <c r="AM36" s="776"/>
      <c r="AN36" s="776"/>
      <c r="AO36" s="776"/>
      <c r="AP36" s="776"/>
      <c r="AQ36" s="776"/>
      <c r="AR36" s="776"/>
      <c r="AS36" s="776"/>
      <c r="AT36" s="776"/>
      <c r="AU36" s="776"/>
      <c r="AV36" s="776"/>
      <c r="AW36" s="776"/>
      <c r="AX36" s="776"/>
      <c r="AY36" s="776"/>
    </row>
    <row r="37" spans="1:51" s="352" customFormat="1" ht="19.5" hidden="1">
      <c r="A37" s="776"/>
      <c r="B37" s="434" t="str">
        <f>I37</f>
        <v>Returns above cost of capital</v>
      </c>
      <c r="C37" s="437"/>
      <c r="D37" s="437"/>
      <c r="E37" s="437"/>
      <c r="F37" s="418"/>
      <c r="G37" s="127"/>
      <c r="H37" s="776"/>
      <c r="I37" s="438" t="s">
        <v>905</v>
      </c>
      <c r="J37" s="50"/>
      <c r="K37" s="776"/>
      <c r="L37" s="776"/>
      <c r="M37" s="776"/>
      <c r="N37" s="776"/>
      <c r="O37" s="776"/>
      <c r="P37" s="776"/>
      <c r="Q37" s="776"/>
      <c r="R37" s="776"/>
      <c r="S37" s="776"/>
      <c r="T37" s="776"/>
      <c r="U37" s="776"/>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6"/>
      <c r="AR37" s="776"/>
      <c r="AS37" s="776"/>
      <c r="AT37" s="776"/>
      <c r="AU37" s="776"/>
      <c r="AV37" s="776"/>
      <c r="AW37" s="776"/>
      <c r="AX37" s="776"/>
      <c r="AY37" s="776"/>
    </row>
    <row r="38" spans="1:51" s="352" customFormat="1" ht="16.5" hidden="1">
      <c r="A38" s="776"/>
      <c r="B38" s="413" t="s">
        <v>906</v>
      </c>
      <c r="C38" s="127"/>
      <c r="D38" s="127"/>
      <c r="E38" s="127"/>
      <c r="F38" s="418"/>
      <c r="G38" s="127"/>
      <c r="H38" s="776"/>
      <c r="I38" s="414" t="s">
        <v>732</v>
      </c>
      <c r="J38" s="50"/>
      <c r="K38" s="776"/>
      <c r="L38" s="776"/>
      <c r="M38" s="776"/>
      <c r="N38" s="776"/>
      <c r="O38" s="776"/>
      <c r="P38" s="776"/>
      <c r="Q38" s="776"/>
      <c r="R38" s="776"/>
      <c r="S38" s="776"/>
      <c r="T38" s="776"/>
      <c r="U38" s="776"/>
      <c r="V38" s="776"/>
      <c r="W38" s="776"/>
      <c r="X38" s="776"/>
      <c r="Y38" s="776"/>
      <c r="Z38" s="776"/>
      <c r="AA38" s="776"/>
      <c r="AB38" s="776"/>
      <c r="AC38" s="776"/>
      <c r="AD38" s="776"/>
      <c r="AE38" s="776"/>
      <c r="AF38" s="776"/>
      <c r="AG38" s="776"/>
      <c r="AH38" s="776"/>
      <c r="AI38" s="776"/>
      <c r="AJ38" s="776"/>
      <c r="AK38" s="776"/>
      <c r="AL38" s="776"/>
      <c r="AM38" s="776"/>
      <c r="AN38" s="776"/>
      <c r="AO38" s="776"/>
      <c r="AP38" s="776"/>
      <c r="AQ38" s="776"/>
      <c r="AR38" s="776"/>
      <c r="AS38" s="776"/>
      <c r="AT38" s="776"/>
      <c r="AU38" s="776"/>
      <c r="AV38" s="776"/>
      <c r="AW38" s="776"/>
      <c r="AX38" s="776"/>
      <c r="AY38" s="776"/>
    </row>
    <row r="39" spans="1:51" s="352" customFormat="1" ht="13.5" hidden="1">
      <c r="A39" s="776"/>
      <c r="B39" s="410" t="str">
        <f>'X-Chart Basics'!D21</f>
        <v>2008 to 2016</v>
      </c>
      <c r="C39" s="127"/>
      <c r="D39" s="127"/>
      <c r="E39" s="127"/>
      <c r="F39" s="418"/>
      <c r="G39" s="127"/>
      <c r="H39" s="776"/>
      <c r="I39" s="414" t="s">
        <v>907</v>
      </c>
      <c r="J39" s="50"/>
      <c r="K39" s="776"/>
      <c r="L39" s="776"/>
      <c r="M39" s="776"/>
      <c r="N39" s="776"/>
      <c r="O39" s="776"/>
      <c r="P39" s="776"/>
      <c r="Q39" s="776"/>
      <c r="R39" s="776"/>
      <c r="S39" s="776"/>
      <c r="T39" s="776"/>
      <c r="U39" s="776"/>
      <c r="V39" s="776"/>
      <c r="W39" s="776"/>
      <c r="X39" s="776"/>
      <c r="Y39" s="776"/>
      <c r="Z39" s="776"/>
      <c r="AA39" s="776"/>
      <c r="AB39" s="776"/>
      <c r="AC39" s="776"/>
      <c r="AD39" s="776"/>
      <c r="AE39" s="776"/>
      <c r="AF39" s="776"/>
      <c r="AG39" s="776"/>
      <c r="AH39" s="776"/>
      <c r="AI39" s="776"/>
      <c r="AJ39" s="776"/>
      <c r="AK39" s="776"/>
      <c r="AL39" s="776"/>
      <c r="AM39" s="776"/>
      <c r="AN39" s="776"/>
      <c r="AO39" s="776"/>
      <c r="AP39" s="776"/>
      <c r="AQ39" s="776"/>
      <c r="AR39" s="776"/>
      <c r="AS39" s="776"/>
      <c r="AT39" s="776"/>
      <c r="AU39" s="776"/>
      <c r="AV39" s="776"/>
      <c r="AW39" s="776"/>
      <c r="AX39" s="776"/>
      <c r="AY39" s="776"/>
    </row>
    <row r="40" spans="1:51" s="352" customFormat="1" ht="13.5" hidden="1">
      <c r="A40" s="776"/>
      <c r="B40" s="411"/>
      <c r="C40" s="127"/>
      <c r="D40" s="127"/>
      <c r="E40" s="127"/>
      <c r="F40" s="418"/>
      <c r="G40" s="127"/>
      <c r="H40" s="776"/>
      <c r="I40" s="414" t="s">
        <v>908</v>
      </c>
      <c r="J40" s="50"/>
      <c r="K40" s="776"/>
      <c r="L40" s="776"/>
      <c r="M40" s="776"/>
      <c r="N40" s="776"/>
      <c r="O40" s="776"/>
      <c r="P40" s="776"/>
      <c r="Q40" s="776"/>
      <c r="R40" s="776"/>
      <c r="S40" s="776"/>
      <c r="T40" s="776"/>
      <c r="U40" s="776"/>
      <c r="V40" s="776"/>
      <c r="W40" s="776"/>
      <c r="X40" s="776"/>
      <c r="Y40" s="776"/>
      <c r="Z40" s="776"/>
      <c r="AA40" s="776"/>
      <c r="AB40" s="776"/>
      <c r="AC40" s="776"/>
      <c r="AD40" s="776"/>
      <c r="AE40" s="776"/>
      <c r="AF40" s="776"/>
      <c r="AG40" s="776"/>
      <c r="AH40" s="776"/>
      <c r="AI40" s="776"/>
      <c r="AJ40" s="776"/>
      <c r="AK40" s="776"/>
      <c r="AL40" s="776"/>
      <c r="AM40" s="776"/>
      <c r="AN40" s="776"/>
      <c r="AO40" s="776"/>
      <c r="AP40" s="776"/>
      <c r="AQ40" s="776"/>
      <c r="AR40" s="776"/>
      <c r="AS40" s="776"/>
      <c r="AT40" s="776"/>
      <c r="AU40" s="776"/>
      <c r="AV40" s="776"/>
      <c r="AW40" s="776"/>
      <c r="AX40" s="776"/>
      <c r="AY40" s="776"/>
    </row>
    <row r="41" spans="1:51" s="352" customFormat="1" ht="13.5" hidden="1">
      <c r="A41" s="776"/>
      <c r="B41" s="776"/>
      <c r="C41" s="776"/>
      <c r="D41" s="776"/>
      <c r="E41" s="776"/>
      <c r="F41" s="418"/>
      <c r="G41" s="776"/>
      <c r="H41" s="776"/>
      <c r="I41" s="414" t="s">
        <v>909</v>
      </c>
      <c r="J41" s="50"/>
      <c r="K41" s="776"/>
      <c r="L41" s="776"/>
      <c r="M41" s="776"/>
      <c r="N41" s="776"/>
      <c r="O41" s="776"/>
      <c r="P41" s="776"/>
      <c r="Q41" s="776"/>
      <c r="R41" s="776"/>
      <c r="S41" s="776"/>
      <c r="T41" s="776"/>
      <c r="U41" s="776"/>
      <c r="V41" s="776"/>
      <c r="W41" s="776"/>
      <c r="X41" s="776"/>
      <c r="Y41" s="776"/>
      <c r="Z41" s="776"/>
      <c r="AA41" s="776"/>
      <c r="AB41" s="776"/>
      <c r="AC41" s="776"/>
      <c r="AD41" s="776"/>
      <c r="AE41" s="776"/>
      <c r="AF41" s="776"/>
      <c r="AG41" s="776"/>
      <c r="AH41" s="776"/>
      <c r="AI41" s="776"/>
      <c r="AJ41" s="776"/>
      <c r="AK41" s="776"/>
      <c r="AL41" s="776"/>
      <c r="AM41" s="776"/>
      <c r="AN41" s="776"/>
      <c r="AO41" s="776"/>
      <c r="AP41" s="776"/>
      <c r="AQ41" s="776"/>
      <c r="AR41" s="776"/>
      <c r="AS41" s="776"/>
      <c r="AT41" s="776"/>
      <c r="AU41" s="776"/>
      <c r="AV41" s="776"/>
      <c r="AW41" s="776"/>
      <c r="AX41" s="776"/>
      <c r="AY41" s="776"/>
    </row>
    <row r="42" spans="1:51" s="352" customFormat="1" hidden="1">
      <c r="A42" s="776"/>
      <c r="B42" s="776"/>
      <c r="C42" s="776"/>
      <c r="D42" s="776"/>
      <c r="E42" s="776"/>
      <c r="F42" s="418"/>
      <c r="G42" s="776"/>
      <c r="H42" s="776"/>
      <c r="I42" s="776"/>
      <c r="J42" s="50"/>
      <c r="K42" s="776"/>
      <c r="L42" s="776"/>
      <c r="M42" s="776"/>
      <c r="N42" s="776"/>
      <c r="O42" s="776"/>
      <c r="P42" s="776"/>
      <c r="Q42" s="776"/>
      <c r="R42" s="776"/>
      <c r="S42" s="776"/>
      <c r="T42" s="776"/>
      <c r="U42" s="776"/>
      <c r="V42" s="776"/>
      <c r="W42" s="776"/>
      <c r="X42" s="776"/>
      <c r="Y42" s="776"/>
      <c r="Z42" s="776"/>
      <c r="AA42" s="776"/>
      <c r="AB42" s="776"/>
      <c r="AC42" s="776"/>
      <c r="AD42" s="776"/>
      <c r="AE42" s="776"/>
      <c r="AF42" s="776"/>
      <c r="AG42" s="776"/>
      <c r="AH42" s="776"/>
      <c r="AI42" s="776"/>
      <c r="AJ42" s="776"/>
      <c r="AK42" s="776"/>
      <c r="AL42" s="776"/>
      <c r="AM42" s="776"/>
      <c r="AN42" s="776"/>
      <c r="AO42" s="776"/>
      <c r="AP42" s="776"/>
      <c r="AQ42" s="776"/>
      <c r="AR42" s="776"/>
      <c r="AS42" s="776"/>
      <c r="AT42" s="776"/>
      <c r="AU42" s="776"/>
      <c r="AV42" s="776"/>
      <c r="AW42" s="776"/>
      <c r="AX42" s="776"/>
      <c r="AY42" s="776"/>
    </row>
    <row r="43" spans="1:51" s="352" customFormat="1" hidden="1">
      <c r="A43" s="776"/>
      <c r="B43" s="776"/>
      <c r="C43" s="776"/>
      <c r="D43" s="776"/>
      <c r="E43" s="776"/>
      <c r="F43" s="418"/>
      <c r="G43" s="776"/>
      <c r="H43" s="776"/>
      <c r="I43" s="776"/>
      <c r="J43" s="50"/>
      <c r="K43" s="776"/>
      <c r="L43" s="776"/>
      <c r="M43" s="776"/>
      <c r="N43" s="776"/>
      <c r="O43" s="776"/>
      <c r="P43" s="776"/>
      <c r="Q43" s="776"/>
      <c r="R43" s="776"/>
      <c r="S43" s="776"/>
      <c r="T43" s="776"/>
      <c r="U43" s="776"/>
      <c r="V43" s="776"/>
      <c r="W43" s="776"/>
      <c r="X43" s="776"/>
      <c r="Y43" s="776"/>
      <c r="Z43" s="776"/>
      <c r="AA43" s="776"/>
      <c r="AB43" s="776"/>
      <c r="AC43" s="776"/>
      <c r="AD43" s="776"/>
      <c r="AE43" s="776"/>
      <c r="AF43" s="776"/>
      <c r="AG43" s="776"/>
      <c r="AH43" s="776"/>
      <c r="AI43" s="776"/>
      <c r="AJ43" s="776"/>
      <c r="AK43" s="776"/>
      <c r="AL43" s="776"/>
      <c r="AM43" s="776"/>
      <c r="AN43" s="776"/>
      <c r="AO43" s="776"/>
      <c r="AP43" s="776"/>
      <c r="AQ43" s="776"/>
      <c r="AR43" s="776"/>
      <c r="AS43" s="776"/>
      <c r="AT43" s="776"/>
      <c r="AU43" s="776"/>
      <c r="AV43" s="776"/>
      <c r="AW43" s="776"/>
      <c r="AX43" s="776"/>
      <c r="AY43" s="776"/>
    </row>
    <row r="44" spans="1:51" s="352" customFormat="1" hidden="1">
      <c r="A44" s="776"/>
      <c r="B44" s="776"/>
      <c r="C44" s="776"/>
      <c r="D44" s="776"/>
      <c r="E44" s="776"/>
      <c r="F44" s="418"/>
      <c r="G44" s="776"/>
      <c r="H44" s="776"/>
      <c r="I44" s="776"/>
      <c r="J44" s="50"/>
      <c r="K44" s="776"/>
      <c r="L44" s="776"/>
      <c r="M44" s="776"/>
      <c r="N44" s="776"/>
      <c r="O44" s="776"/>
      <c r="P44" s="776"/>
      <c r="Q44" s="776"/>
      <c r="R44" s="776"/>
      <c r="S44" s="776"/>
      <c r="T44" s="776"/>
      <c r="U44" s="776"/>
      <c r="V44" s="776"/>
      <c r="W44" s="776"/>
      <c r="X44" s="776"/>
      <c r="Y44" s="776"/>
      <c r="Z44" s="776"/>
      <c r="AA44" s="776"/>
      <c r="AB44" s="776"/>
      <c r="AC44" s="776"/>
      <c r="AD44" s="776"/>
      <c r="AE44" s="776"/>
      <c r="AF44" s="776"/>
      <c r="AG44" s="776"/>
      <c r="AH44" s="776"/>
      <c r="AI44" s="776"/>
      <c r="AJ44" s="776"/>
      <c r="AK44" s="776"/>
      <c r="AL44" s="776"/>
      <c r="AM44" s="776"/>
      <c r="AN44" s="776"/>
      <c r="AO44" s="776"/>
      <c r="AP44" s="776"/>
      <c r="AQ44" s="776"/>
      <c r="AR44" s="776"/>
      <c r="AS44" s="776"/>
      <c r="AT44" s="776"/>
      <c r="AU44" s="776"/>
      <c r="AV44" s="776"/>
      <c r="AW44" s="776"/>
      <c r="AX44" s="776"/>
      <c r="AY44" s="776"/>
    </row>
    <row r="45" spans="1:51" s="352" customFormat="1" hidden="1">
      <c r="A45" s="776"/>
      <c r="B45" s="776"/>
      <c r="C45" s="776"/>
      <c r="D45" s="776"/>
      <c r="E45" s="776"/>
      <c r="F45" s="418"/>
      <c r="G45" s="776"/>
      <c r="H45" s="776"/>
      <c r="I45" s="776"/>
      <c r="J45" s="50"/>
      <c r="K45" s="776"/>
      <c r="L45" s="776"/>
      <c r="M45" s="776"/>
      <c r="N45" s="776"/>
      <c r="O45" s="776"/>
      <c r="P45" s="776"/>
      <c r="Q45" s="776"/>
      <c r="R45" s="776"/>
      <c r="S45" s="776"/>
      <c r="T45" s="776"/>
      <c r="U45" s="776"/>
      <c r="V45" s="776"/>
      <c r="W45" s="776"/>
      <c r="X45" s="776"/>
      <c r="Y45" s="776"/>
      <c r="Z45" s="776"/>
      <c r="AA45" s="776"/>
      <c r="AB45" s="776"/>
      <c r="AC45" s="776"/>
      <c r="AD45" s="776"/>
      <c r="AE45" s="776"/>
      <c r="AF45" s="776"/>
      <c r="AG45" s="776"/>
      <c r="AH45" s="776"/>
      <c r="AI45" s="776"/>
      <c r="AJ45" s="776"/>
      <c r="AK45" s="776"/>
      <c r="AL45" s="776"/>
      <c r="AM45" s="776"/>
      <c r="AN45" s="776"/>
      <c r="AO45" s="776"/>
      <c r="AP45" s="776"/>
      <c r="AQ45" s="776"/>
      <c r="AR45" s="776"/>
      <c r="AS45" s="776"/>
      <c r="AT45" s="776"/>
      <c r="AU45" s="776"/>
      <c r="AV45" s="776"/>
      <c r="AW45" s="776"/>
      <c r="AX45" s="776"/>
      <c r="AY45" s="776"/>
    </row>
    <row r="46" spans="1:51" s="352" customFormat="1" hidden="1">
      <c r="A46" s="776"/>
      <c r="B46" s="776"/>
      <c r="C46" s="776"/>
      <c r="D46" s="776"/>
      <c r="E46" s="776"/>
      <c r="F46" s="418"/>
      <c r="G46" s="776"/>
      <c r="H46" s="776"/>
      <c r="I46" s="776"/>
      <c r="J46" s="50"/>
      <c r="K46" s="776"/>
      <c r="L46" s="776"/>
      <c r="M46" s="776"/>
      <c r="N46" s="776"/>
      <c r="O46" s="776"/>
      <c r="P46" s="776"/>
      <c r="Q46" s="776"/>
      <c r="R46" s="776"/>
      <c r="S46" s="776"/>
      <c r="T46" s="776"/>
      <c r="U46" s="776"/>
      <c r="V46" s="776"/>
      <c r="W46" s="776"/>
      <c r="X46" s="776"/>
      <c r="Y46" s="776"/>
      <c r="Z46" s="776"/>
      <c r="AA46" s="776"/>
      <c r="AB46" s="776"/>
      <c r="AC46" s="776"/>
      <c r="AD46" s="776"/>
      <c r="AE46" s="776"/>
      <c r="AF46" s="776"/>
      <c r="AG46" s="776"/>
      <c r="AH46" s="776"/>
      <c r="AI46" s="776"/>
      <c r="AJ46" s="776"/>
      <c r="AK46" s="776"/>
      <c r="AL46" s="776"/>
      <c r="AM46" s="776"/>
      <c r="AN46" s="776"/>
      <c r="AO46" s="776"/>
      <c r="AP46" s="776"/>
      <c r="AQ46" s="776"/>
      <c r="AR46" s="776"/>
      <c r="AS46" s="776"/>
      <c r="AT46" s="776"/>
      <c r="AU46" s="776"/>
      <c r="AV46" s="776"/>
      <c r="AW46" s="776"/>
      <c r="AX46" s="776"/>
      <c r="AY46" s="776"/>
    </row>
    <row r="47" spans="1:51" s="352" customFormat="1" hidden="1">
      <c r="A47" s="776"/>
      <c r="B47" s="776"/>
      <c r="C47" s="776"/>
      <c r="D47" s="776"/>
      <c r="E47" s="776"/>
      <c r="F47" s="418"/>
      <c r="G47" s="776"/>
      <c r="H47" s="776"/>
      <c r="I47" s="776"/>
      <c r="J47" s="50"/>
      <c r="K47" s="776"/>
      <c r="L47" s="776"/>
      <c r="M47" s="776"/>
      <c r="N47" s="776"/>
      <c r="O47" s="776"/>
      <c r="P47" s="776"/>
      <c r="Q47" s="776"/>
      <c r="R47" s="776"/>
      <c r="S47" s="776"/>
      <c r="T47" s="776"/>
      <c r="U47" s="776"/>
      <c r="V47" s="776"/>
      <c r="W47" s="776"/>
      <c r="X47" s="776"/>
      <c r="Y47" s="776"/>
      <c r="Z47" s="776"/>
      <c r="AA47" s="776"/>
      <c r="AB47" s="776"/>
      <c r="AC47" s="776"/>
      <c r="AD47" s="776"/>
      <c r="AE47" s="776"/>
      <c r="AF47" s="776"/>
      <c r="AG47" s="776"/>
      <c r="AH47" s="776"/>
      <c r="AI47" s="776"/>
      <c r="AJ47" s="776"/>
      <c r="AK47" s="776"/>
      <c r="AL47" s="776"/>
      <c r="AM47" s="776"/>
      <c r="AN47" s="776"/>
      <c r="AO47" s="776"/>
      <c r="AP47" s="776"/>
      <c r="AQ47" s="776"/>
      <c r="AR47" s="776"/>
      <c r="AS47" s="776"/>
      <c r="AT47" s="776"/>
      <c r="AU47" s="776"/>
      <c r="AV47" s="776"/>
      <c r="AW47" s="776"/>
      <c r="AX47" s="776"/>
      <c r="AY47" s="776"/>
    </row>
    <row r="48" spans="1:51" s="352" customFormat="1" hidden="1">
      <c r="A48" s="776"/>
      <c r="B48" s="776"/>
      <c r="C48" s="776"/>
      <c r="D48" s="776"/>
      <c r="E48" s="776"/>
      <c r="F48" s="418"/>
      <c r="G48" s="776"/>
      <c r="H48" s="776"/>
      <c r="I48" s="776"/>
      <c r="J48" s="50"/>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c r="AM48" s="776"/>
      <c r="AN48" s="776"/>
      <c r="AO48" s="776"/>
      <c r="AP48" s="776"/>
      <c r="AQ48" s="776"/>
      <c r="AR48" s="776"/>
      <c r="AS48" s="776"/>
      <c r="AT48" s="776"/>
      <c r="AU48" s="776"/>
      <c r="AV48" s="776"/>
      <c r="AW48" s="776"/>
      <c r="AX48" s="776"/>
      <c r="AY48" s="776"/>
    </row>
    <row r="49" spans="1:51" s="352" customFormat="1" hidden="1">
      <c r="A49" s="776"/>
      <c r="B49" s="776"/>
      <c r="C49" s="776"/>
      <c r="D49" s="776"/>
      <c r="E49" s="776"/>
      <c r="F49" s="418"/>
      <c r="G49" s="776"/>
      <c r="H49" s="776"/>
      <c r="I49" s="776"/>
      <c r="J49" s="50"/>
      <c r="K49" s="776"/>
      <c r="L49" s="776"/>
      <c r="M49" s="776"/>
      <c r="N49" s="776"/>
      <c r="O49" s="776"/>
      <c r="P49" s="776"/>
      <c r="Q49" s="776"/>
      <c r="R49" s="776"/>
      <c r="S49" s="776"/>
      <c r="T49" s="776"/>
      <c r="U49" s="776"/>
      <c r="V49" s="776"/>
      <c r="W49" s="776"/>
      <c r="X49" s="776"/>
      <c r="Y49" s="776"/>
      <c r="Z49" s="776"/>
      <c r="AA49" s="776"/>
      <c r="AB49" s="776"/>
      <c r="AC49" s="776"/>
      <c r="AD49" s="776"/>
      <c r="AE49" s="776"/>
      <c r="AF49" s="776"/>
      <c r="AG49" s="776"/>
      <c r="AH49" s="776"/>
      <c r="AI49" s="776"/>
      <c r="AJ49" s="776"/>
      <c r="AK49" s="776"/>
      <c r="AL49" s="776"/>
      <c r="AM49" s="776"/>
      <c r="AN49" s="776"/>
      <c r="AO49" s="776"/>
      <c r="AP49" s="776"/>
      <c r="AQ49" s="776"/>
      <c r="AR49" s="776"/>
      <c r="AS49" s="776"/>
      <c r="AT49" s="776"/>
      <c r="AU49" s="776"/>
      <c r="AV49" s="776"/>
      <c r="AW49" s="776"/>
      <c r="AX49" s="776"/>
      <c r="AY49" s="776"/>
    </row>
    <row r="50" spans="1:51" s="352" customFormat="1" hidden="1">
      <c r="A50" s="776"/>
      <c r="B50" s="776"/>
      <c r="C50" s="776"/>
      <c r="D50" s="776"/>
      <c r="E50" s="776"/>
      <c r="F50" s="418"/>
      <c r="G50" s="776"/>
      <c r="H50" s="776"/>
      <c r="I50" s="776"/>
      <c r="J50" s="50"/>
      <c r="K50" s="776"/>
      <c r="L50" s="776"/>
      <c r="M50" s="776"/>
      <c r="N50" s="776"/>
      <c r="O50" s="776"/>
      <c r="P50" s="776"/>
      <c r="Q50" s="776"/>
      <c r="R50" s="776"/>
      <c r="S50" s="776"/>
      <c r="T50" s="776"/>
      <c r="U50" s="776"/>
      <c r="V50" s="776"/>
      <c r="W50" s="776"/>
      <c r="X50" s="776"/>
      <c r="Y50" s="776"/>
      <c r="Z50" s="776"/>
      <c r="AA50" s="776"/>
      <c r="AB50" s="776"/>
      <c r="AC50" s="776"/>
      <c r="AD50" s="776"/>
      <c r="AE50" s="776"/>
      <c r="AF50" s="776"/>
      <c r="AG50" s="776"/>
      <c r="AH50" s="776"/>
      <c r="AI50" s="776"/>
      <c r="AJ50" s="776"/>
      <c r="AK50" s="776"/>
      <c r="AL50" s="776"/>
      <c r="AM50" s="776"/>
      <c r="AN50" s="776"/>
      <c r="AO50" s="776"/>
      <c r="AP50" s="776"/>
      <c r="AQ50" s="776"/>
      <c r="AR50" s="776"/>
      <c r="AS50" s="776"/>
      <c r="AT50" s="776"/>
      <c r="AU50" s="776"/>
      <c r="AV50" s="776"/>
      <c r="AW50" s="776"/>
      <c r="AX50" s="776"/>
      <c r="AY50" s="776"/>
    </row>
    <row r="51" spans="1:51" s="409" customFormat="1" hidden="1">
      <c r="A51" s="776"/>
      <c r="B51" s="776"/>
      <c r="C51" s="776"/>
      <c r="D51" s="776"/>
      <c r="E51" s="776"/>
      <c r="F51" s="127"/>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776"/>
      <c r="AE51" s="776"/>
      <c r="AF51" s="776"/>
      <c r="AG51" s="776"/>
      <c r="AH51" s="776"/>
      <c r="AI51" s="776"/>
      <c r="AJ51" s="776"/>
      <c r="AK51" s="776"/>
      <c r="AL51" s="776"/>
      <c r="AM51" s="776"/>
      <c r="AN51" s="776"/>
      <c r="AO51" s="776"/>
      <c r="AP51" s="776"/>
      <c r="AQ51" s="776"/>
      <c r="AR51" s="776"/>
      <c r="AS51" s="776"/>
      <c r="AT51" s="776"/>
      <c r="AU51" s="776"/>
      <c r="AV51" s="776"/>
      <c r="AW51" s="776"/>
      <c r="AX51" s="776"/>
      <c r="AY51" s="776"/>
    </row>
    <row r="52" spans="1:51" s="409" customFormat="1" hidden="1">
      <c r="A52" s="776"/>
      <c r="B52" s="776"/>
      <c r="C52" s="776"/>
      <c r="D52" s="776"/>
      <c r="E52" s="776"/>
      <c r="F52" s="127"/>
      <c r="G52" s="776"/>
      <c r="H52" s="776"/>
      <c r="I52" s="776"/>
      <c r="J52" s="776"/>
      <c r="K52" s="776"/>
      <c r="L52" s="776"/>
      <c r="M52" s="776"/>
      <c r="N52" s="776"/>
      <c r="O52" s="776"/>
      <c r="P52" s="776"/>
      <c r="Q52" s="776"/>
      <c r="R52" s="776"/>
      <c r="S52" s="776"/>
      <c r="T52" s="776"/>
      <c r="U52" s="776"/>
      <c r="V52" s="776"/>
      <c r="W52" s="776"/>
      <c r="X52" s="776"/>
      <c r="Y52" s="776"/>
      <c r="Z52" s="776"/>
      <c r="AA52" s="776"/>
      <c r="AB52" s="776"/>
      <c r="AC52" s="776"/>
      <c r="AD52" s="776"/>
      <c r="AE52" s="776"/>
      <c r="AF52" s="776"/>
      <c r="AG52" s="776"/>
      <c r="AH52" s="776"/>
      <c r="AI52" s="776"/>
      <c r="AJ52" s="776"/>
      <c r="AK52" s="776"/>
      <c r="AL52" s="776"/>
      <c r="AM52" s="776"/>
      <c r="AN52" s="776"/>
      <c r="AO52" s="776"/>
      <c r="AP52" s="776"/>
      <c r="AQ52" s="776"/>
      <c r="AR52" s="776"/>
      <c r="AS52" s="776"/>
      <c r="AT52" s="776"/>
      <c r="AU52" s="776"/>
      <c r="AV52" s="776"/>
      <c r="AW52" s="776"/>
      <c r="AX52" s="776"/>
      <c r="AY52" s="776"/>
    </row>
    <row r="53" spans="1:51" s="409" customFormat="1" hidden="1">
      <c r="A53" s="776"/>
      <c r="B53" s="776"/>
      <c r="C53" s="776"/>
      <c r="D53" s="776"/>
      <c r="E53" s="776"/>
      <c r="F53" s="127"/>
      <c r="G53" s="776"/>
      <c r="H53" s="776"/>
      <c r="I53" s="776"/>
      <c r="J53" s="776"/>
      <c r="K53" s="776"/>
      <c r="L53" s="776"/>
      <c r="M53" s="776"/>
      <c r="N53" s="776"/>
      <c r="O53" s="776"/>
      <c r="P53" s="776"/>
      <c r="Q53" s="776"/>
      <c r="R53" s="776"/>
      <c r="S53" s="776"/>
      <c r="T53" s="776"/>
      <c r="U53" s="776"/>
      <c r="V53" s="776"/>
      <c r="W53" s="776"/>
      <c r="X53" s="776"/>
      <c r="Y53" s="776"/>
      <c r="Z53" s="776"/>
      <c r="AA53" s="776"/>
      <c r="AB53" s="776"/>
      <c r="AC53" s="776"/>
      <c r="AD53" s="776"/>
      <c r="AE53" s="776"/>
      <c r="AF53" s="776"/>
      <c r="AG53" s="776"/>
      <c r="AH53" s="776"/>
      <c r="AI53" s="776"/>
      <c r="AJ53" s="776"/>
      <c r="AK53" s="776"/>
      <c r="AL53" s="776"/>
      <c r="AM53" s="776"/>
      <c r="AN53" s="776"/>
      <c r="AO53" s="776"/>
      <c r="AP53" s="776"/>
      <c r="AQ53" s="776"/>
      <c r="AR53" s="776"/>
      <c r="AS53" s="776"/>
      <c r="AT53" s="776"/>
      <c r="AU53" s="776"/>
      <c r="AV53" s="776"/>
      <c r="AW53" s="776"/>
      <c r="AX53" s="776"/>
      <c r="AY53" s="776"/>
    </row>
    <row r="54" spans="1:51" s="409" customFormat="1" hidden="1">
      <c r="A54" s="776"/>
      <c r="B54" s="776"/>
      <c r="C54" s="776"/>
      <c r="D54" s="776"/>
      <c r="E54" s="776"/>
      <c r="F54" s="127"/>
      <c r="G54" s="776"/>
      <c r="H54" s="776"/>
      <c r="I54" s="776"/>
      <c r="J54" s="776"/>
      <c r="K54" s="776"/>
      <c r="L54" s="776"/>
      <c r="M54" s="776"/>
      <c r="N54" s="776"/>
      <c r="O54" s="776"/>
      <c r="P54" s="776"/>
      <c r="Q54" s="776"/>
      <c r="R54" s="776"/>
      <c r="S54" s="776"/>
      <c r="T54" s="776"/>
      <c r="U54" s="776"/>
      <c r="V54" s="776"/>
      <c r="W54" s="776"/>
      <c r="X54" s="776"/>
      <c r="Y54" s="776"/>
      <c r="Z54" s="776"/>
      <c r="AA54" s="776"/>
      <c r="AB54" s="776"/>
      <c r="AC54" s="776"/>
      <c r="AD54" s="776"/>
      <c r="AE54" s="776"/>
      <c r="AF54" s="776"/>
      <c r="AG54" s="776"/>
      <c r="AH54" s="776"/>
      <c r="AI54" s="776"/>
      <c r="AJ54" s="776"/>
      <c r="AK54" s="776"/>
      <c r="AL54" s="776"/>
      <c r="AM54" s="776"/>
      <c r="AN54" s="776"/>
      <c r="AO54" s="776"/>
      <c r="AP54" s="776"/>
      <c r="AQ54" s="776"/>
      <c r="AR54" s="776"/>
      <c r="AS54" s="776"/>
      <c r="AT54" s="776"/>
      <c r="AU54" s="776"/>
      <c r="AV54" s="776"/>
      <c r="AW54" s="776"/>
      <c r="AX54" s="776"/>
      <c r="AY54" s="776"/>
    </row>
    <row r="55" spans="1:51" s="409" customFormat="1" hidden="1">
      <c r="A55" s="776"/>
      <c r="B55" s="410" t="str">
        <f>I40</f>
        <v>Briscoe Group has increased its return on capital evry year from 2011</v>
      </c>
      <c r="C55" s="127"/>
      <c r="D55" s="127"/>
      <c r="E55" s="127"/>
      <c r="F55" s="127"/>
      <c r="G55" s="127"/>
      <c r="H55" s="776"/>
      <c r="I55" s="776"/>
      <c r="J55" s="776"/>
      <c r="K55" s="776"/>
      <c r="L55" s="776"/>
      <c r="M55" s="776"/>
      <c r="N55" s="776"/>
      <c r="O55" s="776"/>
      <c r="P55" s="776"/>
      <c r="Q55" s="776"/>
      <c r="R55" s="776"/>
      <c r="S55" s="776"/>
      <c r="T55" s="776"/>
      <c r="U55" s="776"/>
      <c r="V55" s="776"/>
      <c r="W55" s="776"/>
      <c r="X55" s="776"/>
      <c r="Y55" s="776"/>
      <c r="Z55" s="776"/>
      <c r="AA55" s="776"/>
      <c r="AB55" s="776"/>
      <c r="AC55" s="776"/>
      <c r="AD55" s="776"/>
      <c r="AE55" s="776"/>
      <c r="AF55" s="776"/>
      <c r="AG55" s="776"/>
      <c r="AH55" s="776"/>
      <c r="AI55" s="776"/>
      <c r="AJ55" s="776"/>
      <c r="AK55" s="776"/>
      <c r="AL55" s="776"/>
      <c r="AM55" s="776"/>
      <c r="AN55" s="776"/>
      <c r="AO55" s="776"/>
      <c r="AP55" s="776"/>
      <c r="AQ55" s="776"/>
      <c r="AR55" s="776"/>
      <c r="AS55" s="776"/>
      <c r="AT55" s="776"/>
      <c r="AU55" s="776"/>
      <c r="AV55" s="776"/>
      <c r="AW55" s="776"/>
      <c r="AX55" s="776"/>
      <c r="AY55" s="776"/>
    </row>
    <row r="56" spans="1:51" s="409" customFormat="1" hidden="1">
      <c r="A56" s="776"/>
      <c r="B56" s="410" t="str">
        <f>I41</f>
        <v>In 2016 the return exceeded the cost of capital by +12.3%</v>
      </c>
      <c r="C56" s="127"/>
      <c r="D56" s="127"/>
      <c r="E56" s="127"/>
      <c r="F56" s="127"/>
      <c r="G56" s="127"/>
      <c r="H56" s="776"/>
      <c r="I56" s="776"/>
      <c r="J56" s="776"/>
      <c r="K56" s="776"/>
      <c r="L56" s="776"/>
      <c r="M56" s="776"/>
      <c r="N56" s="776"/>
      <c r="O56" s="776"/>
      <c r="P56" s="776"/>
      <c r="Q56" s="776"/>
      <c r="R56" s="776"/>
      <c r="S56" s="776"/>
      <c r="T56" s="776"/>
      <c r="U56" s="776"/>
      <c r="V56" s="776"/>
      <c r="W56" s="776"/>
      <c r="X56" s="776"/>
      <c r="Y56" s="776"/>
      <c r="Z56" s="776"/>
      <c r="AA56" s="776"/>
      <c r="AB56" s="776"/>
      <c r="AC56" s="776"/>
      <c r="AD56" s="776"/>
      <c r="AE56" s="776"/>
      <c r="AF56" s="776"/>
      <c r="AG56" s="776"/>
      <c r="AH56" s="776"/>
      <c r="AI56" s="776"/>
      <c r="AJ56" s="776"/>
      <c r="AK56" s="776"/>
      <c r="AL56" s="776"/>
      <c r="AM56" s="776"/>
      <c r="AN56" s="776"/>
      <c r="AO56" s="776"/>
      <c r="AP56" s="776"/>
      <c r="AQ56" s="776"/>
      <c r="AR56" s="776"/>
      <c r="AS56" s="776"/>
      <c r="AT56" s="776"/>
      <c r="AU56" s="776"/>
      <c r="AV56" s="776"/>
      <c r="AW56" s="776"/>
      <c r="AX56" s="776"/>
      <c r="AY56" s="776"/>
    </row>
    <row r="57" spans="1:51" s="409" customFormat="1" ht="13.5" hidden="1">
      <c r="A57" s="776"/>
      <c r="B57" s="412"/>
      <c r="C57" s="127"/>
      <c r="D57" s="127"/>
      <c r="E57" s="127"/>
      <c r="F57" s="127"/>
      <c r="G57" s="127"/>
      <c r="H57" s="776"/>
      <c r="I57" s="776"/>
      <c r="J57" s="776"/>
      <c r="K57" s="776"/>
      <c r="L57" s="776"/>
      <c r="M57" s="776"/>
      <c r="N57" s="776"/>
      <c r="O57" s="776"/>
      <c r="P57" s="776"/>
      <c r="Q57" s="776"/>
      <c r="R57" s="776"/>
      <c r="S57" s="776"/>
      <c r="T57" s="776"/>
      <c r="U57" s="776"/>
      <c r="V57" s="776"/>
      <c r="W57" s="776"/>
      <c r="X57" s="776"/>
      <c r="Y57" s="776"/>
      <c r="Z57" s="776"/>
      <c r="AA57" s="776"/>
      <c r="AB57" s="776"/>
      <c r="AC57" s="776"/>
      <c r="AD57" s="776"/>
      <c r="AE57" s="776"/>
      <c r="AF57" s="776"/>
      <c r="AG57" s="776"/>
      <c r="AH57" s="776"/>
      <c r="AI57" s="776"/>
      <c r="AJ57" s="776"/>
      <c r="AK57" s="776"/>
      <c r="AL57" s="776"/>
      <c r="AM57" s="776"/>
      <c r="AN57" s="776"/>
      <c r="AO57" s="776"/>
      <c r="AP57" s="776"/>
      <c r="AQ57" s="776"/>
      <c r="AR57" s="776"/>
      <c r="AS57" s="776"/>
      <c r="AT57" s="776"/>
      <c r="AU57" s="776"/>
      <c r="AV57" s="776"/>
      <c r="AW57" s="776"/>
      <c r="AX57" s="776"/>
      <c r="AY57" s="776"/>
    </row>
    <row r="58" spans="1:51" s="409" customFormat="1" ht="13.5" hidden="1">
      <c r="A58" s="776"/>
      <c r="B58" s="412" t="str">
        <f>'X-Chart Basics'!D20</f>
        <v>Source: Annual Reports</v>
      </c>
      <c r="C58" s="127"/>
      <c r="D58" s="127"/>
      <c r="E58" s="127"/>
      <c r="F58" s="127"/>
      <c r="G58" s="127"/>
      <c r="H58" s="776"/>
      <c r="I58" s="776"/>
      <c r="J58" s="776"/>
      <c r="K58" s="776"/>
      <c r="L58" s="776"/>
      <c r="M58" s="776"/>
      <c r="N58" s="776"/>
      <c r="O58" s="776"/>
      <c r="P58" s="776"/>
      <c r="Q58" s="776"/>
      <c r="R58" s="776"/>
      <c r="S58" s="776"/>
      <c r="T58" s="776"/>
      <c r="U58" s="776"/>
      <c r="V58" s="776"/>
      <c r="W58" s="776"/>
      <c r="X58" s="776"/>
      <c r="Y58" s="776"/>
      <c r="Z58" s="776"/>
      <c r="AA58" s="776"/>
      <c r="AB58" s="776"/>
      <c r="AC58" s="776"/>
      <c r="AD58" s="776"/>
      <c r="AE58" s="776"/>
      <c r="AF58" s="776"/>
      <c r="AG58" s="776"/>
      <c r="AH58" s="776"/>
      <c r="AI58" s="776"/>
      <c r="AJ58" s="776"/>
      <c r="AK58" s="776"/>
      <c r="AL58" s="776"/>
      <c r="AM58" s="776"/>
      <c r="AN58" s="776"/>
      <c r="AO58" s="776"/>
      <c r="AP58" s="776"/>
      <c r="AQ58" s="776"/>
      <c r="AR58" s="776"/>
      <c r="AS58" s="776"/>
      <c r="AT58" s="776"/>
      <c r="AU58" s="776"/>
      <c r="AV58" s="776"/>
      <c r="AW58" s="776"/>
      <c r="AX58" s="776"/>
      <c r="AY58" s="776"/>
    </row>
    <row r="59" spans="1:51" s="409" customFormat="1" ht="13.5" hidden="1">
      <c r="A59" s="776"/>
      <c r="B59" s="412" t="str">
        <f>'X-Chart Basics'!F18</f>
        <v xml:space="preserve">Ireland, Wallace &amp; Associates </v>
      </c>
      <c r="C59" s="127"/>
      <c r="D59" s="127"/>
      <c r="E59" s="127"/>
      <c r="F59" s="127"/>
      <c r="G59" s="127"/>
      <c r="H59" s="776"/>
      <c r="I59" s="776"/>
      <c r="J59" s="776"/>
      <c r="K59" s="776"/>
      <c r="L59" s="776"/>
      <c r="M59" s="776"/>
      <c r="N59" s="776"/>
      <c r="O59" s="776"/>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776"/>
      <c r="AM59" s="776"/>
      <c r="AN59" s="776"/>
      <c r="AO59" s="776"/>
      <c r="AP59" s="776"/>
      <c r="AQ59" s="776"/>
      <c r="AR59" s="776"/>
      <c r="AS59" s="776"/>
      <c r="AT59" s="776"/>
      <c r="AU59" s="776"/>
      <c r="AV59" s="776"/>
      <c r="AW59" s="776"/>
      <c r="AX59" s="776"/>
      <c r="AY59" s="776"/>
    </row>
    <row r="60" spans="1:51" s="352" customFormat="1" hidden="1">
      <c r="A60" s="776"/>
      <c r="B60" s="776"/>
      <c r="C60" s="776"/>
      <c r="D60" s="776"/>
      <c r="E60" s="776"/>
      <c r="F60" s="776"/>
      <c r="G60" s="776"/>
      <c r="H60" s="776"/>
      <c r="I60" s="776"/>
      <c r="J60" s="776"/>
      <c r="K60" s="776"/>
      <c r="L60" s="776"/>
      <c r="M60" s="776"/>
      <c r="N60" s="776"/>
      <c r="O60" s="776"/>
      <c r="P60" s="776"/>
      <c r="Q60" s="776"/>
      <c r="R60" s="776"/>
      <c r="S60" s="776"/>
      <c r="T60" s="776"/>
      <c r="U60" s="776"/>
      <c r="V60" s="776"/>
      <c r="W60" s="776"/>
      <c r="X60" s="776"/>
      <c r="Y60" s="776"/>
      <c r="Z60" s="776"/>
      <c r="AA60" s="776"/>
      <c r="AB60" s="776"/>
      <c r="AC60" s="776"/>
      <c r="AD60" s="776"/>
      <c r="AE60" s="776"/>
      <c r="AF60" s="776"/>
      <c r="AG60" s="776"/>
      <c r="AH60" s="776"/>
      <c r="AI60" s="776"/>
      <c r="AJ60" s="776"/>
      <c r="AK60" s="776"/>
      <c r="AL60" s="776"/>
      <c r="AM60" s="776"/>
      <c r="AN60" s="776"/>
      <c r="AO60" s="776"/>
      <c r="AP60" s="776"/>
      <c r="AQ60" s="776"/>
      <c r="AR60" s="776"/>
      <c r="AS60" s="776"/>
      <c r="AT60" s="776"/>
      <c r="AU60" s="776"/>
      <c r="AV60" s="776"/>
      <c r="AW60" s="776"/>
      <c r="AX60" s="776"/>
      <c r="AY60" s="776"/>
    </row>
    <row r="61" spans="1:51" s="592" customFormat="1" hidden="1">
      <c r="A61" s="776"/>
      <c r="B61" s="1" t="s">
        <v>910</v>
      </c>
      <c r="C61" s="776"/>
      <c r="D61" s="776"/>
      <c r="E61" s="776"/>
      <c r="F61" s="776"/>
      <c r="G61" s="776"/>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776"/>
      <c r="AM61" s="776"/>
      <c r="AN61" s="776"/>
      <c r="AO61" s="776"/>
      <c r="AP61" s="776"/>
      <c r="AQ61" s="776"/>
      <c r="AR61" s="776"/>
      <c r="AS61" s="776"/>
      <c r="AT61" s="776"/>
      <c r="AU61" s="776"/>
      <c r="AV61" s="776"/>
      <c r="AW61" s="776"/>
      <c r="AX61" s="776"/>
      <c r="AY61" s="776"/>
    </row>
    <row r="62" spans="1:51" s="408" customFormat="1" ht="15" hidden="1">
      <c r="A62" s="776"/>
      <c r="B62" s="129"/>
      <c r="C62" s="129"/>
      <c r="D62" s="382">
        <v>2012</v>
      </c>
      <c r="E62" s="382">
        <f t="shared" ref="E62:I62" si="1">D62+1</f>
        <v>2013</v>
      </c>
      <c r="F62" s="382">
        <f t="shared" si="1"/>
        <v>2014</v>
      </c>
      <c r="G62" s="382">
        <f t="shared" si="1"/>
        <v>2015</v>
      </c>
      <c r="H62" s="382">
        <f t="shared" si="1"/>
        <v>2016</v>
      </c>
      <c r="I62" s="382">
        <f t="shared" si="1"/>
        <v>2017</v>
      </c>
      <c r="J62" s="776"/>
      <c r="K62" s="776"/>
      <c r="L62" s="776"/>
      <c r="M62" s="776"/>
      <c r="N62" s="776"/>
      <c r="O62" s="776"/>
      <c r="P62" s="776"/>
      <c r="Q62" s="776"/>
      <c r="R62" s="776"/>
      <c r="S62" s="776"/>
      <c r="T62" s="776"/>
      <c r="U62" s="776"/>
      <c r="V62" s="776"/>
      <c r="W62" s="776"/>
      <c r="X62" s="776"/>
      <c r="Y62" s="776"/>
      <c r="Z62" s="776"/>
      <c r="AA62" s="776"/>
      <c r="AB62" s="776"/>
      <c r="AC62" s="776"/>
      <c r="AD62" s="776"/>
      <c r="AE62" s="776"/>
      <c r="AF62" s="776"/>
      <c r="AG62" s="776"/>
      <c r="AH62" s="776"/>
      <c r="AI62" s="776"/>
      <c r="AJ62" s="776"/>
      <c r="AK62" s="776"/>
      <c r="AL62" s="776"/>
      <c r="AM62" s="776"/>
      <c r="AN62" s="776"/>
      <c r="AO62" s="776"/>
      <c r="AP62" s="776"/>
      <c r="AQ62" s="776"/>
      <c r="AR62" s="776"/>
      <c r="AS62" s="776"/>
      <c r="AT62" s="776"/>
      <c r="AU62" s="776"/>
      <c r="AV62" s="776"/>
      <c r="AW62" s="776"/>
      <c r="AX62" s="776"/>
      <c r="AY62" s="776"/>
    </row>
    <row r="63" spans="1:51" s="408" customFormat="1" ht="21.75" customHeight="1">
      <c r="A63" s="776"/>
      <c r="B63" s="458" t="s">
        <v>840</v>
      </c>
      <c r="C63" s="458"/>
      <c r="D63" s="131" t="e">
        <f>'18 Data for Charts'!S10</f>
        <v>#REF!</v>
      </c>
      <c r="E63" s="131" t="e">
        <f>'18 Data for Charts'!T10</f>
        <v>#REF!</v>
      </c>
      <c r="F63" s="131" t="e">
        <f>'18 Data for Charts'!#REF!</f>
        <v>#REF!</v>
      </c>
      <c r="G63" s="131" t="e">
        <f>'18 Data for Charts'!#REF!</f>
        <v>#REF!</v>
      </c>
      <c r="H63" s="131" t="e">
        <f>'18 Data for Charts'!#REF!</f>
        <v>#REF!</v>
      </c>
      <c r="I63" s="131" t="e">
        <f>'18 Data for Charts'!#REF!</f>
        <v>#REF!</v>
      </c>
      <c r="J63" s="776"/>
      <c r="K63" s="776"/>
      <c r="L63" s="776"/>
      <c r="M63" s="776"/>
      <c r="N63" s="776"/>
      <c r="O63" s="776"/>
      <c r="P63" s="776"/>
      <c r="Q63" s="776"/>
      <c r="R63" s="776"/>
      <c r="S63" s="776"/>
      <c r="T63" s="776"/>
      <c r="U63" s="776"/>
      <c r="V63" s="776"/>
      <c r="W63" s="776"/>
      <c r="X63" s="776"/>
      <c r="Y63" s="776"/>
      <c r="Z63" s="776"/>
      <c r="AA63" s="776"/>
      <c r="AB63" s="776"/>
      <c r="AC63" s="776"/>
      <c r="AD63" s="776"/>
      <c r="AE63" s="776"/>
      <c r="AF63" s="776"/>
      <c r="AG63" s="776"/>
      <c r="AH63" s="776"/>
      <c r="AI63" s="776"/>
      <c r="AJ63" s="776"/>
      <c r="AK63" s="776"/>
      <c r="AL63" s="776"/>
      <c r="AM63" s="776"/>
      <c r="AN63" s="776"/>
      <c r="AO63" s="776"/>
      <c r="AP63" s="776"/>
      <c r="AQ63" s="776"/>
      <c r="AR63" s="776"/>
      <c r="AS63" s="776"/>
      <c r="AT63" s="776"/>
      <c r="AU63" s="776"/>
      <c r="AV63" s="776"/>
      <c r="AW63" s="776"/>
      <c r="AX63" s="776"/>
      <c r="AY63" s="776"/>
    </row>
    <row r="64" spans="1:51" s="408" customFormat="1" ht="21.75" customHeight="1">
      <c r="A64" s="776"/>
      <c r="B64" s="129" t="s">
        <v>911</v>
      </c>
      <c r="C64" s="384"/>
      <c r="D64" s="131">
        <f>'Econ-Perf 1'!N21</f>
        <v>0</v>
      </c>
      <c r="E64" s="131" t="e">
        <f>'Econ-Perf 1'!O21</f>
        <v>#REF!</v>
      </c>
      <c r="F64" s="131" t="e">
        <f>'Econ-Perf 1'!P21</f>
        <v>#REF!</v>
      </c>
      <c r="G64" s="131" t="e">
        <f>'Econ-Perf 1'!Q21</f>
        <v>#REF!</v>
      </c>
      <c r="H64" s="131" t="e">
        <f>'Econ-Perf 1'!R21</f>
        <v>#REF!</v>
      </c>
      <c r="I64" s="131" t="e">
        <f>'Econ-Perf 1'!S21</f>
        <v>#REF!</v>
      </c>
      <c r="J64" s="776"/>
      <c r="K64" s="776"/>
      <c r="L64" s="776"/>
      <c r="M64" s="776"/>
      <c r="N64" s="776"/>
      <c r="O64" s="776"/>
      <c r="P64" s="776"/>
      <c r="Q64" s="776"/>
      <c r="R64" s="776"/>
      <c r="S64" s="776"/>
      <c r="T64" s="776"/>
      <c r="U64" s="776"/>
      <c r="V64" s="776"/>
      <c r="W64" s="776"/>
      <c r="X64" s="776"/>
      <c r="Y64" s="776"/>
      <c r="Z64" s="776"/>
      <c r="AA64" s="776"/>
      <c r="AB64" s="776"/>
      <c r="AC64" s="776"/>
      <c r="AD64" s="776"/>
      <c r="AE64" s="776"/>
      <c r="AF64" s="776"/>
      <c r="AG64" s="776"/>
      <c r="AH64" s="776"/>
      <c r="AI64" s="776"/>
      <c r="AJ64" s="776"/>
      <c r="AK64" s="776"/>
      <c r="AL64" s="776"/>
      <c r="AM64" s="776"/>
      <c r="AN64" s="776"/>
      <c r="AO64" s="776"/>
      <c r="AP64" s="776"/>
      <c r="AQ64" s="776"/>
      <c r="AR64" s="776"/>
      <c r="AS64" s="776"/>
      <c r="AT64" s="776"/>
      <c r="AU64" s="776"/>
      <c r="AV64" s="776"/>
      <c r="AW64" s="776"/>
      <c r="AX64" s="776"/>
      <c r="AY64" s="776"/>
    </row>
    <row r="65" spans="1:51" s="592" customFormat="1">
      <c r="A65" s="776"/>
      <c r="B65" s="13"/>
      <c r="C65" s="31"/>
      <c r="D65" s="63"/>
      <c r="E65" s="63"/>
      <c r="F65" s="63"/>
      <c r="G65" s="63"/>
      <c r="H65" s="63"/>
      <c r="I65" s="63"/>
      <c r="J65" s="63"/>
      <c r="K65" s="63"/>
      <c r="L65" s="63"/>
      <c r="M65" s="63"/>
      <c r="N65" s="776"/>
      <c r="O65" s="776"/>
      <c r="P65" s="776"/>
      <c r="Q65" s="776"/>
      <c r="R65" s="776"/>
      <c r="S65" s="776"/>
      <c r="T65" s="776"/>
      <c r="U65" s="776"/>
      <c r="V65" s="776"/>
      <c r="W65" s="776"/>
      <c r="X65" s="776"/>
      <c r="Y65" s="776"/>
      <c r="Z65" s="776"/>
      <c r="AA65" s="776"/>
      <c r="AB65" s="776"/>
      <c r="AC65" s="776"/>
      <c r="AD65" s="776"/>
      <c r="AE65" s="776"/>
      <c r="AF65" s="776"/>
      <c r="AG65" s="776"/>
      <c r="AH65" s="776"/>
      <c r="AI65" s="776"/>
      <c r="AJ65" s="776"/>
      <c r="AK65" s="776"/>
      <c r="AL65" s="776"/>
      <c r="AM65" s="776"/>
      <c r="AN65" s="776"/>
      <c r="AO65" s="776"/>
      <c r="AP65" s="776"/>
      <c r="AQ65" s="776"/>
      <c r="AR65" s="776"/>
      <c r="AS65" s="776"/>
      <c r="AT65" s="776"/>
      <c r="AU65" s="776"/>
      <c r="AV65" s="776"/>
      <c r="AW65" s="776"/>
      <c r="AX65" s="776"/>
      <c r="AY65" s="776"/>
    </row>
    <row r="66" spans="1:51" s="408" customFormat="1">
      <c r="A66" s="776"/>
      <c r="B66" s="727" t="s">
        <v>879</v>
      </c>
      <c r="C66" s="288"/>
      <c r="D66" s="129"/>
      <c r="E66" s="129"/>
      <c r="F66" s="129"/>
      <c r="G66" s="129"/>
      <c r="H66" s="129"/>
      <c r="I66" s="776"/>
      <c r="J66" s="776"/>
      <c r="K66" s="776"/>
      <c r="L66" s="727" t="s">
        <v>904</v>
      </c>
      <c r="M66" s="288"/>
      <c r="N66" s="129"/>
      <c r="O66" s="129"/>
      <c r="P66" s="129"/>
      <c r="Q66" s="129"/>
      <c r="R66" s="129"/>
      <c r="S66" s="776"/>
      <c r="T66" s="776"/>
      <c r="U66" s="776"/>
      <c r="V66" s="776"/>
      <c r="W66" s="776"/>
      <c r="X66" s="776"/>
      <c r="Y66" s="776"/>
      <c r="Z66" s="776"/>
      <c r="AA66" s="776"/>
      <c r="AB66" s="776"/>
      <c r="AC66" s="776"/>
      <c r="AD66" s="776"/>
      <c r="AE66" s="776"/>
      <c r="AF66" s="331"/>
      <c r="AG66" s="10"/>
      <c r="AH66" s="10"/>
      <c r="AI66" s="10"/>
      <c r="AJ66" s="10"/>
      <c r="AK66" s="10"/>
      <c r="AL66" s="10"/>
      <c r="AM66" s="776"/>
      <c r="AN66" s="394"/>
      <c r="AO66" s="346"/>
      <c r="AP66" s="10"/>
      <c r="AQ66" s="10"/>
      <c r="AR66" s="346"/>
      <c r="AS66" s="346"/>
      <c r="AT66" s="346"/>
      <c r="AU66" s="346"/>
      <c r="AV66" s="346"/>
      <c r="AW66" s="346"/>
      <c r="AX66" s="776"/>
      <c r="AY66" s="776"/>
    </row>
    <row r="67" spans="1:51" s="409" customFormat="1">
      <c r="A67" s="776"/>
      <c r="B67" s="776"/>
      <c r="C67" s="1"/>
      <c r="D67" s="776"/>
      <c r="E67" s="776"/>
      <c r="F67" s="776"/>
      <c r="G67" s="776"/>
      <c r="H67" s="776"/>
      <c r="I67" s="776"/>
      <c r="J67" s="776"/>
      <c r="K67" s="776"/>
      <c r="L67" s="776"/>
      <c r="M67" s="1"/>
      <c r="N67" s="776"/>
      <c r="O67" s="776"/>
      <c r="P67" s="776"/>
      <c r="Q67" s="776"/>
      <c r="R67" s="776"/>
      <c r="S67" s="776"/>
      <c r="T67" s="776"/>
      <c r="U67" s="776"/>
      <c r="V67" s="776"/>
      <c r="W67" s="776"/>
      <c r="X67" s="776"/>
      <c r="Y67" s="776"/>
      <c r="Z67" s="776"/>
      <c r="AA67" s="776"/>
      <c r="AB67" s="776"/>
      <c r="AC67" s="776"/>
      <c r="AD67" s="776"/>
      <c r="AE67" s="776"/>
      <c r="AF67" s="331"/>
      <c r="AG67" s="10"/>
      <c r="AH67" s="10"/>
      <c r="AI67" s="10"/>
      <c r="AJ67" s="10"/>
      <c r="AK67" s="10"/>
      <c r="AL67" s="10"/>
      <c r="AM67" s="776"/>
      <c r="AN67" s="394"/>
      <c r="AO67" s="346"/>
      <c r="AP67" s="10"/>
      <c r="AQ67" s="10"/>
      <c r="AR67" s="346"/>
      <c r="AS67" s="346"/>
      <c r="AT67" s="346"/>
      <c r="AU67" s="346"/>
      <c r="AV67" s="346"/>
      <c r="AW67" s="346"/>
      <c r="AX67" s="776"/>
      <c r="AY67" s="776"/>
    </row>
    <row r="68" spans="1:51" s="409" customFormat="1" ht="19.5">
      <c r="A68" s="776"/>
      <c r="B68" s="776"/>
      <c r="C68" s="434" t="s">
        <v>912</v>
      </c>
      <c r="D68" s="127"/>
      <c r="E68" s="127"/>
      <c r="F68" s="127"/>
      <c r="G68" s="127"/>
      <c r="H68" s="127"/>
      <c r="I68" s="573"/>
      <c r="J68" s="776"/>
      <c r="K68" s="776"/>
      <c r="L68" s="776"/>
      <c r="M68" s="434" t="s">
        <v>913</v>
      </c>
      <c r="N68" s="127"/>
      <c r="O68" s="127"/>
      <c r="P68" s="127"/>
      <c r="Q68" s="127"/>
      <c r="R68" s="127"/>
      <c r="S68" s="573"/>
      <c r="T68" s="776"/>
      <c r="U68" s="776"/>
      <c r="V68" s="776"/>
      <c r="W68" s="776"/>
      <c r="X68" s="776"/>
      <c r="Y68" s="776"/>
      <c r="Z68" s="776"/>
      <c r="AA68" s="776"/>
      <c r="AB68" s="776"/>
      <c r="AC68" s="776"/>
      <c r="AD68" s="776"/>
      <c r="AE68" s="776"/>
      <c r="AF68" s="776"/>
      <c r="AG68" s="776"/>
      <c r="AH68" s="776"/>
      <c r="AI68" s="776"/>
      <c r="AJ68" s="776"/>
      <c r="AK68" s="776"/>
      <c r="AL68" s="776"/>
      <c r="AM68" s="776"/>
      <c r="AN68" s="776"/>
      <c r="AO68" s="776"/>
      <c r="AP68" s="776"/>
      <c r="AQ68" s="776"/>
      <c r="AR68" s="776"/>
      <c r="AS68" s="776"/>
      <c r="AT68" s="776"/>
      <c r="AU68" s="776"/>
      <c r="AV68" s="776"/>
      <c r="AW68" s="346"/>
      <c r="AX68" s="776"/>
      <c r="AY68" s="776"/>
    </row>
    <row r="69" spans="1:51" s="408" customFormat="1" ht="16.5">
      <c r="A69" s="776"/>
      <c r="B69" s="776"/>
      <c r="C69" s="739" t="s">
        <v>906</v>
      </c>
      <c r="D69" s="127"/>
      <c r="E69" s="127"/>
      <c r="F69" s="127"/>
      <c r="G69" s="638"/>
      <c r="H69" s="640"/>
      <c r="I69" s="435"/>
      <c r="J69" s="776"/>
      <c r="K69" s="776"/>
      <c r="L69" s="776"/>
      <c r="M69" s="739" t="s">
        <v>914</v>
      </c>
      <c r="N69" s="127"/>
      <c r="O69" s="127"/>
      <c r="P69" s="127"/>
      <c r="Q69" s="638"/>
      <c r="R69" s="640"/>
      <c r="S69" s="435"/>
      <c r="T69" s="776"/>
      <c r="U69" s="776"/>
      <c r="V69" s="776"/>
      <c r="W69" s="776"/>
      <c r="X69" s="776"/>
      <c r="Y69" s="776"/>
      <c r="Z69" s="776"/>
      <c r="AA69" s="776"/>
      <c r="AB69" s="776"/>
      <c r="AC69" s="776"/>
      <c r="AD69" s="776"/>
      <c r="AE69" s="776"/>
      <c r="AF69" s="776"/>
      <c r="AG69" s="776"/>
      <c r="AH69" s="776"/>
      <c r="AI69" s="776"/>
      <c r="AJ69" s="776"/>
      <c r="AK69" s="776"/>
      <c r="AL69" s="776"/>
      <c r="AM69" s="776"/>
      <c r="AN69" s="776"/>
      <c r="AO69" s="776"/>
      <c r="AP69" s="776"/>
      <c r="AQ69" s="776"/>
      <c r="AR69" s="776"/>
      <c r="AS69" s="776"/>
      <c r="AT69" s="776"/>
      <c r="AU69" s="776"/>
      <c r="AV69" s="776"/>
      <c r="AW69" s="346"/>
      <c r="AX69" s="776"/>
      <c r="AY69" s="776"/>
    </row>
    <row r="70" spans="1:51" s="353" customFormat="1">
      <c r="A70" s="776"/>
      <c r="B70" s="776"/>
      <c r="C70" s="410" t="s">
        <v>915</v>
      </c>
      <c r="D70" s="127"/>
      <c r="E70" s="127"/>
      <c r="F70" s="127"/>
      <c r="G70" s="639"/>
      <c r="H70" s="641"/>
      <c r="I70" s="422"/>
      <c r="J70" s="776"/>
      <c r="K70" s="776"/>
      <c r="L70" s="776"/>
      <c r="M70" s="410" t="s">
        <v>915</v>
      </c>
      <c r="N70" s="127"/>
      <c r="O70" s="127"/>
      <c r="P70" s="127"/>
      <c r="Q70" s="639"/>
      <c r="R70" s="641"/>
      <c r="S70" s="422"/>
      <c r="T70" s="776"/>
      <c r="U70" s="776"/>
      <c r="V70" s="776"/>
      <c r="W70" s="776"/>
      <c r="X70" s="776"/>
      <c r="Y70" s="776"/>
      <c r="Z70" s="776"/>
      <c r="AA70" s="776"/>
      <c r="AB70" s="776"/>
      <c r="AC70" s="776"/>
      <c r="AD70" s="776"/>
      <c r="AE70" s="776"/>
      <c r="AF70" s="776"/>
      <c r="AG70" s="776"/>
      <c r="AH70" s="776"/>
      <c r="AI70" s="776"/>
      <c r="AJ70" s="776"/>
      <c r="AK70" s="776"/>
      <c r="AL70" s="776"/>
      <c r="AM70" s="776"/>
      <c r="AN70" s="776"/>
      <c r="AO70" s="776"/>
      <c r="AP70" s="776"/>
      <c r="AQ70" s="776"/>
      <c r="AR70" s="776"/>
      <c r="AS70" s="776"/>
      <c r="AT70" s="776"/>
      <c r="AU70" s="776"/>
      <c r="AV70" s="776"/>
      <c r="AW70" s="776"/>
      <c r="AX70" s="776"/>
      <c r="AY70" s="776"/>
    </row>
    <row r="71" spans="1:51" s="353" customFormat="1">
      <c r="A71" s="776"/>
      <c r="B71" s="776"/>
      <c r="C71" s="741" t="s">
        <v>916</v>
      </c>
      <c r="D71" s="127"/>
      <c r="E71" s="127"/>
      <c r="F71" s="127"/>
      <c r="G71" s="127"/>
      <c r="H71" s="127"/>
      <c r="I71" s="776"/>
      <c r="J71" s="776"/>
      <c r="K71" s="776"/>
      <c r="L71" s="776"/>
      <c r="M71" s="741" t="s">
        <v>917</v>
      </c>
      <c r="N71" s="127"/>
      <c r="O71" s="127"/>
      <c r="P71" s="127"/>
      <c r="Q71" s="127"/>
      <c r="R71" s="127"/>
      <c r="S71" s="776"/>
      <c r="T71" s="776"/>
      <c r="U71" s="776"/>
      <c r="V71" s="776"/>
      <c r="W71" s="776"/>
      <c r="X71" s="776"/>
      <c r="Y71" s="776"/>
      <c r="Z71" s="776"/>
      <c r="AA71" s="776"/>
      <c r="AB71" s="776"/>
      <c r="AC71" s="776"/>
      <c r="AD71" s="776"/>
      <c r="AE71" s="776"/>
      <c r="AF71" s="776"/>
      <c r="AG71" s="776"/>
      <c r="AH71" s="776"/>
      <c r="AI71" s="776"/>
      <c r="AJ71" s="776"/>
      <c r="AK71" s="776"/>
      <c r="AL71" s="776"/>
      <c r="AM71" s="776"/>
      <c r="AN71" s="776"/>
      <c r="AO71" s="776"/>
      <c r="AP71" s="776"/>
      <c r="AQ71" s="776"/>
      <c r="AR71" s="776"/>
      <c r="AS71" s="776"/>
      <c r="AT71" s="776"/>
      <c r="AU71" s="776"/>
      <c r="AV71" s="776"/>
      <c r="AW71" s="776"/>
      <c r="AX71" s="776"/>
      <c r="AY71" s="776"/>
    </row>
    <row r="72" spans="1:51" s="353" customFormat="1">
      <c r="A72" s="776"/>
      <c r="B72" s="776"/>
      <c r="C72" s="127"/>
      <c r="D72" s="127"/>
      <c r="E72" s="127"/>
      <c r="F72" s="127"/>
      <c r="G72" s="127"/>
      <c r="H72" s="127"/>
      <c r="I72" s="776"/>
      <c r="J72" s="776"/>
      <c r="K72" s="776"/>
      <c r="L72" s="776"/>
      <c r="M72" s="127"/>
      <c r="N72" s="127"/>
      <c r="O72" s="127"/>
      <c r="P72" s="127"/>
      <c r="Q72" s="127"/>
      <c r="R72" s="127"/>
      <c r="S72" s="776"/>
      <c r="T72" s="776"/>
      <c r="U72" s="776"/>
      <c r="V72" s="776"/>
      <c r="W72" s="776"/>
      <c r="X72" s="776"/>
      <c r="Y72" s="776"/>
      <c r="Z72" s="776"/>
      <c r="AA72" s="776"/>
      <c r="AB72" s="776"/>
      <c r="AC72" s="776"/>
      <c r="AD72" s="776"/>
      <c r="AE72" s="776"/>
      <c r="AF72" s="776"/>
      <c r="AG72" s="776"/>
      <c r="AH72" s="776"/>
      <c r="AI72" s="776"/>
      <c r="AJ72" s="776"/>
      <c r="AK72" s="776"/>
      <c r="AL72" s="776"/>
      <c r="AM72" s="776"/>
      <c r="AN72" s="776"/>
      <c r="AO72" s="776"/>
      <c r="AP72" s="776"/>
      <c r="AQ72" s="776"/>
      <c r="AR72" s="776"/>
      <c r="AS72" s="776"/>
      <c r="AT72" s="776"/>
      <c r="AU72" s="776"/>
      <c r="AV72" s="776"/>
      <c r="AW72" s="776"/>
      <c r="AX72" s="776"/>
      <c r="AY72" s="776"/>
    </row>
    <row r="73" spans="1:51" s="353" customFormat="1">
      <c r="A73" s="776"/>
      <c r="B73" s="776"/>
      <c r="C73" s="127"/>
      <c r="D73" s="127"/>
      <c r="E73" s="127"/>
      <c r="F73" s="127"/>
      <c r="G73" s="127"/>
      <c r="H73" s="127"/>
      <c r="I73" s="776"/>
      <c r="J73" s="776"/>
      <c r="K73" s="776"/>
      <c r="L73" s="776"/>
      <c r="M73" s="127"/>
      <c r="N73" s="127"/>
      <c r="O73" s="127"/>
      <c r="P73" s="127"/>
      <c r="Q73" s="127"/>
      <c r="R73" s="127"/>
      <c r="S73" s="776"/>
      <c r="T73" s="776"/>
      <c r="U73" s="776"/>
      <c r="V73" s="776"/>
      <c r="W73" s="776"/>
      <c r="X73" s="776"/>
      <c r="Y73" s="776"/>
      <c r="Z73" s="776"/>
      <c r="AA73" s="776"/>
      <c r="AB73" s="776"/>
      <c r="AC73" s="776"/>
      <c r="AD73" s="776"/>
      <c r="AE73" s="10"/>
      <c r="AF73" s="776"/>
      <c r="AG73" s="776"/>
      <c r="AH73" s="776"/>
      <c r="AI73" s="776"/>
      <c r="AJ73" s="776"/>
      <c r="AK73" s="776"/>
      <c r="AL73" s="776"/>
      <c r="AM73" s="776"/>
      <c r="AN73" s="776"/>
      <c r="AO73" s="776"/>
      <c r="AP73" s="776"/>
      <c r="AQ73" s="776"/>
      <c r="AR73" s="776"/>
      <c r="AS73" s="776"/>
      <c r="AT73" s="776"/>
      <c r="AU73" s="776"/>
      <c r="AV73" s="776"/>
      <c r="AW73" s="776"/>
      <c r="AX73" s="776"/>
      <c r="AY73" s="776"/>
    </row>
    <row r="74" spans="1:51" s="352" customFormat="1">
      <c r="A74" s="776"/>
      <c r="B74" s="776"/>
      <c r="C74" s="127"/>
      <c r="D74" s="127"/>
      <c r="E74" s="127"/>
      <c r="F74" s="127"/>
      <c r="G74" s="127"/>
      <c r="H74" s="127"/>
      <c r="I74" s="776"/>
      <c r="J74" s="776"/>
      <c r="K74" s="776"/>
      <c r="L74" s="776"/>
      <c r="M74" s="127"/>
      <c r="N74" s="127"/>
      <c r="O74" s="127"/>
      <c r="P74" s="127"/>
      <c r="Q74" s="127"/>
      <c r="R74" s="127"/>
      <c r="S74" s="776"/>
      <c r="T74" s="776"/>
      <c r="U74" s="776"/>
      <c r="V74" s="776"/>
      <c r="W74" s="776"/>
      <c r="X74" s="776"/>
      <c r="Y74" s="776"/>
      <c r="Z74" s="776"/>
      <c r="AA74" s="776"/>
      <c r="AB74" s="776"/>
      <c r="AC74" s="776"/>
      <c r="AD74" s="776"/>
      <c r="AE74" s="10"/>
      <c r="AF74" s="776"/>
      <c r="AG74" s="776"/>
      <c r="AH74" s="776"/>
      <c r="AI74" s="776"/>
      <c r="AJ74" s="776"/>
      <c r="AK74" s="776"/>
      <c r="AL74" s="776"/>
      <c r="AM74" s="776"/>
      <c r="AN74" s="776"/>
      <c r="AO74" s="776"/>
      <c r="AP74" s="776"/>
      <c r="AQ74" s="776"/>
      <c r="AR74" s="776"/>
      <c r="AS74" s="776"/>
      <c r="AT74" s="776"/>
      <c r="AU74" s="776"/>
      <c r="AV74" s="776"/>
      <c r="AW74" s="776"/>
      <c r="AX74" s="776"/>
      <c r="AY74" s="776"/>
    </row>
    <row r="75" spans="1:51" s="353" customFormat="1">
      <c r="A75" s="776"/>
      <c r="B75" s="776"/>
      <c r="C75" s="127"/>
      <c r="D75" s="127"/>
      <c r="E75" s="127"/>
      <c r="F75" s="127"/>
      <c r="G75" s="127"/>
      <c r="H75" s="127"/>
      <c r="I75" s="776"/>
      <c r="J75" s="776"/>
      <c r="K75" s="776"/>
      <c r="L75" s="776"/>
      <c r="M75" s="127"/>
      <c r="N75" s="127"/>
      <c r="O75" s="127"/>
      <c r="P75" s="127"/>
      <c r="Q75" s="127"/>
      <c r="R75" s="127"/>
      <c r="S75" s="776"/>
      <c r="T75" s="776"/>
      <c r="U75" s="776"/>
      <c r="V75" s="776"/>
      <c r="W75" s="776"/>
      <c r="X75" s="776"/>
      <c r="Y75" s="776"/>
      <c r="Z75" s="776"/>
      <c r="AA75" s="776"/>
      <c r="AB75" s="776"/>
      <c r="AC75" s="776"/>
      <c r="AD75" s="776"/>
      <c r="AE75" s="776"/>
      <c r="AF75" s="776"/>
      <c r="AG75" s="776"/>
      <c r="AH75" s="776"/>
      <c r="AI75" s="776"/>
      <c r="AJ75" s="776"/>
      <c r="AK75" s="776"/>
      <c r="AL75" s="776"/>
      <c r="AM75" s="776"/>
      <c r="AN75" s="776"/>
      <c r="AO75" s="776"/>
      <c r="AP75" s="776"/>
      <c r="AQ75" s="776"/>
      <c r="AR75" s="776"/>
      <c r="AS75" s="776"/>
      <c r="AT75" s="776"/>
      <c r="AU75" s="776"/>
      <c r="AV75" s="776"/>
      <c r="AW75" s="776"/>
      <c r="AX75" s="776"/>
      <c r="AY75" s="776"/>
    </row>
    <row r="76" spans="1:51" s="353" customFormat="1">
      <c r="A76" s="776"/>
      <c r="B76" s="776"/>
      <c r="C76" s="127"/>
      <c r="D76" s="127"/>
      <c r="E76" s="127"/>
      <c r="F76" s="127"/>
      <c r="G76" s="127"/>
      <c r="H76" s="127"/>
      <c r="I76" s="776"/>
      <c r="J76" s="776"/>
      <c r="K76" s="776"/>
      <c r="L76" s="776"/>
      <c r="M76" s="127"/>
      <c r="N76" s="127"/>
      <c r="O76" s="127"/>
      <c r="P76" s="127"/>
      <c r="Q76" s="127"/>
      <c r="R76" s="127"/>
      <c r="S76" s="776"/>
      <c r="T76" s="776"/>
      <c r="U76" s="776"/>
      <c r="V76" s="776"/>
      <c r="W76" s="776"/>
      <c r="X76" s="776"/>
      <c r="Y76" s="776"/>
      <c r="Z76" s="776"/>
      <c r="AA76" s="776"/>
      <c r="AB76" s="776"/>
      <c r="AC76" s="776"/>
      <c r="AD76" s="776"/>
      <c r="AE76" s="776"/>
      <c r="AF76" s="776"/>
      <c r="AG76" s="776"/>
      <c r="AH76" s="776"/>
      <c r="AI76" s="776"/>
      <c r="AJ76" s="776"/>
      <c r="AK76" s="776"/>
      <c r="AL76" s="776"/>
      <c r="AM76" s="776"/>
      <c r="AN76" s="776"/>
      <c r="AO76" s="776"/>
      <c r="AP76" s="776"/>
      <c r="AQ76" s="776"/>
      <c r="AR76" s="776"/>
      <c r="AS76" s="776"/>
      <c r="AT76" s="776"/>
      <c r="AU76" s="776"/>
      <c r="AV76" s="776"/>
      <c r="AW76" s="776"/>
      <c r="AX76" s="776"/>
      <c r="AY76" s="776"/>
    </row>
    <row r="77" spans="1:51" s="353" customFormat="1">
      <c r="A77" s="776"/>
      <c r="B77" s="776"/>
      <c r="C77" s="127"/>
      <c r="D77" s="127"/>
      <c r="E77" s="127"/>
      <c r="F77" s="127"/>
      <c r="G77" s="127"/>
      <c r="H77" s="127"/>
      <c r="I77" s="776"/>
      <c r="J77" s="776"/>
      <c r="K77" s="776"/>
      <c r="L77" s="776"/>
      <c r="M77" s="127"/>
      <c r="N77" s="127"/>
      <c r="O77" s="127"/>
      <c r="P77" s="127"/>
      <c r="Q77" s="127"/>
      <c r="R77" s="127"/>
      <c r="S77" s="776"/>
      <c r="T77" s="776"/>
      <c r="U77" s="776"/>
      <c r="V77" s="776"/>
      <c r="W77" s="776"/>
      <c r="X77" s="776"/>
      <c r="Y77" s="776"/>
      <c r="Z77" s="776"/>
      <c r="AA77" s="776"/>
      <c r="AB77" s="776"/>
      <c r="AC77" s="776"/>
      <c r="AD77" s="776"/>
      <c r="AE77" s="776"/>
      <c r="AF77" s="776"/>
      <c r="AG77" s="776"/>
      <c r="AH77" s="776"/>
      <c r="AI77" s="776"/>
      <c r="AJ77" s="776"/>
      <c r="AK77" s="776"/>
      <c r="AL77" s="776"/>
      <c r="AM77" s="776"/>
      <c r="AN77" s="776"/>
      <c r="AO77" s="776"/>
      <c r="AP77" s="776"/>
      <c r="AQ77" s="776"/>
      <c r="AR77" s="776"/>
      <c r="AS77" s="776"/>
      <c r="AT77" s="776"/>
      <c r="AU77" s="776"/>
      <c r="AV77" s="776"/>
      <c r="AW77" s="776"/>
      <c r="AX77" s="776"/>
      <c r="AY77" s="776"/>
    </row>
    <row r="78" spans="1:51" s="353" customFormat="1">
      <c r="A78" s="776"/>
      <c r="B78" s="776"/>
      <c r="C78" s="127"/>
      <c r="D78" s="127"/>
      <c r="E78" s="127"/>
      <c r="F78" s="127"/>
      <c r="G78" s="127"/>
      <c r="H78" s="127"/>
      <c r="I78" s="52"/>
      <c r="J78" s="776"/>
      <c r="K78" s="776"/>
      <c r="L78" s="776"/>
      <c r="M78" s="127"/>
      <c r="N78" s="127"/>
      <c r="O78" s="127"/>
      <c r="P78" s="127"/>
      <c r="Q78" s="127"/>
      <c r="R78" s="127"/>
      <c r="S78" s="776"/>
      <c r="T78" s="776"/>
      <c r="U78" s="776"/>
      <c r="V78" s="776"/>
      <c r="W78" s="776"/>
      <c r="X78" s="776"/>
      <c r="Y78" s="776"/>
      <c r="Z78" s="776"/>
      <c r="AA78" s="776"/>
      <c r="AB78" s="776"/>
      <c r="AC78" s="776"/>
      <c r="AD78" s="776"/>
      <c r="AE78" s="776"/>
      <c r="AF78" s="776"/>
      <c r="AG78" s="776"/>
      <c r="AH78" s="776"/>
      <c r="AI78" s="776"/>
      <c r="AJ78" s="776"/>
      <c r="AK78" s="776"/>
      <c r="AL78" s="776"/>
      <c r="AM78" s="776"/>
      <c r="AN78" s="776"/>
      <c r="AO78" s="776"/>
      <c r="AP78" s="776"/>
      <c r="AQ78" s="776"/>
      <c r="AR78" s="776"/>
      <c r="AS78" s="776"/>
      <c r="AT78" s="776"/>
      <c r="AU78" s="776"/>
      <c r="AV78" s="776"/>
      <c r="AW78" s="776"/>
      <c r="AX78" s="776"/>
      <c r="AY78" s="776"/>
    </row>
    <row r="79" spans="1:51" s="353" customFormat="1">
      <c r="A79" s="776"/>
      <c r="B79" s="776"/>
      <c r="C79" s="127"/>
      <c r="D79" s="127"/>
      <c r="E79" s="127"/>
      <c r="F79" s="127"/>
      <c r="G79" s="127"/>
      <c r="H79" s="127"/>
      <c r="I79" s="776"/>
      <c r="J79" s="776"/>
      <c r="K79" s="776"/>
      <c r="L79" s="776"/>
      <c r="M79" s="127"/>
      <c r="N79" s="127"/>
      <c r="O79" s="127"/>
      <c r="P79" s="127"/>
      <c r="Q79" s="127"/>
      <c r="R79" s="127"/>
      <c r="S79" s="776"/>
      <c r="T79" s="776"/>
      <c r="U79" s="776"/>
      <c r="V79" s="776"/>
      <c r="W79" s="776"/>
      <c r="X79" s="776"/>
      <c r="Y79" s="776"/>
      <c r="Z79" s="776"/>
      <c r="AA79" s="776"/>
      <c r="AB79" s="776"/>
      <c r="AC79" s="776"/>
      <c r="AD79" s="776"/>
      <c r="AE79" s="776"/>
      <c r="AF79" s="776"/>
      <c r="AG79" s="776"/>
      <c r="AH79" s="776"/>
      <c r="AI79" s="776"/>
      <c r="AJ79" s="776"/>
      <c r="AK79" s="776"/>
      <c r="AL79" s="776"/>
      <c r="AM79" s="776"/>
      <c r="AN79" s="776"/>
      <c r="AO79" s="776"/>
      <c r="AP79" s="776"/>
      <c r="AQ79" s="776"/>
      <c r="AR79" s="776"/>
      <c r="AS79" s="776"/>
      <c r="AT79" s="776"/>
      <c r="AU79" s="776"/>
      <c r="AV79" s="776"/>
      <c r="AW79" s="776"/>
      <c r="AX79" s="776"/>
      <c r="AY79" s="776"/>
    </row>
    <row r="80" spans="1:51" s="353" customFormat="1">
      <c r="A80" s="776"/>
      <c r="B80" s="776"/>
      <c r="C80" s="127"/>
      <c r="D80" s="127"/>
      <c r="E80" s="127"/>
      <c r="F80" s="127"/>
      <c r="G80" s="127"/>
      <c r="H80" s="127"/>
      <c r="I80" s="776"/>
      <c r="J80" s="776"/>
      <c r="K80" s="776"/>
      <c r="L80" s="776"/>
      <c r="M80" s="127"/>
      <c r="N80" s="127"/>
      <c r="O80" s="127"/>
      <c r="P80" s="127"/>
      <c r="Q80" s="127"/>
      <c r="R80" s="127"/>
      <c r="S80" s="776"/>
      <c r="T80" s="776"/>
      <c r="U80" s="776"/>
      <c r="V80" s="776"/>
      <c r="W80" s="776"/>
      <c r="X80" s="776"/>
      <c r="Y80" s="776"/>
      <c r="Z80" s="776"/>
      <c r="AA80" s="776"/>
      <c r="AB80" s="776"/>
      <c r="AC80" s="776"/>
      <c r="AD80" s="776"/>
      <c r="AE80" s="776"/>
      <c r="AF80" s="776"/>
      <c r="AG80" s="776"/>
      <c r="AH80" s="776"/>
      <c r="AI80" s="776"/>
      <c r="AJ80" s="776"/>
      <c r="AK80" s="776"/>
      <c r="AL80" s="776"/>
      <c r="AM80" s="776"/>
      <c r="AN80" s="776"/>
      <c r="AO80" s="776"/>
      <c r="AP80" s="776"/>
      <c r="AQ80" s="776"/>
      <c r="AR80" s="776"/>
      <c r="AS80" s="776"/>
      <c r="AT80" s="776"/>
      <c r="AU80" s="776"/>
      <c r="AV80" s="776"/>
      <c r="AW80" s="776"/>
      <c r="AX80" s="776"/>
      <c r="AY80" s="776"/>
    </row>
    <row r="81" spans="1:23" s="353" customFormat="1">
      <c r="A81" s="776"/>
      <c r="B81" s="776"/>
      <c r="C81" s="127"/>
      <c r="D81" s="127"/>
      <c r="E81" s="127"/>
      <c r="F81" s="127"/>
      <c r="G81" s="127"/>
      <c r="H81" s="127"/>
      <c r="I81" s="776"/>
      <c r="J81" s="776"/>
      <c r="K81" s="776"/>
      <c r="L81" s="776"/>
      <c r="M81" s="127"/>
      <c r="N81" s="127"/>
      <c r="O81" s="127"/>
      <c r="P81" s="127"/>
      <c r="Q81" s="127"/>
      <c r="R81" s="127"/>
      <c r="S81" s="776"/>
      <c r="T81" s="776"/>
      <c r="U81" s="776"/>
      <c r="V81" s="776"/>
      <c r="W81" s="776"/>
    </row>
    <row r="82" spans="1:23" s="353" customFormat="1">
      <c r="A82" s="776"/>
      <c r="B82" s="776"/>
      <c r="C82" s="127"/>
      <c r="D82" s="127"/>
      <c r="E82" s="127"/>
      <c r="F82" s="127"/>
      <c r="G82" s="127"/>
      <c r="H82" s="127"/>
      <c r="I82" s="776"/>
      <c r="J82" s="776"/>
      <c r="K82" s="776"/>
      <c r="L82" s="776"/>
      <c r="M82" s="127"/>
      <c r="N82" s="127"/>
      <c r="O82" s="127"/>
      <c r="P82" s="127"/>
      <c r="Q82" s="127"/>
      <c r="R82" s="127"/>
      <c r="S82" s="776"/>
      <c r="T82" s="776"/>
      <c r="U82" s="776"/>
      <c r="V82" s="776"/>
      <c r="W82" s="776"/>
    </row>
    <row r="83" spans="1:23" s="353" customFormat="1">
      <c r="A83" s="776"/>
      <c r="B83" s="776"/>
      <c r="C83" s="127"/>
      <c r="D83" s="127"/>
      <c r="E83" s="127"/>
      <c r="F83" s="127"/>
      <c r="G83" s="127"/>
      <c r="H83" s="127"/>
      <c r="I83" s="776"/>
      <c r="J83" s="776"/>
      <c r="K83" s="776"/>
      <c r="L83" s="776"/>
      <c r="M83" s="127"/>
      <c r="N83" s="127"/>
      <c r="O83" s="127"/>
      <c r="P83" s="127"/>
      <c r="Q83" s="127"/>
      <c r="R83" s="127"/>
      <c r="S83" s="776"/>
      <c r="T83" s="776"/>
      <c r="U83" s="776"/>
      <c r="V83" s="776"/>
      <c r="W83" s="776"/>
    </row>
    <row r="84" spans="1:23" s="353" customFormat="1">
      <c r="A84" s="776"/>
      <c r="B84" s="776"/>
      <c r="C84" s="127"/>
      <c r="D84" s="127"/>
      <c r="E84" s="127"/>
      <c r="F84" s="127"/>
      <c r="G84" s="127"/>
      <c r="H84" s="127"/>
      <c r="I84" s="776"/>
      <c r="J84" s="776"/>
      <c r="K84" s="776"/>
      <c r="L84" s="776"/>
      <c r="M84" s="127"/>
      <c r="N84" s="127"/>
      <c r="O84" s="127"/>
      <c r="P84" s="127"/>
      <c r="Q84" s="127"/>
      <c r="R84" s="127"/>
      <c r="S84" s="776"/>
      <c r="T84" s="776"/>
      <c r="U84" s="776"/>
      <c r="V84" s="776"/>
      <c r="W84" s="776"/>
    </row>
    <row r="85" spans="1:23" s="592" customFormat="1" ht="13.5">
      <c r="A85" s="776"/>
      <c r="B85" s="776"/>
      <c r="C85" s="411" t="s">
        <v>918</v>
      </c>
      <c r="D85" s="127"/>
      <c r="E85" s="127"/>
      <c r="F85" s="127"/>
      <c r="G85" s="127"/>
      <c r="H85" s="127"/>
      <c r="I85" s="776"/>
      <c r="J85" s="776"/>
      <c r="K85" s="776"/>
      <c r="L85" s="776"/>
      <c r="M85" s="411" t="s">
        <v>919</v>
      </c>
      <c r="N85" s="127"/>
      <c r="O85" s="127"/>
      <c r="P85" s="127"/>
      <c r="Q85" s="127"/>
      <c r="R85" s="127"/>
      <c r="S85" s="776"/>
      <c r="T85" s="776"/>
      <c r="U85" s="776"/>
      <c r="V85" s="776"/>
      <c r="W85" s="776"/>
    </row>
    <row r="86" spans="1:23" s="353" customFormat="1" ht="13.5">
      <c r="A86" s="776"/>
      <c r="B86" s="776"/>
      <c r="C86" s="411" t="s">
        <v>920</v>
      </c>
      <c r="D86" s="127"/>
      <c r="E86" s="127"/>
      <c r="F86" s="127"/>
      <c r="G86" s="127"/>
      <c r="H86" s="127"/>
      <c r="I86" s="776"/>
      <c r="J86" s="776"/>
      <c r="K86" s="776"/>
      <c r="L86" s="776"/>
      <c r="M86" s="411" t="s">
        <v>920</v>
      </c>
      <c r="N86" s="127"/>
      <c r="O86" s="127"/>
      <c r="P86" s="127"/>
      <c r="Q86" s="127"/>
      <c r="R86" s="127"/>
      <c r="S86" s="776"/>
      <c r="T86" s="776"/>
      <c r="U86" s="776"/>
      <c r="V86" s="776"/>
      <c r="W86" s="776"/>
    </row>
    <row r="87" spans="1:23" s="353" customFormat="1" ht="13.5">
      <c r="A87" s="776"/>
      <c r="B87" s="776"/>
      <c r="C87" s="411" t="str">
        <f>'X-Chart Basics'!F18</f>
        <v xml:space="preserve">Ireland, Wallace &amp; Associates </v>
      </c>
      <c r="D87" s="127"/>
      <c r="E87" s="127"/>
      <c r="F87" s="127"/>
      <c r="G87" s="127"/>
      <c r="H87" s="742">
        <v>43287</v>
      </c>
      <c r="I87" s="776"/>
      <c r="J87" s="776"/>
      <c r="K87" s="776"/>
      <c r="L87" s="776"/>
      <c r="M87" s="411" t="str">
        <f>C87</f>
        <v xml:space="preserve">Ireland, Wallace &amp; Associates </v>
      </c>
      <c r="N87" s="127"/>
      <c r="O87" s="127"/>
      <c r="P87" s="127"/>
      <c r="Q87" s="127"/>
      <c r="R87" s="742">
        <v>43287</v>
      </c>
      <c r="S87" s="776"/>
      <c r="T87" s="776"/>
      <c r="U87" s="776"/>
      <c r="V87" s="776"/>
      <c r="W87" s="776"/>
    </row>
    <row r="88" spans="1:23" s="592" customFormat="1">
      <c r="A88" s="776"/>
      <c r="B88" s="51"/>
      <c r="C88" s="10"/>
      <c r="D88" s="10"/>
      <c r="E88" s="776"/>
      <c r="F88" s="776"/>
      <c r="G88" s="776"/>
      <c r="H88" s="776"/>
      <c r="I88" s="776"/>
      <c r="J88" s="776"/>
      <c r="K88" s="776"/>
      <c r="L88" s="51"/>
      <c r="M88" s="10"/>
      <c r="N88" s="10"/>
      <c r="O88" s="776"/>
      <c r="P88" s="776"/>
      <c r="Q88" s="776"/>
      <c r="R88" s="776"/>
      <c r="S88" s="776"/>
      <c r="T88" s="776"/>
      <c r="U88" s="776"/>
      <c r="V88" s="776"/>
      <c r="W88" s="776"/>
    </row>
    <row r="89" spans="1:23" s="353" customFormat="1">
      <c r="A89" s="776"/>
      <c r="B89" s="1" t="s">
        <v>900</v>
      </c>
      <c r="C89" s="776"/>
      <c r="D89" s="776"/>
      <c r="E89" s="776"/>
      <c r="F89" s="776"/>
      <c r="G89" s="776"/>
      <c r="H89" s="776"/>
      <c r="I89" s="776"/>
      <c r="J89" s="776"/>
      <c r="K89" s="776"/>
      <c r="L89" s="1" t="s">
        <v>910</v>
      </c>
      <c r="M89" s="776"/>
      <c r="N89" s="776"/>
      <c r="O89" s="776"/>
      <c r="P89" s="776"/>
      <c r="Q89" s="776"/>
      <c r="R89" s="776"/>
      <c r="S89" s="776"/>
      <c r="T89" s="776"/>
      <c r="U89" s="776"/>
      <c r="V89" s="776"/>
      <c r="W89" s="776"/>
    </row>
    <row r="90" spans="1:23" s="407" customFormat="1" ht="15">
      <c r="A90" s="776"/>
      <c r="B90" s="129"/>
      <c r="C90" s="129"/>
      <c r="D90" s="382">
        <v>2013</v>
      </c>
      <c r="E90" s="382">
        <f t="shared" ref="E90:I90" si="2">D90+1</f>
        <v>2014</v>
      </c>
      <c r="F90" s="382">
        <f t="shared" si="2"/>
        <v>2015</v>
      </c>
      <c r="G90" s="382">
        <f t="shared" si="2"/>
        <v>2016</v>
      </c>
      <c r="H90" s="382">
        <f t="shared" si="2"/>
        <v>2017</v>
      </c>
      <c r="I90" s="382">
        <f t="shared" si="2"/>
        <v>2018</v>
      </c>
      <c r="J90" s="637"/>
      <c r="K90" s="637"/>
      <c r="L90" s="129"/>
      <c r="M90" s="129"/>
      <c r="N90" s="382">
        <v>2013</v>
      </c>
      <c r="O90" s="382">
        <f t="shared" ref="O90" si="3">N90+1</f>
        <v>2014</v>
      </c>
      <c r="P90" s="382">
        <f t="shared" ref="P90" si="4">O90+1</f>
        <v>2015</v>
      </c>
      <c r="Q90" s="382">
        <f t="shared" ref="Q90" si="5">P90+1</f>
        <v>2016</v>
      </c>
      <c r="R90" s="382">
        <f t="shared" ref="R90" si="6">Q90+1</f>
        <v>2017</v>
      </c>
      <c r="S90" s="382">
        <f t="shared" ref="S90:T90" si="7">R90+1</f>
        <v>2018</v>
      </c>
      <c r="T90" s="382">
        <f t="shared" si="7"/>
        <v>2019</v>
      </c>
      <c r="U90" s="776"/>
      <c r="V90" s="776"/>
      <c r="W90" s="776"/>
    </row>
    <row r="91" spans="1:23" s="353" customFormat="1">
      <c r="A91" s="776"/>
      <c r="B91" s="733" t="s">
        <v>921</v>
      </c>
      <c r="C91" s="647"/>
      <c r="D91" s="729">
        <v>0.188</v>
      </c>
      <c r="E91" s="729">
        <v>0.18</v>
      </c>
      <c r="F91" s="731">
        <v>5.7000000000000002E-2</v>
      </c>
      <c r="G91" s="729">
        <v>0.17199999999999999</v>
      </c>
      <c r="H91" s="729">
        <v>0.27</v>
      </c>
      <c r="I91" s="729">
        <v>0.20899999999999999</v>
      </c>
      <c r="J91" s="243"/>
      <c r="K91" s="243"/>
      <c r="L91" s="740" t="s">
        <v>922</v>
      </c>
      <c r="M91" s="728"/>
      <c r="N91" s="63">
        <v>0.188</v>
      </c>
      <c r="O91" s="63">
        <v>0.189</v>
      </c>
      <c r="P91" s="63">
        <v>0.188</v>
      </c>
      <c r="Q91" s="63">
        <v>0.20899999999999999</v>
      </c>
      <c r="R91" s="63">
        <v>0.2</v>
      </c>
      <c r="S91" s="63">
        <v>0.16800000000000001</v>
      </c>
      <c r="T91" s="63">
        <v>1.1679999999999999</v>
      </c>
      <c r="U91" s="776"/>
      <c r="V91" s="776"/>
      <c r="W91" s="776"/>
    </row>
    <row r="92" spans="1:23" s="353" customFormat="1">
      <c r="A92" s="776"/>
      <c r="B92" s="735" t="s">
        <v>632</v>
      </c>
      <c r="C92" s="736"/>
      <c r="D92" s="730" t="e">
        <f>'18 Data for Charts'!O9</f>
        <v>#REF!</v>
      </c>
      <c r="E92" s="730" t="e">
        <f>'18 Data for Charts'!P9</f>
        <v>#REF!</v>
      </c>
      <c r="F92" s="730" t="e">
        <f>'18 Data for Charts'!Q9</f>
        <v>#REF!</v>
      </c>
      <c r="G92" s="730" t="e">
        <f>'18 Data for Charts'!R9</f>
        <v>#REF!</v>
      </c>
      <c r="H92" s="730" t="e">
        <f>'18 Data for Charts'!S9</f>
        <v>#REF!</v>
      </c>
      <c r="I92" s="730" t="e">
        <f>'18 Data for Charts'!T9</f>
        <v>#REF!</v>
      </c>
      <c r="J92" s="243"/>
      <c r="K92" s="243"/>
      <c r="L92" s="737" t="s">
        <v>632</v>
      </c>
      <c r="M92" s="736"/>
      <c r="N92" s="243" t="e">
        <f t="shared" ref="N92:T92" si="8">D92</f>
        <v>#REF!</v>
      </c>
      <c r="O92" s="243" t="e">
        <f t="shared" si="8"/>
        <v>#REF!</v>
      </c>
      <c r="P92" s="243" t="e">
        <f t="shared" si="8"/>
        <v>#REF!</v>
      </c>
      <c r="Q92" s="243" t="e">
        <f t="shared" si="8"/>
        <v>#REF!</v>
      </c>
      <c r="R92" s="243" t="e">
        <f t="shared" si="8"/>
        <v>#REF!</v>
      </c>
      <c r="S92" s="243" t="e">
        <f t="shared" si="8"/>
        <v>#REF!</v>
      </c>
      <c r="T92" s="243">
        <f t="shared" si="8"/>
        <v>0</v>
      </c>
      <c r="U92" s="776"/>
      <c r="V92" s="776"/>
      <c r="W92" s="776"/>
    </row>
    <row r="93" spans="1:23" s="592" customFormat="1">
      <c r="A93" s="776"/>
      <c r="B93" s="734" t="s">
        <v>923</v>
      </c>
      <c r="C93" s="728"/>
      <c r="D93" s="729" t="e">
        <f>'18 Data for Charts'!O8</f>
        <v>#REF!</v>
      </c>
      <c r="E93" s="729">
        <v>0.189</v>
      </c>
      <c r="F93" s="729">
        <v>0.188</v>
      </c>
      <c r="G93" s="729">
        <v>0.20899999999999999</v>
      </c>
      <c r="H93" s="729">
        <v>0.2</v>
      </c>
      <c r="I93" s="729">
        <v>0.16800000000000001</v>
      </c>
      <c r="J93" s="243"/>
      <c r="K93" s="243"/>
      <c r="L93" s="732" t="s">
        <v>924</v>
      </c>
      <c r="M93" s="732"/>
      <c r="N93" s="63" t="e">
        <f>D93</f>
        <v>#REF!</v>
      </c>
      <c r="O93" s="63">
        <v>0.18</v>
      </c>
      <c r="P93" s="63">
        <v>5.7000000000000002E-2</v>
      </c>
      <c r="Q93" s="63">
        <v>0.17199999999999999</v>
      </c>
      <c r="R93" s="63">
        <v>0.27</v>
      </c>
      <c r="S93" s="63">
        <v>0.20899999999999999</v>
      </c>
      <c r="T93" s="63">
        <v>1.2090000000000001</v>
      </c>
      <c r="U93" s="776"/>
      <c r="V93" s="776"/>
      <c r="W93" s="776"/>
    </row>
    <row r="94" spans="1:23" s="353" customFormat="1" hidden="1">
      <c r="A94" s="776"/>
      <c r="B94" s="383" t="s">
        <v>732</v>
      </c>
      <c r="C94" s="129"/>
      <c r="D94" s="131">
        <f>'18 Data for Charts'!O11</f>
        <v>0</v>
      </c>
      <c r="E94" s="131">
        <f>'18 Data for Charts'!P11</f>
        <v>0</v>
      </c>
      <c r="F94" s="643">
        <f>'18 Data for Charts'!Q11</f>
        <v>0</v>
      </c>
      <c r="G94" s="131">
        <f>'18 Data for Charts'!R11</f>
        <v>0</v>
      </c>
      <c r="H94" s="131">
        <f>'18 Data for Charts'!S11</f>
        <v>0</v>
      </c>
      <c r="I94" s="131">
        <f>'18 Data for Charts'!T11</f>
        <v>0</v>
      </c>
      <c r="J94" s="776"/>
      <c r="K94" s="776"/>
      <c r="L94" s="776"/>
      <c r="M94" s="776"/>
      <c r="N94" s="776"/>
      <c r="O94" s="776"/>
      <c r="P94" s="776"/>
      <c r="Q94" s="776"/>
      <c r="R94" s="776"/>
      <c r="S94" s="776"/>
      <c r="T94" s="776"/>
      <c r="U94" s="776"/>
      <c r="V94" s="776"/>
      <c r="W94" s="776"/>
    </row>
    <row r="95" spans="1:23" s="353" customFormat="1" hidden="1">
      <c r="A95" s="776"/>
      <c r="B95" s="383" t="s">
        <v>732</v>
      </c>
      <c r="C95" s="129"/>
      <c r="D95" s="131" t="e">
        <f>'18 Data for Charts'!O12</f>
        <v>#REF!</v>
      </c>
      <c r="E95" s="131" t="e">
        <f>'18 Data for Charts'!P12</f>
        <v>#REF!</v>
      </c>
      <c r="F95" s="643" t="e">
        <f>'18 Data for Charts'!Q12</f>
        <v>#REF!</v>
      </c>
      <c r="G95" s="131" t="e">
        <f>'18 Data for Charts'!R12</f>
        <v>#REF!</v>
      </c>
      <c r="H95" s="131" t="e">
        <f>'18 Data for Charts'!S12</f>
        <v>#REF!</v>
      </c>
      <c r="I95" s="131" t="e">
        <f>'18 Data for Charts'!T12</f>
        <v>#REF!</v>
      </c>
      <c r="J95" s="776"/>
      <c r="K95" s="776"/>
      <c r="L95" s="776"/>
      <c r="M95" s="776"/>
      <c r="N95" s="776"/>
      <c r="O95" s="776"/>
      <c r="P95" s="776"/>
      <c r="Q95" s="776"/>
      <c r="R95" s="776"/>
      <c r="S95" s="776"/>
      <c r="T95" s="776"/>
      <c r="U95" s="776"/>
      <c r="V95" s="776"/>
      <c r="W95" s="776"/>
    </row>
    <row r="96" spans="1:23" s="592" customFormat="1" hidden="1">
      <c r="A96" s="776"/>
      <c r="B96" s="383" t="s">
        <v>732</v>
      </c>
      <c r="C96" s="129"/>
      <c r="D96" s="131" t="e">
        <f>'18 Data for Charts'!O13</f>
        <v>#REF!</v>
      </c>
      <c r="E96" s="131" t="e">
        <f>'18 Data for Charts'!P13</f>
        <v>#REF!</v>
      </c>
      <c r="F96" s="643" t="e">
        <f>'18 Data for Charts'!Q13</f>
        <v>#REF!</v>
      </c>
      <c r="G96" s="131" t="e">
        <f>'18 Data for Charts'!R13</f>
        <v>#REF!</v>
      </c>
      <c r="H96" s="131" t="e">
        <f>'18 Data for Charts'!S13</f>
        <v>#REF!</v>
      </c>
      <c r="I96" s="131" t="e">
        <f>'18 Data for Charts'!T13</f>
        <v>#REF!</v>
      </c>
      <c r="J96" s="776"/>
      <c r="K96" s="776"/>
      <c r="L96" s="776"/>
      <c r="M96" s="776"/>
      <c r="N96" s="776"/>
      <c r="O96" s="776"/>
      <c r="P96" s="776"/>
      <c r="Q96" s="776"/>
      <c r="R96" s="776"/>
      <c r="S96" s="776"/>
      <c r="T96" s="776"/>
      <c r="U96" s="776"/>
      <c r="V96" s="776"/>
      <c r="W96" s="776"/>
    </row>
    <row r="97" spans="1:23" s="409" customFormat="1" hidden="1">
      <c r="A97" s="776"/>
      <c r="B97" s="383" t="s">
        <v>732</v>
      </c>
      <c r="C97" s="129"/>
      <c r="D97" s="131">
        <f>'18 Data for Charts'!O14</f>
        <v>0</v>
      </c>
      <c r="E97" s="131">
        <f>'18 Data for Charts'!P14</f>
        <v>0</v>
      </c>
      <c r="F97" s="643">
        <f>'18 Data for Charts'!Q14</f>
        <v>0</v>
      </c>
      <c r="G97" s="131">
        <f>'18 Data for Charts'!R14</f>
        <v>0</v>
      </c>
      <c r="H97" s="131">
        <f>'18 Data for Charts'!S14</f>
        <v>0</v>
      </c>
      <c r="I97" s="131">
        <f>'18 Data for Charts'!T14</f>
        <v>0</v>
      </c>
      <c r="J97" s="776"/>
      <c r="K97" s="776"/>
      <c r="L97" s="776"/>
      <c r="M97" s="776"/>
      <c r="N97" s="776"/>
      <c r="O97" s="776"/>
      <c r="P97" s="776"/>
      <c r="Q97" s="776"/>
      <c r="R97" s="776"/>
      <c r="S97" s="776"/>
      <c r="T97" s="776"/>
      <c r="U97" s="776"/>
      <c r="V97" s="776"/>
      <c r="W97" s="776"/>
    </row>
    <row r="98" spans="1:23" s="409" customFormat="1" hidden="1">
      <c r="A98" s="776"/>
      <c r="B98" s="383" t="s">
        <v>732</v>
      </c>
      <c r="C98" s="129"/>
      <c r="D98" s="131" t="e">
        <f>'18 Data for Charts'!O15</f>
        <v>#REF!</v>
      </c>
      <c r="E98" s="131" t="e">
        <f>'18 Data for Charts'!P15</f>
        <v>#REF!</v>
      </c>
      <c r="F98" s="643" t="e">
        <f>'18 Data for Charts'!Q15</f>
        <v>#REF!</v>
      </c>
      <c r="G98" s="131" t="e">
        <f>'18 Data for Charts'!R15</f>
        <v>#REF!</v>
      </c>
      <c r="H98" s="131" t="e">
        <f>'18 Data for Charts'!S15</f>
        <v>#REF!</v>
      </c>
      <c r="I98" s="131">
        <f>'18 Data for Charts'!T15</f>
        <v>0</v>
      </c>
      <c r="J98" s="776"/>
      <c r="K98" s="776"/>
      <c r="L98" s="776"/>
      <c r="M98" s="776"/>
      <c r="N98" s="776"/>
      <c r="O98" s="776"/>
      <c r="P98" s="776"/>
      <c r="Q98" s="776"/>
      <c r="R98" s="776"/>
      <c r="S98" s="776"/>
      <c r="T98" s="776"/>
      <c r="U98" s="776"/>
      <c r="V98" s="776"/>
      <c r="W98" s="776"/>
    </row>
    <row r="99" spans="1:23" s="409" customFormat="1" hidden="1">
      <c r="A99" s="776"/>
      <c r="B99" s="383" t="s">
        <v>732</v>
      </c>
      <c r="C99" s="129"/>
      <c r="D99" s="131">
        <f>'18 Data for Charts'!O16</f>
        <v>0</v>
      </c>
      <c r="E99" s="131">
        <f>'18 Data for Charts'!P16</f>
        <v>0</v>
      </c>
      <c r="F99" s="643">
        <f>'18 Data for Charts'!Q16</f>
        <v>0</v>
      </c>
      <c r="G99" s="131">
        <f>'18 Data for Charts'!R16</f>
        <v>0</v>
      </c>
      <c r="H99" s="131">
        <f>'18 Data for Charts'!S16</f>
        <v>0</v>
      </c>
      <c r="I99" s="131">
        <f>'18 Data for Charts'!T16</f>
        <v>0</v>
      </c>
      <c r="J99" s="776"/>
      <c r="K99" s="776"/>
      <c r="L99" s="776"/>
      <c r="M99" s="776"/>
      <c r="N99" s="776"/>
      <c r="O99" s="776"/>
      <c r="P99" s="776"/>
      <c r="Q99" s="776"/>
      <c r="R99" s="776"/>
      <c r="S99" s="776"/>
      <c r="T99" s="776"/>
      <c r="U99" s="776"/>
      <c r="V99" s="776"/>
      <c r="W99" s="776"/>
    </row>
    <row r="100" spans="1:23" s="353" customFormat="1" hidden="1">
      <c r="A100" s="776"/>
      <c r="B100" s="383" t="s">
        <v>732</v>
      </c>
      <c r="C100" s="129"/>
      <c r="D100" s="131">
        <f>'18 Data for Charts'!O17</f>
        <v>5511</v>
      </c>
      <c r="E100" s="131">
        <f>'18 Data for Charts'!P17</f>
        <v>6595</v>
      </c>
      <c r="F100" s="643">
        <f>'18 Data for Charts'!Q17</f>
        <v>16463</v>
      </c>
      <c r="G100" s="131">
        <f>'18 Data for Charts'!R17</f>
        <v>22284</v>
      </c>
      <c r="H100" s="131">
        <f>'18 Data for Charts'!S17</f>
        <v>11100</v>
      </c>
      <c r="I100" s="131">
        <f>'18 Data for Charts'!T17</f>
        <v>13300</v>
      </c>
      <c r="J100" s="776"/>
      <c r="K100" s="776"/>
      <c r="L100" s="776"/>
      <c r="M100" s="776"/>
      <c r="N100" s="776"/>
      <c r="O100" s="776"/>
      <c r="P100" s="776"/>
      <c r="Q100" s="776"/>
      <c r="R100" s="776"/>
      <c r="S100" s="776"/>
      <c r="T100" s="776"/>
      <c r="U100" s="776"/>
      <c r="V100" s="776"/>
      <c r="W100" s="776"/>
    </row>
    <row r="101" spans="1:23" s="353" customFormat="1" hidden="1">
      <c r="A101" s="776"/>
      <c r="B101" s="383" t="s">
        <v>732</v>
      </c>
      <c r="C101" s="129"/>
      <c r="D101" s="131" t="e">
        <f>'18 Data for Charts'!O18</f>
        <v>#REF!</v>
      </c>
      <c r="E101" s="131" t="e">
        <f>'18 Data for Charts'!P18</f>
        <v>#REF!</v>
      </c>
      <c r="F101" s="643" t="e">
        <f>'18 Data for Charts'!Q18</f>
        <v>#REF!</v>
      </c>
      <c r="G101" s="131" t="e">
        <f>'18 Data for Charts'!R18</f>
        <v>#REF!</v>
      </c>
      <c r="H101" s="131" t="e">
        <f>'18 Data for Charts'!S18</f>
        <v>#REF!</v>
      </c>
      <c r="I101" s="131" t="e">
        <f>'18 Data for Charts'!T18</f>
        <v>#REF!</v>
      </c>
      <c r="J101" s="776"/>
      <c r="K101" s="776"/>
      <c r="L101" s="776"/>
      <c r="M101" s="776"/>
      <c r="N101" s="776"/>
      <c r="O101" s="776"/>
      <c r="P101" s="776"/>
      <c r="Q101" s="776"/>
      <c r="R101" s="776"/>
      <c r="S101" s="776"/>
      <c r="T101" s="776"/>
      <c r="U101" s="776"/>
      <c r="V101" s="776"/>
      <c r="W101" s="776"/>
    </row>
    <row r="102" spans="1:23" s="353" customFormat="1" hidden="1">
      <c r="A102" s="776"/>
      <c r="B102" s="383" t="s">
        <v>732</v>
      </c>
      <c r="C102" s="129"/>
      <c r="D102" s="131">
        <f>'18 Data for Charts'!O19</f>
        <v>0</v>
      </c>
      <c r="E102" s="131">
        <f>'18 Data for Charts'!P19</f>
        <v>0</v>
      </c>
      <c r="F102" s="643">
        <f>'18 Data for Charts'!Q19</f>
        <v>0</v>
      </c>
      <c r="G102" s="131">
        <f>'18 Data for Charts'!R19</f>
        <v>0</v>
      </c>
      <c r="H102" s="131">
        <f>'18 Data for Charts'!S19</f>
        <v>0</v>
      </c>
      <c r="I102" s="131">
        <f>'18 Data for Charts'!T19</f>
        <v>0</v>
      </c>
      <c r="J102" s="776"/>
      <c r="K102" s="776"/>
      <c r="L102" s="776"/>
      <c r="M102" s="776"/>
      <c r="N102" s="776"/>
      <c r="O102" s="776"/>
      <c r="P102" s="776"/>
      <c r="Q102" s="776"/>
      <c r="R102" s="776"/>
      <c r="S102" s="776"/>
      <c r="T102" s="776"/>
      <c r="U102" s="776"/>
      <c r="V102" s="776"/>
      <c r="W102" s="776"/>
    </row>
    <row r="103" spans="1:23" s="353" customFormat="1" hidden="1">
      <c r="A103" s="776"/>
      <c r="B103" s="383" t="s">
        <v>732</v>
      </c>
      <c r="C103" s="129"/>
      <c r="D103" s="131" t="e">
        <f>'18 Data for Charts'!O20</f>
        <v>#REF!</v>
      </c>
      <c r="E103" s="131" t="e">
        <f>'18 Data for Charts'!P20</f>
        <v>#REF!</v>
      </c>
      <c r="F103" s="643" t="e">
        <f>'18 Data for Charts'!Q20</f>
        <v>#REF!</v>
      </c>
      <c r="G103" s="131" t="e">
        <f>'18 Data for Charts'!R20</f>
        <v>#REF!</v>
      </c>
      <c r="H103" s="131" t="e">
        <f>'18 Data for Charts'!S20</f>
        <v>#REF!</v>
      </c>
      <c r="I103" s="131" t="e">
        <f>'18 Data for Charts'!T20</f>
        <v>#REF!</v>
      </c>
      <c r="J103" s="776"/>
      <c r="K103" s="776"/>
      <c r="L103" s="776"/>
      <c r="M103" s="776"/>
      <c r="N103" s="776"/>
      <c r="O103" s="776"/>
      <c r="P103" s="776"/>
      <c r="Q103" s="776"/>
      <c r="R103" s="776"/>
      <c r="S103" s="776"/>
      <c r="T103" s="776"/>
      <c r="U103" s="776"/>
      <c r="V103" s="776"/>
      <c r="W103" s="776"/>
    </row>
    <row r="104" spans="1:23" s="353" customFormat="1" hidden="1">
      <c r="A104" s="776"/>
      <c r="B104" s="383" t="s">
        <v>732</v>
      </c>
      <c r="C104" s="129"/>
      <c r="D104" s="131" t="e">
        <f>'18 Data for Charts'!O21</f>
        <v>#REF!</v>
      </c>
      <c r="E104" s="131" t="e">
        <f>'18 Data for Charts'!P21</f>
        <v>#REF!</v>
      </c>
      <c r="F104" s="643" t="e">
        <f>'18 Data for Charts'!Q21</f>
        <v>#REF!</v>
      </c>
      <c r="G104" s="131" t="e">
        <f>'18 Data for Charts'!R21</f>
        <v>#REF!</v>
      </c>
      <c r="H104" s="131" t="e">
        <f>'18 Data for Charts'!S21</f>
        <v>#REF!</v>
      </c>
      <c r="I104" s="131" t="e">
        <f>'18 Data for Charts'!T21</f>
        <v>#REF!</v>
      </c>
      <c r="J104" s="776"/>
      <c r="K104" s="776"/>
      <c r="L104" s="776"/>
      <c r="M104" s="776"/>
      <c r="N104" s="776"/>
      <c r="O104" s="776"/>
      <c r="P104" s="776"/>
      <c r="Q104" s="776"/>
      <c r="R104" s="776"/>
      <c r="S104" s="776"/>
      <c r="T104" s="776"/>
      <c r="U104" s="776"/>
      <c r="V104" s="776"/>
      <c r="W104" s="776"/>
    </row>
    <row r="105" spans="1:23" s="353" customFormat="1" hidden="1">
      <c r="A105" s="776"/>
      <c r="B105" s="383" t="s">
        <v>732</v>
      </c>
      <c r="C105" s="129"/>
      <c r="D105" s="131" t="e">
        <f>'18 Data for Charts'!O22</f>
        <v>#REF!</v>
      </c>
      <c r="E105" s="131" t="e">
        <f>'18 Data for Charts'!P22</f>
        <v>#REF!</v>
      </c>
      <c r="F105" s="643" t="e">
        <f>'18 Data for Charts'!Q22</f>
        <v>#REF!</v>
      </c>
      <c r="G105" s="131" t="e">
        <f>'18 Data for Charts'!R22</f>
        <v>#REF!</v>
      </c>
      <c r="H105" s="131" t="e">
        <f>'18 Data for Charts'!S22</f>
        <v>#REF!</v>
      </c>
      <c r="I105" s="131" t="e">
        <f>'18 Data for Charts'!T22</f>
        <v>#REF!</v>
      </c>
      <c r="J105" s="776"/>
      <c r="K105" s="776"/>
      <c r="L105" s="776"/>
      <c r="M105" s="776"/>
      <c r="N105" s="776"/>
      <c r="O105" s="776"/>
      <c r="P105" s="776"/>
      <c r="Q105" s="776"/>
      <c r="R105" s="776"/>
      <c r="S105" s="776"/>
      <c r="T105" s="776"/>
      <c r="U105" s="776"/>
      <c r="V105" s="776"/>
      <c r="W105" s="776"/>
    </row>
    <row r="106" spans="1:23" s="353" customFormat="1" hidden="1">
      <c r="A106" s="776"/>
      <c r="B106" s="383" t="s">
        <v>732</v>
      </c>
      <c r="C106" s="129"/>
      <c r="D106" s="131" t="e">
        <f>'18 Data for Charts'!O23</f>
        <v>#REF!</v>
      </c>
      <c r="E106" s="131" t="e">
        <f>'18 Data for Charts'!P23</f>
        <v>#REF!</v>
      </c>
      <c r="F106" s="643" t="e">
        <f>'18 Data for Charts'!Q23</f>
        <v>#REF!</v>
      </c>
      <c r="G106" s="131" t="e">
        <f>'18 Data for Charts'!R23</f>
        <v>#REF!</v>
      </c>
      <c r="H106" s="131" t="e">
        <f>'18 Data for Charts'!S23</f>
        <v>#REF!</v>
      </c>
      <c r="I106" s="131" t="e">
        <f>'18 Data for Charts'!T23</f>
        <v>#REF!</v>
      </c>
      <c r="J106" s="776"/>
      <c r="K106" s="776"/>
      <c r="L106" s="776"/>
      <c r="M106" s="776"/>
      <c r="N106" s="776"/>
      <c r="O106" s="776"/>
      <c r="P106" s="776"/>
      <c r="Q106" s="776"/>
      <c r="R106" s="776"/>
      <c r="S106" s="776"/>
      <c r="T106" s="776"/>
      <c r="U106" s="776"/>
      <c r="V106" s="776"/>
      <c r="W106" s="776"/>
    </row>
    <row r="107" spans="1:23" s="353" customFormat="1" hidden="1">
      <c r="A107" s="776"/>
      <c r="B107" s="383" t="s">
        <v>732</v>
      </c>
      <c r="C107" s="129"/>
      <c r="D107" s="131" t="e">
        <f>'18 Data for Charts'!O24</f>
        <v>#REF!</v>
      </c>
      <c r="E107" s="131" t="e">
        <f>'18 Data for Charts'!P24</f>
        <v>#REF!</v>
      </c>
      <c r="F107" s="643" t="e">
        <f>'18 Data for Charts'!Q24</f>
        <v>#REF!</v>
      </c>
      <c r="G107" s="131" t="e">
        <f>'18 Data for Charts'!R24</f>
        <v>#REF!</v>
      </c>
      <c r="H107" s="131" t="e">
        <f>'18 Data for Charts'!S24</f>
        <v>#REF!</v>
      </c>
      <c r="I107" s="131" t="e">
        <f>'18 Data for Charts'!T24</f>
        <v>#REF!</v>
      </c>
      <c r="J107" s="776"/>
      <c r="K107" s="776"/>
      <c r="L107" s="776"/>
      <c r="M107" s="776"/>
      <c r="N107" s="776"/>
      <c r="O107" s="776"/>
      <c r="P107" s="776"/>
      <c r="Q107" s="776"/>
      <c r="R107" s="776"/>
      <c r="S107" s="776"/>
      <c r="T107" s="776"/>
      <c r="U107" s="776"/>
      <c r="V107" s="776"/>
      <c r="W107" s="776"/>
    </row>
    <row r="108" spans="1:23" s="353" customFormat="1" hidden="1">
      <c r="A108" s="776"/>
      <c r="B108" s="383" t="s">
        <v>732</v>
      </c>
      <c r="C108" s="129"/>
      <c r="D108" s="131">
        <f>'18 Data for Charts'!O25</f>
        <v>0</v>
      </c>
      <c r="E108" s="131">
        <f>'18 Data for Charts'!P25</f>
        <v>0</v>
      </c>
      <c r="F108" s="643">
        <f>'18 Data for Charts'!Q25</f>
        <v>0</v>
      </c>
      <c r="G108" s="131">
        <f>'18 Data for Charts'!R25</f>
        <v>0</v>
      </c>
      <c r="H108" s="131">
        <f>'18 Data for Charts'!S25</f>
        <v>0</v>
      </c>
      <c r="I108" s="131">
        <f>'18 Data for Charts'!T25</f>
        <v>0</v>
      </c>
      <c r="J108" s="776"/>
      <c r="K108" s="776"/>
      <c r="L108" s="776"/>
      <c r="M108" s="776"/>
      <c r="N108" s="776"/>
      <c r="O108" s="776"/>
      <c r="P108" s="776"/>
      <c r="Q108" s="776"/>
      <c r="R108" s="776"/>
      <c r="S108" s="776"/>
      <c r="T108" s="776"/>
      <c r="U108" s="776"/>
      <c r="V108" s="776"/>
      <c r="W108" s="776"/>
    </row>
    <row r="109" spans="1:23" s="353" customFormat="1" hidden="1">
      <c r="A109" s="776"/>
      <c r="B109" s="383" t="s">
        <v>732</v>
      </c>
      <c r="C109" s="129"/>
      <c r="D109" s="131">
        <f>'18 Data for Charts'!O26</f>
        <v>0</v>
      </c>
      <c r="E109" s="131" t="e">
        <f>'18 Data for Charts'!P26</f>
        <v>#REF!</v>
      </c>
      <c r="F109" s="643" t="e">
        <f>'18 Data for Charts'!Q26</f>
        <v>#REF!</v>
      </c>
      <c r="G109" s="131" t="e">
        <f>'18 Data for Charts'!R26</f>
        <v>#REF!</v>
      </c>
      <c r="H109" s="131" t="e">
        <f>'18 Data for Charts'!S26</f>
        <v>#REF!</v>
      </c>
      <c r="I109" s="131" t="e">
        <f>'18 Data for Charts'!T26</f>
        <v>#REF!</v>
      </c>
      <c r="J109" s="776"/>
      <c r="K109" s="776"/>
      <c r="L109" s="776"/>
      <c r="M109" s="776"/>
      <c r="N109" s="776"/>
      <c r="O109" s="776"/>
      <c r="P109" s="776"/>
      <c r="Q109" s="776"/>
      <c r="R109" s="776"/>
      <c r="S109" s="776"/>
      <c r="T109" s="776"/>
      <c r="U109" s="776"/>
      <c r="V109" s="776"/>
      <c r="W109" s="776"/>
    </row>
    <row r="110" spans="1:23" s="353" customFormat="1" hidden="1">
      <c r="A110" s="776"/>
      <c r="B110" s="383" t="s">
        <v>732</v>
      </c>
      <c r="C110" s="129"/>
      <c r="D110" s="131" t="e">
        <f>'18 Data for Charts'!#REF!</f>
        <v>#REF!</v>
      </c>
      <c r="E110" s="131" t="e">
        <f>'18 Data for Charts'!#REF!</f>
        <v>#REF!</v>
      </c>
      <c r="F110" s="643" t="e">
        <f>'18 Data for Charts'!#REF!</f>
        <v>#REF!</v>
      </c>
      <c r="G110" s="131" t="e">
        <f>'18 Data for Charts'!#REF!</f>
        <v>#REF!</v>
      </c>
      <c r="H110" s="131" t="e">
        <f>'18 Data for Charts'!#REF!</f>
        <v>#REF!</v>
      </c>
      <c r="I110" s="131" t="e">
        <f>'18 Data for Charts'!#REF!</f>
        <v>#REF!</v>
      </c>
      <c r="J110" s="776"/>
      <c r="K110" s="776"/>
      <c r="L110" s="776"/>
      <c r="M110" s="776"/>
      <c r="N110" s="776"/>
      <c r="O110" s="776"/>
      <c r="P110" s="776"/>
      <c r="Q110" s="776"/>
      <c r="R110" s="776"/>
      <c r="S110" s="776"/>
      <c r="T110" s="776"/>
      <c r="U110" s="776"/>
      <c r="V110" s="776"/>
      <c r="W110" s="776"/>
    </row>
    <row r="111" spans="1:23" s="353" customFormat="1" hidden="1">
      <c r="A111" s="776"/>
      <c r="B111" s="383" t="s">
        <v>732</v>
      </c>
      <c r="C111" s="129"/>
      <c r="D111" s="131">
        <f>'18 Data for Charts'!O27</f>
        <v>0</v>
      </c>
      <c r="E111" s="131">
        <f>'18 Data for Charts'!P27</f>
        <v>0</v>
      </c>
      <c r="F111" s="643">
        <f>'18 Data for Charts'!Q27</f>
        <v>0</v>
      </c>
      <c r="G111" s="131">
        <f>'18 Data for Charts'!R27</f>
        <v>0</v>
      </c>
      <c r="H111" s="131">
        <f>'18 Data for Charts'!S27</f>
        <v>0</v>
      </c>
      <c r="I111" s="131">
        <f>'18 Data for Charts'!T27</f>
        <v>0</v>
      </c>
      <c r="J111" s="776"/>
      <c r="K111" s="776"/>
      <c r="L111" s="776"/>
      <c r="M111" s="776"/>
      <c r="N111" s="776"/>
      <c r="O111" s="776"/>
      <c r="P111" s="776"/>
      <c r="Q111" s="776"/>
      <c r="R111" s="776"/>
      <c r="S111" s="776"/>
      <c r="T111" s="776"/>
      <c r="U111" s="776"/>
      <c r="V111" s="776"/>
      <c r="W111" s="776"/>
    </row>
    <row r="112" spans="1:23" s="353" customFormat="1" hidden="1">
      <c r="A112" s="776"/>
      <c r="B112" s="383" t="s">
        <v>732</v>
      </c>
      <c r="C112" s="129"/>
      <c r="D112" s="131" t="e">
        <f>'18 Data for Charts'!O28</f>
        <v>#REF!</v>
      </c>
      <c r="E112" s="131" t="e">
        <f>'18 Data for Charts'!P28</f>
        <v>#REF!</v>
      </c>
      <c r="F112" s="643" t="e">
        <f>'18 Data for Charts'!Q28</f>
        <v>#REF!</v>
      </c>
      <c r="G112" s="131" t="e">
        <f>'18 Data for Charts'!R28</f>
        <v>#REF!</v>
      </c>
      <c r="H112" s="131" t="e">
        <f>'18 Data for Charts'!S28</f>
        <v>#REF!</v>
      </c>
      <c r="I112" s="131" t="e">
        <f>'18 Data for Charts'!T28</f>
        <v>#REF!</v>
      </c>
      <c r="J112" s="776"/>
      <c r="K112" s="776"/>
      <c r="L112" s="776"/>
      <c r="M112" s="776"/>
      <c r="N112" s="776"/>
      <c r="O112" s="776"/>
      <c r="P112" s="776"/>
      <c r="Q112" s="776"/>
      <c r="R112" s="776"/>
      <c r="S112" s="776"/>
      <c r="T112" s="776"/>
      <c r="U112" s="776"/>
      <c r="V112" s="776"/>
      <c r="W112" s="776"/>
    </row>
    <row r="113" spans="1:23" s="353" customFormat="1" hidden="1">
      <c r="A113" s="776"/>
      <c r="B113" s="383" t="s">
        <v>732</v>
      </c>
      <c r="C113" s="129"/>
      <c r="D113" s="131" t="e">
        <f>'18 Data for Charts'!O29</f>
        <v>#REF!</v>
      </c>
      <c r="E113" s="131" t="e">
        <f>'18 Data for Charts'!P29</f>
        <v>#REF!</v>
      </c>
      <c r="F113" s="643" t="e">
        <f>'18 Data for Charts'!Q29</f>
        <v>#REF!</v>
      </c>
      <c r="G113" s="131" t="e">
        <f>'18 Data for Charts'!R29</f>
        <v>#REF!</v>
      </c>
      <c r="H113" s="131" t="e">
        <f>'18 Data for Charts'!S29</f>
        <v>#REF!</v>
      </c>
      <c r="I113" s="131" t="e">
        <f>'18 Data for Charts'!T29</f>
        <v>#REF!</v>
      </c>
      <c r="J113" s="776"/>
      <c r="K113" s="776"/>
      <c r="L113" s="776"/>
      <c r="M113" s="776"/>
      <c r="N113" s="776"/>
      <c r="O113" s="776"/>
      <c r="P113" s="776"/>
      <c r="Q113" s="776"/>
      <c r="R113" s="776"/>
      <c r="S113" s="776"/>
      <c r="T113" s="776"/>
      <c r="U113" s="776"/>
      <c r="V113" s="776"/>
      <c r="W113" s="776"/>
    </row>
    <row r="114" spans="1:23" s="353" customFormat="1" hidden="1">
      <c r="A114" s="776"/>
      <c r="B114" s="383" t="s">
        <v>732</v>
      </c>
      <c r="C114" s="129"/>
      <c r="D114" s="131" t="e">
        <f>'18 Data for Charts'!O30</f>
        <v>#REF!</v>
      </c>
      <c r="E114" s="131" t="e">
        <f>'18 Data for Charts'!P30</f>
        <v>#REF!</v>
      </c>
      <c r="F114" s="643" t="e">
        <f>'18 Data for Charts'!Q30</f>
        <v>#REF!</v>
      </c>
      <c r="G114" s="131" t="e">
        <f>'18 Data for Charts'!R30</f>
        <v>#REF!</v>
      </c>
      <c r="H114" s="131" t="e">
        <f>'18 Data for Charts'!S30</f>
        <v>#REF!</v>
      </c>
      <c r="I114" s="131" t="e">
        <f>'18 Data for Charts'!T30</f>
        <v>#REF!</v>
      </c>
      <c r="J114" s="776"/>
      <c r="K114" s="776"/>
      <c r="L114" s="776"/>
      <c r="M114" s="776"/>
      <c r="N114" s="776"/>
      <c r="O114" s="776"/>
      <c r="P114" s="776"/>
      <c r="Q114" s="776"/>
      <c r="R114" s="776"/>
      <c r="S114" s="776"/>
      <c r="T114" s="776"/>
      <c r="U114" s="776"/>
      <c r="V114" s="776"/>
      <c r="W114" s="776"/>
    </row>
    <row r="115" spans="1:23" s="409" customFormat="1" hidden="1">
      <c r="A115" s="776"/>
      <c r="B115" s="383" t="s">
        <v>732</v>
      </c>
      <c r="C115" s="129"/>
      <c r="D115" s="131">
        <f>'18 Data for Charts'!O31</f>
        <v>0</v>
      </c>
      <c r="E115" s="131">
        <f>'18 Data for Charts'!P31</f>
        <v>0</v>
      </c>
      <c r="F115" s="643">
        <f>'18 Data for Charts'!Q31</f>
        <v>0</v>
      </c>
      <c r="G115" s="131">
        <f>'18 Data for Charts'!R31</f>
        <v>0</v>
      </c>
      <c r="H115" s="131">
        <f>'18 Data for Charts'!S31</f>
        <v>0</v>
      </c>
      <c r="I115" s="131">
        <f>'18 Data for Charts'!T31</f>
        <v>0</v>
      </c>
      <c r="J115" s="776"/>
      <c r="K115" s="776"/>
      <c r="L115" s="776"/>
      <c r="M115" s="776"/>
      <c r="N115" s="776"/>
      <c r="O115" s="776"/>
      <c r="P115" s="776"/>
      <c r="Q115" s="776"/>
      <c r="R115" s="776"/>
      <c r="S115" s="776"/>
      <c r="T115" s="776"/>
      <c r="U115" s="776"/>
      <c r="V115" s="776"/>
      <c r="W115" s="776"/>
    </row>
    <row r="116" spans="1:23" s="409" customFormat="1" hidden="1">
      <c r="A116" s="776"/>
      <c r="B116" s="383" t="s">
        <v>732</v>
      </c>
      <c r="C116" s="129"/>
      <c r="D116" s="131">
        <f>'18 Data for Charts'!O32</f>
        <v>0</v>
      </c>
      <c r="E116" s="131" t="e">
        <f>'18 Data for Charts'!P32</f>
        <v>#REF!</v>
      </c>
      <c r="F116" s="643" t="e">
        <f>'18 Data for Charts'!Q32</f>
        <v>#REF!</v>
      </c>
      <c r="G116" s="131" t="e">
        <f>'18 Data for Charts'!R32</f>
        <v>#REF!</v>
      </c>
      <c r="H116" s="131" t="e">
        <f>'18 Data for Charts'!S32</f>
        <v>#REF!</v>
      </c>
      <c r="I116" s="131" t="e">
        <f>'18 Data for Charts'!T32</f>
        <v>#REF!</v>
      </c>
      <c r="J116" s="776"/>
      <c r="K116" s="776"/>
      <c r="L116" s="776"/>
      <c r="M116" s="776"/>
      <c r="N116" s="776"/>
      <c r="O116" s="776"/>
      <c r="P116" s="776"/>
      <c r="Q116" s="776"/>
      <c r="R116" s="776"/>
      <c r="S116" s="776"/>
      <c r="T116" s="776"/>
      <c r="U116" s="776"/>
      <c r="V116" s="776"/>
      <c r="W116" s="776"/>
    </row>
    <row r="117" spans="1:23" s="409" customFormat="1" hidden="1">
      <c r="A117" s="776"/>
      <c r="B117" s="383" t="s">
        <v>732</v>
      </c>
      <c r="C117" s="129"/>
      <c r="D117" s="131">
        <f>'18 Data for Charts'!O33</f>
        <v>0</v>
      </c>
      <c r="E117" s="131" t="e">
        <f>'18 Data for Charts'!P33</f>
        <v>#REF!</v>
      </c>
      <c r="F117" s="643" t="e">
        <f>'18 Data for Charts'!Q33</f>
        <v>#REF!</v>
      </c>
      <c r="G117" s="131" t="e">
        <f>'18 Data for Charts'!R33</f>
        <v>#REF!</v>
      </c>
      <c r="H117" s="131" t="e">
        <f>'18 Data for Charts'!S33</f>
        <v>#REF!</v>
      </c>
      <c r="I117" s="131" t="e">
        <f>'18 Data for Charts'!T33</f>
        <v>#REF!</v>
      </c>
      <c r="J117" s="776"/>
      <c r="K117" s="776"/>
      <c r="L117" s="776"/>
      <c r="M117" s="776"/>
      <c r="N117" s="776"/>
      <c r="O117" s="776"/>
      <c r="P117" s="776"/>
      <c r="Q117" s="776"/>
      <c r="R117" s="776"/>
      <c r="S117" s="776"/>
      <c r="T117" s="776"/>
      <c r="U117" s="776"/>
      <c r="V117" s="776"/>
      <c r="W117" s="776"/>
    </row>
    <row r="118" spans="1:23" s="409" customFormat="1" hidden="1">
      <c r="A118" s="776"/>
      <c r="B118" s="383" t="s">
        <v>732</v>
      </c>
      <c r="C118" s="129"/>
      <c r="D118" s="131">
        <f>'18 Data for Charts'!O34</f>
        <v>0</v>
      </c>
      <c r="E118" s="131" t="e">
        <f>'18 Data for Charts'!P34</f>
        <v>#REF!</v>
      </c>
      <c r="F118" s="643" t="e">
        <f>'18 Data for Charts'!Q34</f>
        <v>#REF!</v>
      </c>
      <c r="G118" s="131" t="e">
        <f>'18 Data for Charts'!R34</f>
        <v>#REF!</v>
      </c>
      <c r="H118" s="131" t="e">
        <f>'18 Data for Charts'!S34</f>
        <v>#REF!</v>
      </c>
      <c r="I118" s="131" t="e">
        <f>'18 Data for Charts'!T34</f>
        <v>#REF!</v>
      </c>
      <c r="J118" s="776"/>
      <c r="K118" s="776"/>
      <c r="L118" s="776"/>
      <c r="M118" s="776"/>
      <c r="N118" s="776"/>
      <c r="O118" s="776"/>
      <c r="P118" s="776"/>
      <c r="Q118" s="776"/>
      <c r="R118" s="776"/>
      <c r="S118" s="776"/>
      <c r="T118" s="776"/>
      <c r="U118" s="776"/>
      <c r="V118" s="776"/>
      <c r="W118" s="776"/>
    </row>
    <row r="119" spans="1:23" s="592" customFormat="1" hidden="1">
      <c r="A119" s="776"/>
      <c r="B119" s="383" t="s">
        <v>732</v>
      </c>
      <c r="C119" s="129"/>
      <c r="D119" s="131">
        <f>'18 Data for Charts'!O35</f>
        <v>0</v>
      </c>
      <c r="E119" s="131" t="e">
        <f>'18 Data for Charts'!P35</f>
        <v>#REF!</v>
      </c>
      <c r="F119" s="643" t="e">
        <f>'18 Data for Charts'!Q35</f>
        <v>#REF!</v>
      </c>
      <c r="G119" s="131" t="e">
        <f>'18 Data for Charts'!R35</f>
        <v>#REF!</v>
      </c>
      <c r="H119" s="131" t="e">
        <f>'18 Data for Charts'!S35</f>
        <v>#REF!</v>
      </c>
      <c r="I119" s="131" t="e">
        <f>'18 Data for Charts'!T35</f>
        <v>#REF!</v>
      </c>
      <c r="J119" s="776"/>
      <c r="K119" s="776"/>
      <c r="L119" s="776"/>
      <c r="M119" s="776"/>
      <c r="N119" s="776"/>
      <c r="O119" s="776"/>
      <c r="P119" s="776"/>
      <c r="Q119" s="776"/>
      <c r="R119" s="776"/>
      <c r="S119" s="776"/>
      <c r="T119" s="776"/>
      <c r="U119" s="776"/>
      <c r="V119" s="776"/>
      <c r="W119" s="776"/>
    </row>
    <row r="120" spans="1:23" s="409" customFormat="1" hidden="1">
      <c r="A120" s="776"/>
      <c r="B120" s="383" t="s">
        <v>732</v>
      </c>
      <c r="C120" s="129"/>
      <c r="D120" s="131">
        <f>'18 Data for Charts'!O36</f>
        <v>0</v>
      </c>
      <c r="E120" s="131">
        <f>'18 Data for Charts'!P36</f>
        <v>0</v>
      </c>
      <c r="F120" s="643">
        <f>'18 Data for Charts'!Q36</f>
        <v>0</v>
      </c>
      <c r="G120" s="131">
        <f>'18 Data for Charts'!R36</f>
        <v>0</v>
      </c>
      <c r="H120" s="131">
        <f>'18 Data for Charts'!S36</f>
        <v>0</v>
      </c>
      <c r="I120" s="131">
        <f>'18 Data for Charts'!T36</f>
        <v>0</v>
      </c>
      <c r="J120" s="776"/>
      <c r="K120" s="776"/>
      <c r="L120" s="776"/>
      <c r="M120" s="776"/>
      <c r="N120" s="776"/>
      <c r="O120" s="776"/>
      <c r="P120" s="776"/>
      <c r="Q120" s="776"/>
      <c r="R120" s="776"/>
      <c r="S120" s="776"/>
      <c r="T120" s="776"/>
      <c r="U120" s="776"/>
      <c r="V120" s="776"/>
      <c r="W120" s="776"/>
    </row>
    <row r="121" spans="1:23" s="352" customFormat="1" ht="15" hidden="1">
      <c r="A121" s="776"/>
      <c r="B121" s="383" t="s">
        <v>732</v>
      </c>
      <c r="C121" s="129"/>
      <c r="D121" s="131" t="e">
        <f>'18 Data for Charts'!O37</f>
        <v>#REF!</v>
      </c>
      <c r="E121" s="131" t="e">
        <f>'18 Data for Charts'!P37</f>
        <v>#REF!</v>
      </c>
      <c r="F121" s="643" t="e">
        <f>'18 Data for Charts'!Q37</f>
        <v>#REF!</v>
      </c>
      <c r="G121" s="131" t="e">
        <f>'18 Data for Charts'!R37</f>
        <v>#REF!</v>
      </c>
      <c r="H121" s="131" t="e">
        <f>'18 Data for Charts'!S37</f>
        <v>#REF!</v>
      </c>
      <c r="I121" s="131" t="e">
        <f>'18 Data for Charts'!T37</f>
        <v>#REF!</v>
      </c>
      <c r="J121" s="382" t="e">
        <f t="shared" ref="J121:M121" si="9">I121+1</f>
        <v>#REF!</v>
      </c>
      <c r="K121" s="382" t="e">
        <f t="shared" si="9"/>
        <v>#REF!</v>
      </c>
      <c r="L121" s="382" t="e">
        <f t="shared" si="9"/>
        <v>#REF!</v>
      </c>
      <c r="M121" s="382" t="e">
        <f t="shared" si="9"/>
        <v>#REF!</v>
      </c>
      <c r="N121" s="776"/>
      <c r="O121" s="776"/>
      <c r="P121" s="776"/>
      <c r="Q121" s="776"/>
      <c r="R121" s="776"/>
      <c r="S121" s="776"/>
      <c r="T121" s="776"/>
      <c r="U121" s="776"/>
      <c r="V121" s="776"/>
      <c r="W121" s="776"/>
    </row>
    <row r="122" spans="1:23" s="352" customFormat="1" hidden="1">
      <c r="A122" s="776"/>
      <c r="B122" s="383" t="s">
        <v>732</v>
      </c>
      <c r="C122" s="129"/>
      <c r="D122" s="131" t="e">
        <f>'18 Data for Charts'!O38</f>
        <v>#REF!</v>
      </c>
      <c r="E122" s="131" t="e">
        <f>'18 Data for Charts'!P38</f>
        <v>#REF!</v>
      </c>
      <c r="F122" s="643" t="e">
        <f>'18 Data for Charts'!Q38</f>
        <v>#REF!</v>
      </c>
      <c r="G122" s="131" t="e">
        <f>'18 Data for Charts'!R38</f>
        <v>#REF!</v>
      </c>
      <c r="H122" s="131" t="e">
        <f>'18 Data for Charts'!S38</f>
        <v>#REF!</v>
      </c>
      <c r="I122" s="131" t="e">
        <f>'18 Data for Charts'!T38</f>
        <v>#REF!</v>
      </c>
      <c r="J122" s="384" t="e">
        <f>'Econ-Perf 2'!T63</f>
        <v>#REF!</v>
      </c>
      <c r="K122" s="384" t="e">
        <f>'Econ-Perf 2'!#REF!</f>
        <v>#REF!</v>
      </c>
      <c r="L122" s="384" t="e">
        <f>'Econ-Perf 2'!#REF!</f>
        <v>#REF!</v>
      </c>
      <c r="M122" s="384" t="e">
        <f>'Econ-Perf 2'!#REF!</f>
        <v>#REF!</v>
      </c>
      <c r="N122" s="402" t="e">
        <f>AVERAGE(D122:L122)</f>
        <v>#REF!</v>
      </c>
      <c r="O122" s="776"/>
      <c r="P122" s="776"/>
      <c r="Q122" s="776"/>
      <c r="R122" s="776"/>
      <c r="S122" s="776"/>
      <c r="T122" s="776"/>
      <c r="U122" s="776"/>
      <c r="V122" s="776"/>
      <c r="W122" s="776"/>
    </row>
    <row r="123" spans="1:23" s="352" customFormat="1" hidden="1">
      <c r="A123" s="776"/>
      <c r="B123" s="383" t="s">
        <v>732</v>
      </c>
      <c r="C123" s="129"/>
      <c r="D123" s="131" t="e">
        <f>'18 Data for Charts'!O39</f>
        <v>#REF!</v>
      </c>
      <c r="E123" s="131" t="e">
        <f>'18 Data for Charts'!P39</f>
        <v>#REF!</v>
      </c>
      <c r="F123" s="643" t="e">
        <f>'18 Data for Charts'!Q39</f>
        <v>#REF!</v>
      </c>
      <c r="G123" s="131" t="e">
        <f>'18 Data for Charts'!R39</f>
        <v>#REF!</v>
      </c>
      <c r="H123" s="131" t="e">
        <f>'18 Data for Charts'!S39</f>
        <v>#REF!</v>
      </c>
      <c r="I123" s="131" t="e">
        <f>'18 Data for Charts'!T39</f>
        <v>#REF!</v>
      </c>
      <c r="J123" s="385" t="e">
        <f>'Econ-Perf 2'!T64</f>
        <v>#REF!</v>
      </c>
      <c r="K123" s="385" t="e">
        <f>'Econ-Perf 2'!#REF!</f>
        <v>#REF!</v>
      </c>
      <c r="L123" s="385" t="e">
        <f>'Econ-Perf 2'!#REF!</f>
        <v>#REF!</v>
      </c>
      <c r="M123" s="385" t="e">
        <f>'Econ-Perf 2'!#REF!</f>
        <v>#REF!</v>
      </c>
      <c r="N123" s="403" t="e">
        <f>AVERAGE(D123:L123)</f>
        <v>#REF!</v>
      </c>
      <c r="O123" s="776"/>
      <c r="P123" s="776"/>
      <c r="Q123" s="776"/>
      <c r="R123" s="776"/>
      <c r="S123" s="776"/>
      <c r="T123" s="776"/>
      <c r="U123" s="776"/>
      <c r="V123" s="776"/>
      <c r="W123" s="776"/>
    </row>
    <row r="124" spans="1:23" s="352" customFormat="1" hidden="1">
      <c r="A124" s="776"/>
      <c r="B124" s="383" t="s">
        <v>732</v>
      </c>
      <c r="C124" s="129"/>
      <c r="D124" s="131">
        <f>'18 Data for Charts'!O40</f>
        <v>0</v>
      </c>
      <c r="E124" s="131">
        <f>'18 Data for Charts'!P40</f>
        <v>0</v>
      </c>
      <c r="F124" s="643">
        <f>'18 Data for Charts'!Q40</f>
        <v>0</v>
      </c>
      <c r="G124" s="131">
        <f>'18 Data for Charts'!R40</f>
        <v>0</v>
      </c>
      <c r="H124" s="131">
        <f>'18 Data for Charts'!S40</f>
        <v>0</v>
      </c>
      <c r="I124" s="131">
        <f>'18 Data for Charts'!T40</f>
        <v>0</v>
      </c>
      <c r="J124" s="384" t="e">
        <f>'Econ-Perf 2'!T65</f>
        <v>#REF!</v>
      </c>
      <c r="K124" s="384" t="e">
        <f>'Econ-Perf 2'!#REF!</f>
        <v>#REF!</v>
      </c>
      <c r="L124" s="384" t="e">
        <f>'Econ-Perf 2'!#REF!</f>
        <v>#REF!</v>
      </c>
      <c r="M124" s="384" t="e">
        <f>'Econ-Perf 2'!#REF!</f>
        <v>#REF!</v>
      </c>
      <c r="N124" s="403" t="e">
        <f>AVERAGE(D124:L124)</f>
        <v>#REF!</v>
      </c>
      <c r="O124" s="776"/>
      <c r="P124" s="776"/>
      <c r="Q124" s="776"/>
      <c r="R124" s="776"/>
      <c r="S124" s="776"/>
      <c r="T124" s="776"/>
      <c r="U124" s="776"/>
      <c r="V124" s="776"/>
      <c r="W124" s="776"/>
    </row>
    <row r="125" spans="1:23" s="352" customFormat="1">
      <c r="A125" s="776"/>
      <c r="B125" s="37"/>
      <c r="C125" s="13"/>
      <c r="D125" s="63"/>
      <c r="E125" s="63"/>
      <c r="F125" s="726"/>
      <c r="G125" s="63"/>
      <c r="H125" s="63"/>
      <c r="I125" s="63"/>
      <c r="J125" s="28"/>
      <c r="K125" s="28"/>
      <c r="L125" s="436"/>
      <c r="M125" s="28"/>
      <c r="N125" s="28"/>
      <c r="O125" s="776"/>
      <c r="P125" s="776"/>
      <c r="Q125" s="776"/>
      <c r="R125" s="776"/>
      <c r="S125" s="776"/>
      <c r="T125" s="776"/>
      <c r="U125" s="776"/>
      <c r="V125" s="776"/>
      <c r="W125" s="776"/>
    </row>
    <row r="126" spans="1:23" s="592" customFormat="1">
      <c r="A126" s="776"/>
      <c r="B126" s="776"/>
      <c r="C126" s="776"/>
      <c r="D126" s="776"/>
      <c r="E126" s="776"/>
      <c r="F126" s="776"/>
      <c r="G126" s="776"/>
      <c r="H126" s="776"/>
      <c r="I126" s="776"/>
      <c r="J126" s="28"/>
      <c r="K126" s="28"/>
      <c r="L126" s="436"/>
      <c r="M126" s="28"/>
      <c r="N126" s="28"/>
      <c r="O126" s="776"/>
      <c r="P126" s="776"/>
      <c r="Q126" s="776"/>
      <c r="R126" s="776"/>
      <c r="S126" s="776"/>
      <c r="T126" s="776"/>
      <c r="U126" s="776"/>
      <c r="V126" s="776"/>
      <c r="W126" s="776"/>
    </row>
    <row r="127" spans="1:23" s="352" customFormat="1">
      <c r="A127" s="776"/>
      <c r="B127" s="129" t="s">
        <v>925</v>
      </c>
      <c r="C127" s="129"/>
      <c r="D127" s="129"/>
      <c r="E127" s="129"/>
      <c r="F127" s="129"/>
      <c r="G127" s="129"/>
      <c r="H127" s="129"/>
      <c r="I127" s="776"/>
      <c r="J127" s="776"/>
      <c r="K127" s="776"/>
      <c r="L127" s="776"/>
      <c r="M127" s="776"/>
      <c r="N127" s="776"/>
      <c r="O127" s="776"/>
      <c r="P127" s="776"/>
      <c r="Q127" s="776"/>
      <c r="R127" s="776"/>
      <c r="S127" s="776"/>
      <c r="T127" s="776"/>
      <c r="U127" s="776"/>
      <c r="V127" s="776"/>
      <c r="W127" s="776"/>
    </row>
    <row r="128" spans="1:23" s="592" customFormat="1" ht="15">
      <c r="A128" s="776"/>
      <c r="B128" s="776"/>
      <c r="C128" s="440"/>
      <c r="D128" s="776"/>
      <c r="E128" s="23"/>
      <c r="F128" s="23"/>
      <c r="G128" s="13"/>
      <c r="H128" s="13"/>
      <c r="I128" s="776"/>
      <c r="J128" s="776"/>
      <c r="K128" s="776"/>
      <c r="L128" s="776"/>
      <c r="M128" s="776"/>
      <c r="N128" s="776"/>
      <c r="O128" s="776"/>
      <c r="P128" s="776"/>
      <c r="Q128" s="776"/>
      <c r="R128" s="776"/>
      <c r="S128" s="776"/>
      <c r="T128" s="776"/>
      <c r="U128" s="776"/>
      <c r="V128" s="776"/>
      <c r="W128" s="776"/>
    </row>
    <row r="129" spans="1:11" s="352" customFormat="1" ht="19.5">
      <c r="A129" s="776"/>
      <c r="B129" s="776"/>
      <c r="C129" s="434" t="s">
        <v>926</v>
      </c>
      <c r="D129" s="127"/>
      <c r="E129" s="127"/>
      <c r="F129" s="127"/>
      <c r="G129" s="127"/>
      <c r="H129" s="127"/>
      <c r="I129" s="776"/>
      <c r="J129" s="572"/>
      <c r="K129" s="776"/>
    </row>
    <row r="130" spans="1:11" s="352" customFormat="1" ht="16.5">
      <c r="A130" s="776"/>
      <c r="B130" s="776"/>
      <c r="C130" s="739" t="s">
        <v>906</v>
      </c>
      <c r="D130" s="127"/>
      <c r="E130" s="127"/>
      <c r="F130" s="127"/>
      <c r="G130" s="640"/>
      <c r="H130" s="640"/>
      <c r="I130" s="776"/>
      <c r="J130" s="419"/>
      <c r="K130" s="776"/>
    </row>
    <row r="131" spans="1:11" s="352" customFormat="1" ht="14.25">
      <c r="A131" s="776"/>
      <c r="B131" s="776"/>
      <c r="C131" s="410" t="s">
        <v>915</v>
      </c>
      <c r="D131" s="127"/>
      <c r="E131" s="127"/>
      <c r="F131" s="127"/>
      <c r="G131" s="641"/>
      <c r="H131" s="641"/>
      <c r="I131" s="776"/>
      <c r="J131" s="182"/>
      <c r="K131" s="776"/>
    </row>
    <row r="132" spans="1:11" s="352" customFormat="1" ht="15">
      <c r="A132" s="776"/>
      <c r="B132" s="776"/>
      <c r="C132" s="741" t="s">
        <v>927</v>
      </c>
      <c r="D132" s="127"/>
      <c r="E132" s="127"/>
      <c r="F132" s="127"/>
      <c r="G132" s="127"/>
      <c r="H132" s="127"/>
      <c r="I132" s="776"/>
      <c r="J132" s="419"/>
      <c r="K132" s="776"/>
    </row>
    <row r="133" spans="1:11" s="352" customFormat="1" ht="13.5">
      <c r="A133" s="776"/>
      <c r="B133" s="776"/>
      <c r="C133" s="411" t="s">
        <v>928</v>
      </c>
      <c r="D133" s="127"/>
      <c r="E133" s="127"/>
      <c r="F133" s="127"/>
      <c r="G133" s="127"/>
      <c r="H133" s="127"/>
      <c r="I133" s="776"/>
      <c r="J133" s="776"/>
      <c r="K133" s="776"/>
    </row>
    <row r="134" spans="1:11" s="352" customFormat="1">
      <c r="A134" s="776"/>
      <c r="B134" s="776"/>
      <c r="C134" s="406"/>
      <c r="D134" s="406"/>
      <c r="E134" s="406"/>
      <c r="F134" s="127"/>
      <c r="G134" s="127"/>
      <c r="H134" s="127"/>
      <c r="I134" s="776"/>
      <c r="J134" s="50"/>
      <c r="K134" s="776"/>
    </row>
    <row r="135" spans="1:11" s="352" customFormat="1">
      <c r="A135" s="776"/>
      <c r="B135" s="776"/>
      <c r="C135" s="406"/>
      <c r="D135" s="406"/>
      <c r="E135" s="406"/>
      <c r="F135" s="127"/>
      <c r="G135" s="127"/>
      <c r="H135" s="776"/>
      <c r="I135" s="776"/>
      <c r="J135" s="50"/>
      <c r="K135" s="776"/>
    </row>
    <row r="136" spans="1:11" s="352" customFormat="1">
      <c r="A136" s="776"/>
      <c r="B136" s="776"/>
      <c r="C136" s="406"/>
      <c r="D136" s="406"/>
      <c r="E136" s="406"/>
      <c r="F136" s="127"/>
      <c r="G136" s="127"/>
      <c r="H136" s="776"/>
      <c r="I136" s="776"/>
      <c r="J136" s="50"/>
      <c r="K136" s="776"/>
    </row>
    <row r="137" spans="1:11" s="352" customFormat="1">
      <c r="A137" s="776"/>
      <c r="B137" s="776"/>
      <c r="C137" s="406"/>
      <c r="D137" s="406"/>
      <c r="E137" s="406"/>
      <c r="F137" s="127"/>
      <c r="G137" s="127"/>
      <c r="H137" s="776"/>
      <c r="I137" s="776"/>
      <c r="J137" s="50"/>
      <c r="K137" s="776"/>
    </row>
    <row r="138" spans="1:11" s="352" customFormat="1">
      <c r="A138" s="776"/>
      <c r="B138" s="776"/>
      <c r="C138" s="406"/>
      <c r="D138" s="406"/>
      <c r="E138" s="406"/>
      <c r="F138" s="127"/>
      <c r="G138" s="127"/>
      <c r="H138" s="776"/>
      <c r="I138" s="776"/>
      <c r="J138" s="50"/>
      <c r="K138" s="776"/>
    </row>
    <row r="139" spans="1:11" s="352" customFormat="1">
      <c r="A139" s="776"/>
      <c r="B139" s="776"/>
      <c r="C139" s="406"/>
      <c r="D139" s="406"/>
      <c r="E139" s="406"/>
      <c r="F139" s="127"/>
      <c r="G139" s="127"/>
      <c r="H139" s="776"/>
      <c r="I139" s="776"/>
      <c r="J139" s="50"/>
      <c r="K139" s="776"/>
    </row>
    <row r="140" spans="1:11" s="409" customFormat="1">
      <c r="A140" s="776"/>
      <c r="B140" s="776"/>
      <c r="C140" s="406"/>
      <c r="D140" s="406"/>
      <c r="E140" s="406"/>
      <c r="F140" s="127"/>
      <c r="G140" s="127"/>
      <c r="H140" s="776"/>
      <c r="I140" s="776"/>
      <c r="J140" s="50"/>
      <c r="K140" s="776"/>
    </row>
    <row r="141" spans="1:11" s="409" customFormat="1">
      <c r="A141" s="776"/>
      <c r="B141" s="776"/>
      <c r="C141" s="406"/>
      <c r="D141" s="406"/>
      <c r="E141" s="406"/>
      <c r="F141" s="127"/>
      <c r="G141" s="127"/>
      <c r="H141" s="776"/>
      <c r="I141" s="776"/>
      <c r="J141" s="50"/>
      <c r="K141" s="776"/>
    </row>
    <row r="142" spans="1:11" s="409" customFormat="1">
      <c r="A142" s="776"/>
      <c r="B142" s="776"/>
      <c r="C142" s="406"/>
      <c r="D142" s="406"/>
      <c r="E142" s="406"/>
      <c r="F142" s="127"/>
      <c r="G142" s="127"/>
      <c r="H142" s="776"/>
      <c r="I142" s="776"/>
      <c r="J142" s="50"/>
      <c r="K142" s="776"/>
    </row>
    <row r="143" spans="1:11" s="352" customFormat="1">
      <c r="A143" s="776"/>
      <c r="B143" s="776"/>
      <c r="C143" s="406"/>
      <c r="D143" s="406"/>
      <c r="E143" s="406"/>
      <c r="F143" s="127"/>
      <c r="G143" s="127"/>
      <c r="H143" s="776"/>
      <c r="I143" s="776"/>
      <c r="J143" s="50"/>
      <c r="K143" s="776"/>
    </row>
    <row r="144" spans="1:11" s="352" customFormat="1">
      <c r="A144" s="776"/>
      <c r="B144" s="776"/>
      <c r="C144" s="406"/>
      <c r="D144" s="406"/>
      <c r="E144" s="406"/>
      <c r="F144" s="127"/>
      <c r="G144" s="127"/>
      <c r="H144" s="170"/>
      <c r="I144" s="776"/>
      <c r="J144" s="50"/>
      <c r="K144" s="776"/>
    </row>
    <row r="145" spans="1:23" s="592" customFormat="1">
      <c r="A145" s="776"/>
      <c r="B145" s="776"/>
      <c r="C145" s="406"/>
      <c r="D145" s="406"/>
      <c r="E145" s="406"/>
      <c r="F145" s="127"/>
      <c r="G145" s="127"/>
      <c r="H145" s="170"/>
      <c r="I145" s="776"/>
      <c r="J145" s="50"/>
      <c r="K145" s="776"/>
      <c r="L145" s="776"/>
      <c r="M145" s="776"/>
      <c r="N145" s="776"/>
      <c r="O145" s="776"/>
      <c r="P145" s="776"/>
      <c r="Q145" s="776"/>
      <c r="R145" s="776"/>
      <c r="S145" s="776"/>
      <c r="T145" s="776"/>
      <c r="U145" s="776"/>
      <c r="V145" s="776"/>
      <c r="W145" s="776"/>
    </row>
    <row r="146" spans="1:23" s="592" customFormat="1">
      <c r="A146" s="776"/>
      <c r="B146" s="776"/>
      <c r="C146" s="406"/>
      <c r="D146" s="406"/>
      <c r="E146" s="406"/>
      <c r="F146" s="127"/>
      <c r="G146" s="127"/>
      <c r="H146" s="127"/>
      <c r="I146" s="776"/>
      <c r="J146" s="50"/>
      <c r="K146" s="776"/>
      <c r="L146" s="776"/>
      <c r="M146" s="776"/>
      <c r="N146" s="776"/>
      <c r="O146" s="776"/>
      <c r="P146" s="776"/>
      <c r="Q146" s="776"/>
      <c r="R146" s="776"/>
      <c r="S146" s="776"/>
      <c r="T146" s="776"/>
      <c r="U146" s="776"/>
      <c r="V146" s="776"/>
      <c r="W146" s="776"/>
    </row>
    <row r="147" spans="1:23" s="352" customFormat="1" ht="13.5">
      <c r="A147" s="776"/>
      <c r="B147" s="776"/>
      <c r="C147" s="411" t="s">
        <v>929</v>
      </c>
      <c r="D147" s="406"/>
      <c r="E147" s="406"/>
      <c r="F147" s="127"/>
      <c r="G147" s="127"/>
      <c r="H147" s="127"/>
      <c r="I147" s="776"/>
      <c r="J147" s="50"/>
      <c r="K147" s="776"/>
      <c r="L147" s="776"/>
      <c r="M147" s="776"/>
      <c r="N147" s="776"/>
      <c r="O147" s="776"/>
      <c r="P147" s="776"/>
      <c r="Q147" s="776"/>
      <c r="R147" s="776"/>
      <c r="S147" s="776"/>
      <c r="T147" s="776"/>
      <c r="U147" s="776"/>
      <c r="V147" s="776"/>
      <c r="W147" s="776"/>
    </row>
    <row r="148" spans="1:23" s="456" customFormat="1" ht="13.5">
      <c r="A148" s="776"/>
      <c r="B148" s="776"/>
      <c r="C148" s="411" t="s">
        <v>920</v>
      </c>
      <c r="D148" s="406"/>
      <c r="E148" s="406"/>
      <c r="F148" s="127"/>
      <c r="G148" s="127"/>
      <c r="H148" s="127"/>
      <c r="I148" s="776"/>
      <c r="J148" s="50"/>
      <c r="K148" s="776"/>
      <c r="L148" s="776"/>
      <c r="M148" s="776"/>
      <c r="N148" s="776"/>
      <c r="O148" s="776"/>
      <c r="P148" s="776"/>
      <c r="Q148" s="776"/>
      <c r="R148" s="776"/>
      <c r="S148" s="776"/>
      <c r="T148" s="776"/>
      <c r="U148" s="776"/>
      <c r="V148" s="776"/>
      <c r="W148" s="776"/>
    </row>
    <row r="149" spans="1:23" s="430" customFormat="1" ht="13.5">
      <c r="A149" s="776"/>
      <c r="B149" s="776"/>
      <c r="C149" s="447" t="str">
        <f>'X-Chart Basics'!F18</f>
        <v xml:space="preserve">Ireland, Wallace &amp; Associates </v>
      </c>
      <c r="D149" s="406"/>
      <c r="E149" s="406"/>
      <c r="F149" s="127"/>
      <c r="G149" s="127"/>
      <c r="H149" s="742">
        <v>43287</v>
      </c>
      <c r="I149" s="776"/>
      <c r="J149" s="50"/>
      <c r="K149" s="776"/>
      <c r="L149" s="776"/>
      <c r="M149" s="776"/>
      <c r="N149" s="776"/>
      <c r="O149" s="776"/>
      <c r="P149" s="776"/>
      <c r="Q149" s="776"/>
      <c r="R149" s="776"/>
      <c r="S149" s="776"/>
      <c r="T149" s="776"/>
      <c r="U149" s="776"/>
      <c r="V149" s="776"/>
      <c r="W149" s="776"/>
    </row>
    <row r="150" spans="1:23" s="592" customFormat="1" ht="13.5">
      <c r="A150" s="776"/>
      <c r="B150" s="505"/>
      <c r="C150" s="31"/>
      <c r="D150" s="31"/>
      <c r="E150" s="13"/>
      <c r="F150" s="13"/>
      <c r="G150" s="528"/>
      <c r="H150" s="776"/>
      <c r="I150" s="776"/>
      <c r="J150" s="50"/>
      <c r="K150" s="776"/>
      <c r="L150" s="776"/>
      <c r="M150" s="776"/>
      <c r="N150" s="776"/>
      <c r="O150" s="776"/>
      <c r="P150" s="776"/>
      <c r="Q150" s="776"/>
      <c r="R150" s="776"/>
      <c r="S150" s="776"/>
      <c r="T150" s="776"/>
      <c r="U150" s="776"/>
      <c r="V150" s="776"/>
      <c r="W150" s="776"/>
    </row>
    <row r="151" spans="1:23" s="409" customFormat="1">
      <c r="A151" s="776"/>
      <c r="B151" s="1" t="s">
        <v>930</v>
      </c>
      <c r="C151" s="776"/>
      <c r="D151" s="776"/>
      <c r="E151" s="776"/>
      <c r="F151" s="776"/>
      <c r="G151" s="776"/>
      <c r="H151" s="776"/>
      <c r="I151" s="776"/>
      <c r="J151" s="776"/>
      <c r="K151" s="776"/>
      <c r="L151" s="50"/>
      <c r="M151" s="776"/>
      <c r="N151" s="776"/>
      <c r="O151" s="776"/>
      <c r="P151" s="776"/>
      <c r="Q151" s="776"/>
      <c r="R151" s="776"/>
      <c r="S151" s="776"/>
      <c r="T151" s="776"/>
      <c r="U151" s="776"/>
      <c r="V151" s="776"/>
      <c r="W151" s="776"/>
    </row>
    <row r="152" spans="1:23" s="353" customFormat="1" ht="15">
      <c r="A152" s="776"/>
      <c r="B152" s="128" t="s">
        <v>658</v>
      </c>
      <c r="C152" s="130"/>
      <c r="D152" s="382">
        <v>2013</v>
      </c>
      <c r="E152" s="382">
        <f t="shared" ref="E152:I152" si="10">D152+1</f>
        <v>2014</v>
      </c>
      <c r="F152" s="382">
        <f t="shared" si="10"/>
        <v>2015</v>
      </c>
      <c r="G152" s="382">
        <f t="shared" si="10"/>
        <v>2016</v>
      </c>
      <c r="H152" s="382">
        <f t="shared" si="10"/>
        <v>2017</v>
      </c>
      <c r="I152" s="382">
        <f t="shared" si="10"/>
        <v>2018</v>
      </c>
      <c r="J152" s="637"/>
      <c r="K152" s="637"/>
      <c r="L152" s="637"/>
      <c r="M152" s="637"/>
      <c r="N152" s="23"/>
      <c r="O152" s="776"/>
      <c r="P152" s="776"/>
      <c r="Q152" s="776"/>
      <c r="R152" s="776"/>
      <c r="S152" s="776"/>
      <c r="T152" s="776"/>
      <c r="U152" s="776"/>
      <c r="V152" s="776"/>
      <c r="W152" s="776"/>
    </row>
    <row r="153" spans="1:23" s="352" customFormat="1">
      <c r="A153" s="776"/>
      <c r="B153" s="738" t="s">
        <v>931</v>
      </c>
      <c r="C153" s="738"/>
      <c r="D153" s="50" t="e">
        <f>#REF!</f>
        <v>#REF!</v>
      </c>
      <c r="E153" s="50" t="e">
        <f>#REF!</f>
        <v>#REF!</v>
      </c>
      <c r="F153" s="50" t="e">
        <f>#REF!</f>
        <v>#REF!</v>
      </c>
      <c r="G153" s="50" t="e">
        <f>#REF!</f>
        <v>#REF!</v>
      </c>
      <c r="H153" s="50" t="e">
        <f>#REF!</f>
        <v>#REF!</v>
      </c>
      <c r="I153" s="50" t="e">
        <f>#REF!</f>
        <v>#REF!</v>
      </c>
      <c r="J153" s="28"/>
      <c r="K153" s="28"/>
      <c r="L153" s="28"/>
      <c r="M153" s="282"/>
      <c r="N153" s="243"/>
      <c r="O153" s="776"/>
      <c r="P153" s="776"/>
      <c r="Q153" s="776"/>
      <c r="R153" s="776"/>
      <c r="S153" s="776"/>
      <c r="T153" s="776"/>
      <c r="U153" s="776"/>
      <c r="V153" s="776"/>
      <c r="W153" s="776"/>
    </row>
    <row r="154" spans="1:23" s="352" customFormat="1" ht="13.5">
      <c r="A154" s="776"/>
      <c r="B154" s="37"/>
      <c r="C154" s="421"/>
      <c r="D154" s="11"/>
      <c r="E154" s="11"/>
      <c r="F154" s="11"/>
      <c r="G154" s="11"/>
      <c r="H154" s="11"/>
      <c r="I154" s="11"/>
      <c r="J154" s="28"/>
      <c r="K154" s="28"/>
      <c r="L154" s="28"/>
      <c r="M154" s="243"/>
      <c r="N154" s="243"/>
      <c r="O154" s="776"/>
      <c r="P154" s="776"/>
      <c r="Q154" s="776"/>
      <c r="R154" s="776"/>
      <c r="S154" s="776"/>
      <c r="T154" s="776"/>
      <c r="U154" s="776"/>
      <c r="V154" s="776"/>
      <c r="W154" s="776"/>
    </row>
    <row r="155" spans="1:23" s="430" customFormat="1">
      <c r="A155" s="10"/>
      <c r="B155" s="22"/>
      <c r="C155" s="22"/>
      <c r="D155" s="11"/>
      <c r="E155" s="11"/>
      <c r="F155" s="11"/>
      <c r="G155" s="11"/>
      <c r="H155" s="11"/>
      <c r="I155" s="11"/>
      <c r="J155" s="4"/>
      <c r="K155" s="4"/>
      <c r="L155" s="4"/>
      <c r="M155" s="4"/>
      <c r="N155" s="776"/>
      <c r="O155" s="776"/>
      <c r="P155" s="776"/>
      <c r="Q155" s="776"/>
      <c r="R155" s="776"/>
      <c r="S155" s="776"/>
      <c r="T155" s="776"/>
      <c r="U155" s="776"/>
      <c r="V155" s="776"/>
      <c r="W155" s="776"/>
    </row>
    <row r="156" spans="1:23" s="341" customFormat="1">
      <c r="A156" s="13"/>
      <c r="B156" s="531" t="s">
        <v>932</v>
      </c>
      <c r="C156" s="44"/>
      <c r="D156" s="44"/>
      <c r="E156" s="44"/>
      <c r="F156" s="44"/>
      <c r="G156" s="44"/>
      <c r="H156" s="776"/>
      <c r="I156" s="776"/>
      <c r="J156" s="776"/>
      <c r="K156" s="776"/>
      <c r="L156" s="776"/>
      <c r="M156" s="776"/>
      <c r="N156" s="776"/>
      <c r="O156" s="776"/>
      <c r="P156" s="776"/>
      <c r="Q156" s="776"/>
      <c r="R156" s="776"/>
      <c r="S156" s="776"/>
      <c r="T156" s="776"/>
      <c r="U156" s="776"/>
      <c r="V156" s="776"/>
      <c r="W156" s="776"/>
    </row>
    <row r="157" spans="1:23" s="592" customFormat="1" ht="15">
      <c r="A157" s="13"/>
      <c r="B157" s="440"/>
      <c r="C157" s="13"/>
      <c r="D157" s="13"/>
      <c r="E157" s="13"/>
      <c r="F157" s="13"/>
      <c r="G157" s="776"/>
      <c r="H157" s="776"/>
      <c r="I157" s="776"/>
      <c r="J157" s="776"/>
      <c r="K157" s="776"/>
      <c r="L157" s="776"/>
      <c r="M157" s="776"/>
      <c r="N157" s="776"/>
      <c r="O157" s="776"/>
      <c r="P157" s="776"/>
      <c r="Q157" s="776"/>
      <c r="R157" s="776"/>
      <c r="S157" s="776"/>
      <c r="T157" s="776"/>
      <c r="U157" s="776"/>
      <c r="V157" s="776"/>
      <c r="W157" s="776"/>
    </row>
    <row r="158" spans="1:23" ht="19.5">
      <c r="A158" s="776"/>
      <c r="B158" s="434" t="str">
        <f>O158</f>
        <v>Sales Growth</v>
      </c>
      <c r="C158" s="127"/>
      <c r="D158" s="127"/>
      <c r="E158" s="127"/>
      <c r="F158" s="127"/>
      <c r="G158" s="127"/>
      <c r="H158" s="448" t="str">
        <f>O158</f>
        <v>Sales Growth</v>
      </c>
      <c r="I158" s="127"/>
      <c r="J158" s="127"/>
      <c r="K158" s="127"/>
      <c r="L158" s="127"/>
      <c r="M158" s="127"/>
      <c r="N158" s="776"/>
      <c r="O158" s="572" t="s">
        <v>933</v>
      </c>
      <c r="P158" s="776"/>
      <c r="Q158" s="776"/>
      <c r="R158" s="776"/>
      <c r="S158" s="776"/>
      <c r="T158" s="776"/>
      <c r="U158" s="776"/>
      <c r="V158" s="776"/>
      <c r="W158" s="776"/>
    </row>
    <row r="159" spans="1:23" ht="16.5">
      <c r="A159" s="776"/>
      <c r="B159" s="642" t="s">
        <v>906</v>
      </c>
      <c r="C159" s="127"/>
      <c r="D159" s="127"/>
      <c r="E159" s="127"/>
      <c r="F159" s="127"/>
      <c r="G159" s="127"/>
      <c r="H159" s="413" t="str">
        <f>'X-Chart Basics'!C9</f>
        <v>Briscoe</v>
      </c>
      <c r="I159" s="127"/>
      <c r="J159" s="127"/>
      <c r="K159" s="127"/>
      <c r="L159" s="127"/>
      <c r="M159" s="127"/>
      <c r="N159" s="776"/>
      <c r="O159" s="423"/>
      <c r="P159" s="776"/>
      <c r="Q159" s="776"/>
      <c r="R159" s="776"/>
      <c r="S159" s="776"/>
      <c r="T159" s="776"/>
      <c r="U159" s="776"/>
      <c r="V159" s="776"/>
      <c r="W159" s="776"/>
    </row>
    <row r="160" spans="1:23" s="409" customFormat="1" ht="16.5">
      <c r="A160" s="776"/>
      <c r="B160" s="127"/>
      <c r="C160" s="127"/>
      <c r="D160" s="127"/>
      <c r="E160" s="127"/>
      <c r="F160" s="127"/>
      <c r="G160" s="127"/>
      <c r="H160" s="127"/>
      <c r="I160" s="127"/>
      <c r="J160" s="127"/>
      <c r="K160" s="127"/>
      <c r="L160" s="127"/>
      <c r="M160" s="127"/>
      <c r="N160" s="776"/>
      <c r="O160" s="423"/>
      <c r="P160" s="776"/>
      <c r="Q160" s="776"/>
      <c r="R160" s="776"/>
      <c r="S160" s="776"/>
      <c r="T160" s="776"/>
      <c r="U160" s="776"/>
      <c r="V160" s="776"/>
      <c r="W160" s="776"/>
    </row>
    <row r="161" spans="2:18" ht="13.5">
      <c r="B161" s="411" t="s">
        <v>928</v>
      </c>
      <c r="C161" s="127"/>
      <c r="D161" s="127"/>
      <c r="E161" s="127"/>
      <c r="F161" s="127"/>
      <c r="G161" s="127"/>
      <c r="H161" s="411" t="s">
        <v>928</v>
      </c>
      <c r="I161" s="127"/>
      <c r="J161" s="127"/>
      <c r="K161" s="127"/>
      <c r="L161" s="127"/>
      <c r="M161" s="127"/>
      <c r="N161" s="776"/>
      <c r="O161" s="422" t="s">
        <v>934</v>
      </c>
      <c r="P161" s="776"/>
      <c r="Q161" s="776"/>
      <c r="R161" s="776"/>
    </row>
    <row r="162" spans="2:18" s="337" customFormat="1">
      <c r="B162" s="127"/>
      <c r="C162" s="127"/>
      <c r="D162" s="127"/>
      <c r="E162" s="127"/>
      <c r="F162" s="127"/>
      <c r="G162" s="127"/>
      <c r="H162" s="127"/>
      <c r="I162" s="127"/>
      <c r="J162" s="127"/>
      <c r="K162" s="127"/>
      <c r="L162" s="127"/>
      <c r="M162" s="127"/>
      <c r="N162" s="776"/>
      <c r="O162" s="422" t="s">
        <v>935</v>
      </c>
      <c r="P162" s="776"/>
      <c r="Q162" s="776"/>
      <c r="R162" s="776"/>
    </row>
    <row r="163" spans="2:18" s="337" customFormat="1">
      <c r="B163" s="127"/>
      <c r="C163" s="127"/>
      <c r="D163" s="127"/>
      <c r="E163" s="127"/>
      <c r="F163" s="127"/>
      <c r="G163" s="127"/>
      <c r="H163" s="127"/>
      <c r="I163" s="127"/>
      <c r="J163" s="127"/>
      <c r="K163" s="127"/>
      <c r="L163" s="127"/>
      <c r="M163" s="127"/>
      <c r="N163" s="776"/>
      <c r="O163" s="485" t="s">
        <v>936</v>
      </c>
      <c r="P163" s="776"/>
      <c r="Q163" s="776"/>
      <c r="R163" s="776"/>
    </row>
    <row r="164" spans="2:18" s="337" customFormat="1">
      <c r="B164" s="127"/>
      <c r="C164" s="127"/>
      <c r="D164" s="127"/>
      <c r="E164" s="127"/>
      <c r="F164" s="127"/>
      <c r="G164" s="127"/>
      <c r="H164" s="127"/>
      <c r="I164" s="127"/>
      <c r="J164" s="127"/>
      <c r="K164" s="127"/>
      <c r="L164" s="776"/>
      <c r="M164" s="13"/>
      <c r="N164" s="776"/>
      <c r="O164" s="776"/>
      <c r="P164" s="776"/>
      <c r="Q164" s="776"/>
      <c r="R164" s="776"/>
    </row>
    <row r="165" spans="2:18" s="341" customFormat="1">
      <c r="B165" s="127"/>
      <c r="C165" s="127"/>
      <c r="D165" s="127"/>
      <c r="E165" s="127"/>
      <c r="F165" s="127"/>
      <c r="G165" s="127"/>
      <c r="H165" s="127"/>
      <c r="I165" s="127"/>
      <c r="J165" s="127"/>
      <c r="K165" s="127"/>
      <c r="L165" s="776"/>
      <c r="M165" s="13"/>
      <c r="N165" s="776"/>
      <c r="O165" s="776"/>
      <c r="P165" s="776"/>
      <c r="Q165" s="776"/>
      <c r="R165" s="776"/>
    </row>
    <row r="166" spans="2:18" s="337" customFormat="1">
      <c r="B166" s="127"/>
      <c r="C166" s="127"/>
      <c r="D166" s="127"/>
      <c r="E166" s="127"/>
      <c r="F166" s="127"/>
      <c r="G166" s="127"/>
      <c r="H166" s="127"/>
      <c r="I166" s="127"/>
      <c r="J166" s="127"/>
      <c r="K166" s="127"/>
      <c r="L166" s="776"/>
      <c r="M166" s="13"/>
      <c r="N166" s="776"/>
      <c r="O166" s="776"/>
      <c r="P166" s="776"/>
      <c r="Q166" s="776"/>
      <c r="R166" s="776"/>
    </row>
    <row r="167" spans="2:18" s="337" customFormat="1">
      <c r="B167" s="127"/>
      <c r="C167" s="127"/>
      <c r="D167" s="127"/>
      <c r="E167" s="127"/>
      <c r="F167" s="127"/>
      <c r="G167" s="127"/>
      <c r="H167" s="127"/>
      <c r="I167" s="127"/>
      <c r="J167" s="127"/>
      <c r="K167" s="127"/>
      <c r="L167" s="776"/>
      <c r="M167" s="13"/>
      <c r="N167" s="776"/>
      <c r="O167" s="776"/>
      <c r="P167" s="776"/>
      <c r="Q167" s="776"/>
      <c r="R167" s="776"/>
    </row>
    <row r="168" spans="2:18" s="337" customFormat="1">
      <c r="B168" s="127"/>
      <c r="C168" s="127"/>
      <c r="D168" s="127"/>
      <c r="E168" s="127"/>
      <c r="F168" s="127"/>
      <c r="G168" s="127"/>
      <c r="H168" s="127"/>
      <c r="I168" s="127"/>
      <c r="J168" s="127"/>
      <c r="K168" s="127"/>
      <c r="L168" s="776"/>
      <c r="M168" s="13"/>
      <c r="N168" s="776"/>
      <c r="O168" s="776"/>
      <c r="P168" s="776"/>
      <c r="Q168" s="776"/>
      <c r="R168" s="776"/>
    </row>
    <row r="169" spans="2:18" s="337" customFormat="1">
      <c r="B169" s="127"/>
      <c r="C169" s="127"/>
      <c r="D169" s="127"/>
      <c r="E169" s="127"/>
      <c r="F169" s="127"/>
      <c r="G169" s="127"/>
      <c r="H169" s="127"/>
      <c r="I169" s="127"/>
      <c r="J169" s="127"/>
      <c r="K169" s="127"/>
      <c r="L169" s="776"/>
      <c r="M169" s="13"/>
      <c r="N169" s="776"/>
      <c r="O169" s="776"/>
      <c r="P169" s="776"/>
      <c r="Q169" s="776"/>
      <c r="R169" s="776"/>
    </row>
    <row r="170" spans="2:18" s="337" customFormat="1">
      <c r="B170" s="127"/>
      <c r="C170" s="127"/>
      <c r="D170" s="127"/>
      <c r="E170" s="127"/>
      <c r="F170" s="127"/>
      <c r="G170" s="127"/>
      <c r="H170" s="127"/>
      <c r="I170" s="127"/>
      <c r="J170" s="127"/>
      <c r="K170" s="127"/>
      <c r="L170" s="776"/>
      <c r="M170" s="13"/>
      <c r="N170" s="776"/>
      <c r="O170" s="776"/>
      <c r="P170" s="776"/>
      <c r="Q170" s="776"/>
      <c r="R170" s="776"/>
    </row>
    <row r="171" spans="2:18" s="337" customFormat="1">
      <c r="B171" s="127"/>
      <c r="C171" s="127"/>
      <c r="D171" s="127"/>
      <c r="E171" s="127"/>
      <c r="F171" s="127"/>
      <c r="G171" s="127"/>
      <c r="H171" s="127"/>
      <c r="I171" s="127"/>
      <c r="J171" s="127"/>
      <c r="K171" s="127"/>
      <c r="L171" s="776"/>
      <c r="M171" s="13"/>
      <c r="N171" s="776"/>
      <c r="O171" s="776"/>
      <c r="P171" s="776"/>
      <c r="Q171" s="776"/>
      <c r="R171" s="776"/>
    </row>
    <row r="172" spans="2:18" s="337" customFormat="1">
      <c r="B172" s="127"/>
      <c r="C172" s="127"/>
      <c r="D172" s="127"/>
      <c r="E172" s="127"/>
      <c r="F172" s="127"/>
      <c r="G172" s="127"/>
      <c r="H172" s="127"/>
      <c r="I172" s="127"/>
      <c r="J172" s="127"/>
      <c r="K172" s="127"/>
      <c r="L172" s="776"/>
      <c r="M172" s="13"/>
      <c r="N172" s="776"/>
      <c r="O172" s="776"/>
      <c r="P172" s="776"/>
      <c r="Q172" s="776"/>
      <c r="R172" s="776"/>
    </row>
    <row r="173" spans="2:18" s="337" customFormat="1">
      <c r="B173" s="127"/>
      <c r="C173" s="127"/>
      <c r="D173" s="127"/>
      <c r="E173" s="127"/>
      <c r="F173" s="127"/>
      <c r="G173" s="127"/>
      <c r="H173" s="127"/>
      <c r="I173" s="127"/>
      <c r="J173" s="127"/>
      <c r="K173" s="127"/>
      <c r="L173" s="776"/>
      <c r="M173" s="13"/>
      <c r="N173" s="776"/>
      <c r="O173" s="776"/>
      <c r="P173" s="776"/>
      <c r="Q173" s="776"/>
      <c r="R173" s="776"/>
    </row>
    <row r="174" spans="2:18" s="337" customFormat="1">
      <c r="B174" s="127"/>
      <c r="C174" s="127"/>
      <c r="D174" s="127"/>
      <c r="E174" s="127"/>
      <c r="F174" s="127"/>
      <c r="G174" s="127"/>
      <c r="H174" s="127"/>
      <c r="I174" s="127"/>
      <c r="J174" s="127"/>
      <c r="K174" s="127"/>
      <c r="L174" s="776"/>
      <c r="M174" s="13"/>
      <c r="N174" s="776"/>
      <c r="O174" s="776"/>
      <c r="P174" s="776"/>
      <c r="Q174" s="776"/>
      <c r="R174" s="776"/>
    </row>
    <row r="175" spans="2:18" s="337" customFormat="1">
      <c r="B175" s="127"/>
      <c r="C175" s="127"/>
      <c r="D175" s="127"/>
      <c r="E175" s="127"/>
      <c r="F175" s="127"/>
      <c r="G175" s="127"/>
      <c r="H175" s="127"/>
      <c r="I175" s="127"/>
      <c r="J175" s="127"/>
      <c r="K175" s="127"/>
      <c r="L175" s="776"/>
      <c r="M175" s="13"/>
      <c r="N175" s="776"/>
      <c r="O175" s="776"/>
      <c r="P175" s="776"/>
      <c r="Q175" s="776"/>
      <c r="R175" s="776"/>
    </row>
    <row r="176" spans="2:18" s="337" customFormat="1">
      <c r="B176" s="406"/>
      <c r="C176" s="406"/>
      <c r="D176" s="406"/>
      <c r="E176" s="449"/>
      <c r="F176" s="127"/>
      <c r="G176" s="406"/>
      <c r="H176" s="406"/>
      <c r="I176" s="406"/>
      <c r="J176" s="449"/>
      <c r="K176" s="127"/>
      <c r="L176" s="127"/>
      <c r="M176" s="127"/>
      <c r="N176" s="776"/>
      <c r="O176" s="776"/>
      <c r="P176" s="776"/>
      <c r="Q176" s="776"/>
      <c r="R176" s="776"/>
    </row>
    <row r="177" spans="1:18" s="337" customFormat="1">
      <c r="A177" s="776"/>
      <c r="B177" s="446" t="str">
        <f>O162</f>
        <v>2013 affected by acquisitions</v>
      </c>
      <c r="C177" s="406"/>
      <c r="D177" s="406"/>
      <c r="E177" s="449"/>
      <c r="F177" s="506">
        <v>42790</v>
      </c>
      <c r="G177" s="446"/>
      <c r="H177" s="406"/>
      <c r="I177" s="406"/>
      <c r="J177" s="449"/>
      <c r="K177" s="127"/>
      <c r="L177" s="127"/>
      <c r="M177" s="127"/>
      <c r="N177" s="776"/>
      <c r="O177" s="776"/>
      <c r="P177" s="776"/>
      <c r="Q177" s="776"/>
      <c r="R177" s="776"/>
    </row>
    <row r="178" spans="1:18" s="337" customFormat="1" ht="13.5">
      <c r="A178" s="776"/>
      <c r="B178" s="447" t="str">
        <f>'X-Chart Basics'!D20</f>
        <v>Source: Annual Reports</v>
      </c>
      <c r="C178" s="406"/>
      <c r="D178" s="406"/>
      <c r="E178" s="449"/>
      <c r="F178" s="127"/>
      <c r="G178" s="447"/>
      <c r="H178" s="447" t="str">
        <f>'X-Chart Basics'!D20</f>
        <v>Source: Annual Reports</v>
      </c>
      <c r="I178" s="406"/>
      <c r="J178" s="449"/>
      <c r="K178" s="506">
        <v>42790</v>
      </c>
      <c r="L178" s="127"/>
      <c r="M178" s="127"/>
      <c r="N178" s="776"/>
      <c r="O178" s="776"/>
      <c r="P178" s="776"/>
      <c r="Q178" s="776"/>
      <c r="R178" s="776"/>
    </row>
    <row r="179" spans="1:18" s="353" customFormat="1" ht="13.5">
      <c r="A179" s="776"/>
      <c r="B179" s="447" t="str">
        <f>'X-Chart Basics'!F18</f>
        <v xml:space="preserve">Ireland, Wallace &amp; Associates </v>
      </c>
      <c r="C179" s="406"/>
      <c r="D179" s="406"/>
      <c r="E179" s="449"/>
      <c r="F179" s="127"/>
      <c r="G179" s="447"/>
      <c r="H179" s="447" t="str">
        <f>'X-Chart Basics'!F18</f>
        <v xml:space="preserve">Ireland, Wallace &amp; Associates </v>
      </c>
      <c r="I179" s="406"/>
      <c r="J179" s="449"/>
      <c r="K179" s="127"/>
      <c r="L179" s="127"/>
      <c r="M179" s="527">
        <f>'X-Chart Basics'!D24</f>
        <v>42790</v>
      </c>
      <c r="N179" s="776"/>
      <c r="O179" s="776"/>
      <c r="P179" s="776"/>
      <c r="Q179" s="776"/>
      <c r="R179" s="776"/>
    </row>
    <row r="180" spans="1:18" s="457" customFormat="1" ht="13.5">
      <c r="A180" s="776"/>
      <c r="B180" s="505"/>
      <c r="C180" s="31"/>
      <c r="D180" s="31"/>
      <c r="E180" s="181"/>
      <c r="F180" s="13"/>
      <c r="G180" s="505"/>
      <c r="H180" s="505"/>
      <c r="I180" s="31"/>
      <c r="J180" s="181"/>
      <c r="K180" s="13"/>
      <c r="L180" s="13"/>
      <c r="M180" s="13"/>
      <c r="N180" s="776"/>
      <c r="O180" s="776"/>
      <c r="P180" s="776"/>
      <c r="Q180" s="776"/>
      <c r="R180" s="776"/>
    </row>
    <row r="181" spans="1:18" s="353" customFormat="1">
      <c r="A181" s="776"/>
      <c r="B181" s="1" t="s">
        <v>937</v>
      </c>
      <c r="C181" s="67"/>
      <c r="D181" s="468"/>
      <c r="E181" s="468"/>
      <c r="F181" s="468"/>
      <c r="G181" s="468"/>
      <c r="H181" s="468"/>
      <c r="I181" s="468"/>
      <c r="J181" s="468"/>
      <c r="K181" s="468"/>
      <c r="L181" s="468"/>
      <c r="M181" s="69"/>
      <c r="N181" s="776"/>
      <c r="O181" s="776"/>
      <c r="P181" s="776"/>
      <c r="Q181" s="776"/>
      <c r="R181" s="776"/>
    </row>
    <row r="182" spans="1:18" s="353" customFormat="1" ht="12.75" hidden="1" customHeight="1">
      <c r="A182" s="776"/>
      <c r="B182" s="52"/>
      <c r="C182" s="469" t="s">
        <v>938</v>
      </c>
      <c r="D182" s="67"/>
      <c r="E182" s="67"/>
      <c r="F182" s="470"/>
      <c r="G182" s="470"/>
      <c r="H182" s="470"/>
      <c r="I182" s="470"/>
      <c r="J182" s="470"/>
      <c r="K182" s="470"/>
      <c r="L182" s="470"/>
      <c r="M182" s="69"/>
      <c r="N182" s="776"/>
      <c r="O182" s="776"/>
      <c r="P182" s="776"/>
      <c r="Q182" s="776"/>
      <c r="R182" s="776"/>
    </row>
    <row r="183" spans="1:18" s="353" customFormat="1" ht="12.75" hidden="1" customHeight="1">
      <c r="A183" s="776"/>
      <c r="B183" s="52"/>
      <c r="C183" s="52"/>
      <c r="D183" s="470"/>
      <c r="E183" s="470"/>
      <c r="F183" s="470"/>
      <c r="G183" s="470"/>
      <c r="H183" s="470"/>
      <c r="I183" s="470"/>
      <c r="J183" s="470"/>
      <c r="K183" s="470"/>
      <c r="L183" s="470"/>
      <c r="M183" s="69"/>
      <c r="N183" s="776"/>
      <c r="O183" s="776"/>
      <c r="P183" s="776"/>
      <c r="Q183" s="776"/>
      <c r="R183" s="776"/>
    </row>
    <row r="184" spans="1:18" s="353" customFormat="1" ht="12.75" hidden="1" customHeight="1">
      <c r="A184" s="776"/>
      <c r="B184" s="52"/>
      <c r="C184" s="52"/>
      <c r="D184" s="52"/>
      <c r="E184" s="52"/>
      <c r="F184" s="52"/>
      <c r="G184" s="52"/>
      <c r="H184" s="52"/>
      <c r="I184" s="52"/>
      <c r="J184" s="52"/>
      <c r="K184" s="52"/>
      <c r="L184" s="52"/>
      <c r="M184" s="69"/>
      <c r="N184" s="776"/>
      <c r="O184" s="776"/>
      <c r="P184" s="776"/>
      <c r="Q184" s="776"/>
      <c r="R184" s="776"/>
    </row>
    <row r="185" spans="1:18" s="353" customFormat="1" ht="12.75" hidden="1" customHeight="1">
      <c r="A185" s="776"/>
      <c r="B185" s="52"/>
      <c r="C185" s="52"/>
      <c r="D185" s="52"/>
      <c r="E185" s="52"/>
      <c r="F185" s="52"/>
      <c r="G185" s="52"/>
      <c r="H185" s="52"/>
      <c r="I185" s="52"/>
      <c r="J185" s="52"/>
      <c r="K185" s="52"/>
      <c r="L185" s="52"/>
      <c r="M185" s="69"/>
      <c r="N185" s="776"/>
      <c r="O185" s="776"/>
      <c r="P185" s="776"/>
      <c r="Q185" s="776"/>
      <c r="R185" s="776"/>
    </row>
    <row r="186" spans="1:18" s="353" customFormat="1" ht="12.75" hidden="1" customHeight="1">
      <c r="A186" s="776"/>
      <c r="B186" s="52"/>
      <c r="C186" s="52"/>
      <c r="D186" s="52"/>
      <c r="E186" s="52"/>
      <c r="F186" s="52"/>
      <c r="G186" s="52"/>
      <c r="H186" s="52"/>
      <c r="I186" s="52"/>
      <c r="J186" s="52"/>
      <c r="K186" s="52"/>
      <c r="L186" s="52"/>
      <c r="M186" s="69"/>
      <c r="N186" s="776"/>
      <c r="O186" s="776"/>
      <c r="P186" s="776"/>
      <c r="Q186" s="776"/>
      <c r="R186" s="776"/>
    </row>
    <row r="187" spans="1:18" s="353" customFormat="1" ht="12.75" hidden="1" customHeight="1">
      <c r="A187" s="776"/>
      <c r="B187" s="52"/>
      <c r="C187" s="52"/>
      <c r="D187" s="52"/>
      <c r="E187" s="52"/>
      <c r="F187" s="52"/>
      <c r="G187" s="52"/>
      <c r="H187" s="52"/>
      <c r="I187" s="52"/>
      <c r="J187" s="52"/>
      <c r="K187" s="52"/>
      <c r="L187" s="52"/>
      <c r="M187" s="69"/>
      <c r="N187" s="776"/>
      <c r="O187" s="776"/>
      <c r="P187" s="776"/>
      <c r="Q187" s="776"/>
      <c r="R187" s="776"/>
    </row>
    <row r="188" spans="1:18" s="353" customFormat="1" ht="12.75" hidden="1" customHeight="1">
      <c r="A188" s="776"/>
      <c r="B188" s="52"/>
      <c r="C188" s="52"/>
      <c r="D188" s="52"/>
      <c r="E188" s="52"/>
      <c r="F188" s="52"/>
      <c r="G188" s="52"/>
      <c r="H188" s="52"/>
      <c r="I188" s="52"/>
      <c r="J188" s="52"/>
      <c r="K188" s="52"/>
      <c r="L188" s="52"/>
      <c r="M188" s="69"/>
      <c r="N188" s="776"/>
      <c r="O188" s="776"/>
      <c r="P188" s="776"/>
      <c r="Q188" s="776"/>
      <c r="R188" s="776"/>
    </row>
    <row r="189" spans="1:18" s="353" customFormat="1" ht="12.75" hidden="1" customHeight="1">
      <c r="A189" s="776"/>
      <c r="B189" s="52"/>
      <c r="C189" s="52"/>
      <c r="D189" s="52"/>
      <c r="E189" s="52"/>
      <c r="F189" s="52"/>
      <c r="G189" s="52"/>
      <c r="H189" s="52"/>
      <c r="I189" s="52"/>
      <c r="J189" s="52"/>
      <c r="K189" s="52"/>
      <c r="L189" s="52"/>
      <c r="M189" s="69"/>
      <c r="N189" s="776"/>
      <c r="O189" s="776"/>
      <c r="P189" s="776"/>
      <c r="Q189" s="776"/>
      <c r="R189" s="776"/>
    </row>
    <row r="190" spans="1:18" s="353" customFormat="1" ht="12.75" hidden="1" customHeight="1">
      <c r="A190" s="776"/>
      <c r="B190" s="52"/>
      <c r="C190" s="52"/>
      <c r="D190" s="52"/>
      <c r="E190" s="52"/>
      <c r="F190" s="52"/>
      <c r="G190" s="52"/>
      <c r="H190" s="52"/>
      <c r="I190" s="52"/>
      <c r="J190" s="52"/>
      <c r="K190" s="52"/>
      <c r="L190" s="52"/>
      <c r="M190" s="69"/>
      <c r="N190" s="776"/>
      <c r="O190" s="776"/>
      <c r="P190" s="776"/>
      <c r="Q190" s="776"/>
      <c r="R190" s="776"/>
    </row>
    <row r="191" spans="1:18" s="353" customFormat="1" ht="12.75" hidden="1" customHeight="1">
      <c r="A191" s="776"/>
      <c r="B191" s="52"/>
      <c r="C191" s="52"/>
      <c r="D191" s="52"/>
      <c r="E191" s="52"/>
      <c r="F191" s="52"/>
      <c r="G191" s="52"/>
      <c r="H191" s="52"/>
      <c r="I191" s="52"/>
      <c r="J191" s="52"/>
      <c r="K191" s="52"/>
      <c r="L191" s="52"/>
      <c r="M191" s="69"/>
      <c r="N191" s="776"/>
      <c r="O191" s="776"/>
      <c r="P191" s="776"/>
      <c r="Q191" s="776"/>
      <c r="R191" s="776"/>
    </row>
    <row r="192" spans="1:18" s="353" customFormat="1" ht="12.75" hidden="1" customHeight="1">
      <c r="A192" s="776"/>
      <c r="B192" s="52"/>
      <c r="C192" s="52"/>
      <c r="D192" s="52"/>
      <c r="E192" s="52"/>
      <c r="F192" s="52"/>
      <c r="G192" s="52"/>
      <c r="H192" s="52"/>
      <c r="I192" s="52"/>
      <c r="J192" s="52"/>
      <c r="K192" s="52"/>
      <c r="L192" s="52"/>
      <c r="M192" s="69"/>
      <c r="N192" s="776"/>
      <c r="O192" s="776"/>
      <c r="P192" s="776"/>
      <c r="Q192" s="776"/>
      <c r="R192" s="776"/>
    </row>
    <row r="193" spans="1:18" s="353" customFormat="1" ht="12.75" hidden="1" customHeight="1">
      <c r="A193" s="776"/>
      <c r="B193" s="52"/>
      <c r="C193" s="52"/>
      <c r="D193" s="52"/>
      <c r="E193" s="52"/>
      <c r="F193" s="52"/>
      <c r="G193" s="52"/>
      <c r="H193" s="52"/>
      <c r="I193" s="52"/>
      <c r="J193" s="52"/>
      <c r="K193" s="52"/>
      <c r="L193" s="52"/>
      <c r="M193" s="69"/>
      <c r="N193" s="776"/>
      <c r="O193" s="776"/>
      <c r="P193" s="776"/>
      <c r="Q193" s="776"/>
      <c r="R193" s="776"/>
    </row>
    <row r="194" spans="1:18" s="353" customFormat="1" ht="12.75" hidden="1" customHeight="1">
      <c r="A194" s="776"/>
      <c r="B194" s="52"/>
      <c r="C194" s="52"/>
      <c r="D194" s="52"/>
      <c r="E194" s="52"/>
      <c r="F194" s="52"/>
      <c r="G194" s="52"/>
      <c r="H194" s="52"/>
      <c r="I194" s="52"/>
      <c r="J194" s="52"/>
      <c r="K194" s="52"/>
      <c r="L194" s="52"/>
      <c r="M194" s="69"/>
      <c r="N194" s="776"/>
      <c r="O194" s="776"/>
      <c r="P194" s="776"/>
      <c r="Q194" s="776"/>
      <c r="R194" s="776"/>
    </row>
    <row r="195" spans="1:18" s="353" customFormat="1" ht="12.75" hidden="1" customHeight="1">
      <c r="A195" s="776"/>
      <c r="B195" s="52"/>
      <c r="C195" s="52"/>
      <c r="D195" s="52"/>
      <c r="E195" s="52"/>
      <c r="F195" s="52"/>
      <c r="G195" s="52"/>
      <c r="H195" s="52"/>
      <c r="I195" s="52"/>
      <c r="J195" s="52"/>
      <c r="K195" s="52"/>
      <c r="L195" s="52"/>
      <c r="M195" s="69"/>
      <c r="N195" s="776"/>
      <c r="O195" s="776"/>
      <c r="P195" s="776"/>
      <c r="Q195" s="776"/>
      <c r="R195" s="776"/>
    </row>
    <row r="196" spans="1:18" s="353" customFormat="1" ht="12.75" hidden="1" customHeight="1">
      <c r="A196" s="776"/>
      <c r="B196" s="52"/>
      <c r="C196" s="52"/>
      <c r="D196" s="52"/>
      <c r="E196" s="52"/>
      <c r="F196" s="52"/>
      <c r="G196" s="52"/>
      <c r="H196" s="52"/>
      <c r="I196" s="52"/>
      <c r="J196" s="52"/>
      <c r="K196" s="52"/>
      <c r="L196" s="52"/>
      <c r="M196" s="69"/>
      <c r="N196" s="776"/>
      <c r="O196" s="776"/>
      <c r="P196" s="776"/>
      <c r="Q196" s="776"/>
      <c r="R196" s="776"/>
    </row>
    <row r="197" spans="1:18" s="353" customFormat="1" ht="12.75" hidden="1" customHeight="1">
      <c r="A197" s="776"/>
      <c r="B197" s="52"/>
      <c r="C197" s="52"/>
      <c r="D197" s="52"/>
      <c r="E197" s="52"/>
      <c r="F197" s="52"/>
      <c r="G197" s="52"/>
      <c r="H197" s="52"/>
      <c r="I197" s="52"/>
      <c r="J197" s="52"/>
      <c r="K197" s="52"/>
      <c r="L197" s="52"/>
      <c r="M197" s="69"/>
      <c r="N197" s="776"/>
      <c r="O197" s="776"/>
      <c r="P197" s="776"/>
      <c r="Q197" s="776"/>
      <c r="R197" s="776"/>
    </row>
    <row r="198" spans="1:18" s="353" customFormat="1" ht="12.75" hidden="1" customHeight="1">
      <c r="A198" s="776"/>
      <c r="B198" s="52"/>
      <c r="C198" s="52"/>
      <c r="D198" s="52"/>
      <c r="E198" s="52"/>
      <c r="F198" s="52"/>
      <c r="G198" s="52"/>
      <c r="H198" s="52"/>
      <c r="I198" s="52"/>
      <c r="J198" s="52"/>
      <c r="K198" s="52"/>
      <c r="L198" s="52"/>
      <c r="M198" s="69"/>
      <c r="N198" s="776"/>
      <c r="O198" s="776"/>
      <c r="P198" s="776"/>
      <c r="Q198" s="776"/>
      <c r="R198" s="776"/>
    </row>
    <row r="199" spans="1:18" s="353" customFormat="1" ht="12.75" hidden="1" customHeight="1">
      <c r="A199" s="776"/>
      <c r="B199" s="52"/>
      <c r="C199" s="52"/>
      <c r="D199" s="52"/>
      <c r="E199" s="52"/>
      <c r="F199" s="52"/>
      <c r="G199" s="52"/>
      <c r="H199" s="52"/>
      <c r="I199" s="52"/>
      <c r="J199" s="52"/>
      <c r="K199" s="52"/>
      <c r="L199" s="52"/>
      <c r="M199" s="69"/>
      <c r="N199" s="776"/>
      <c r="O199" s="776"/>
      <c r="P199" s="776"/>
      <c r="Q199" s="776"/>
      <c r="R199" s="776"/>
    </row>
    <row r="200" spans="1:18" s="353" customFormat="1" ht="12.75" hidden="1" customHeight="1">
      <c r="A200" s="776"/>
      <c r="B200" s="52"/>
      <c r="C200" s="52"/>
      <c r="D200" s="52"/>
      <c r="E200" s="52"/>
      <c r="F200" s="52"/>
      <c r="G200" s="52"/>
      <c r="H200" s="52"/>
      <c r="I200" s="52"/>
      <c r="J200" s="52"/>
      <c r="K200" s="52"/>
      <c r="L200" s="52"/>
      <c r="M200" s="69"/>
      <c r="N200" s="776"/>
      <c r="O200" s="776"/>
      <c r="P200" s="776"/>
      <c r="Q200" s="776"/>
      <c r="R200" s="776"/>
    </row>
    <row r="201" spans="1:18" s="353" customFormat="1" ht="12.75" hidden="1" customHeight="1">
      <c r="A201" s="776"/>
      <c r="B201" s="52"/>
      <c r="C201" s="471"/>
      <c r="D201" s="67"/>
      <c r="E201" s="67"/>
      <c r="F201" s="78"/>
      <c r="G201" s="78"/>
      <c r="H201" s="78"/>
      <c r="I201" s="78"/>
      <c r="J201" s="78"/>
      <c r="K201" s="78"/>
      <c r="L201" s="78"/>
      <c r="M201" s="52"/>
      <c r="N201" s="776"/>
      <c r="O201" s="776"/>
      <c r="P201" s="776"/>
      <c r="Q201" s="776"/>
      <c r="R201" s="776"/>
    </row>
    <row r="202" spans="1:18" s="341" customFormat="1" ht="12.75" hidden="1" customHeight="1">
      <c r="A202" s="776"/>
      <c r="B202" s="52"/>
      <c r="C202" s="52"/>
      <c r="D202" s="52"/>
      <c r="E202" s="52"/>
      <c r="F202" s="52"/>
      <c r="G202" s="52"/>
      <c r="H202" s="52"/>
      <c r="I202" s="52"/>
      <c r="J202" s="52"/>
      <c r="K202" s="52"/>
      <c r="L202" s="52"/>
      <c r="M202" s="52"/>
      <c r="N202" s="776"/>
      <c r="O202" s="776"/>
      <c r="P202" s="776"/>
      <c r="Q202" s="776"/>
      <c r="R202" s="776"/>
    </row>
    <row r="203" spans="1:18" s="340" customFormat="1" ht="12.75" hidden="1" customHeight="1">
      <c r="A203" s="776"/>
      <c r="B203" s="52"/>
      <c r="C203" s="52"/>
      <c r="D203" s="470"/>
      <c r="E203" s="470"/>
      <c r="F203" s="470"/>
      <c r="G203" s="470"/>
      <c r="H203" s="470"/>
      <c r="I203" s="470"/>
      <c r="J203" s="470"/>
      <c r="K203" s="470"/>
      <c r="L203" s="470"/>
      <c r="M203" s="52"/>
      <c r="N203" s="776"/>
      <c r="O203" s="776"/>
      <c r="P203" s="776"/>
      <c r="Q203" s="776"/>
      <c r="R203" s="776"/>
    </row>
    <row r="204" spans="1:18" s="340" customFormat="1" ht="12.75" hidden="1" customHeight="1">
      <c r="A204" s="776"/>
      <c r="B204" s="52"/>
      <c r="C204" s="52"/>
      <c r="D204" s="470"/>
      <c r="E204" s="470"/>
      <c r="F204" s="470"/>
      <c r="G204" s="470"/>
      <c r="H204" s="470"/>
      <c r="I204" s="470"/>
      <c r="J204" s="470"/>
      <c r="K204" s="470"/>
      <c r="L204" s="470"/>
      <c r="M204" s="52"/>
      <c r="N204" s="776"/>
      <c r="O204" s="776"/>
      <c r="P204" s="776"/>
      <c r="Q204" s="776"/>
      <c r="R204" s="776"/>
    </row>
    <row r="205" spans="1:18" s="338" customFormat="1" ht="12.75" hidden="1" customHeight="1">
      <c r="A205" s="776"/>
      <c r="B205" s="52"/>
      <c r="C205" s="52"/>
      <c r="D205" s="470"/>
      <c r="E205" s="470"/>
      <c r="F205" s="470"/>
      <c r="G205" s="470"/>
      <c r="H205" s="470"/>
      <c r="I205" s="470"/>
      <c r="J205" s="470"/>
      <c r="K205" s="470"/>
      <c r="L205" s="470"/>
      <c r="M205" s="52"/>
      <c r="N205" s="776"/>
      <c r="O205" s="776"/>
      <c r="P205" s="776"/>
      <c r="Q205" s="776"/>
      <c r="R205" s="776"/>
    </row>
    <row r="206" spans="1:18" s="338" customFormat="1" ht="12.75" hidden="1" customHeight="1">
      <c r="A206" s="776"/>
      <c r="B206" s="52"/>
      <c r="C206" s="52"/>
      <c r="D206" s="470"/>
      <c r="E206" s="470"/>
      <c r="F206" s="470"/>
      <c r="G206" s="470"/>
      <c r="H206" s="470"/>
      <c r="I206" s="470"/>
      <c r="J206" s="470"/>
      <c r="K206" s="470"/>
      <c r="L206" s="470"/>
      <c r="M206" s="52"/>
      <c r="N206" s="776"/>
      <c r="O206" s="776"/>
      <c r="P206" s="776"/>
      <c r="Q206" s="776"/>
      <c r="R206" s="776"/>
    </row>
    <row r="207" spans="1:18" s="338" customFormat="1" ht="12.75" hidden="1" customHeight="1">
      <c r="A207" s="776"/>
      <c r="B207" s="52"/>
      <c r="C207" s="52"/>
      <c r="D207" s="470"/>
      <c r="E207" s="470"/>
      <c r="F207" s="470"/>
      <c r="G207" s="470"/>
      <c r="H207" s="470"/>
      <c r="I207" s="470"/>
      <c r="J207" s="470"/>
      <c r="K207" s="470"/>
      <c r="L207" s="470"/>
      <c r="M207" s="52"/>
      <c r="N207" s="776"/>
      <c r="O207" s="776"/>
      <c r="P207" s="776"/>
      <c r="Q207" s="776"/>
      <c r="R207" s="776"/>
    </row>
    <row r="208" spans="1:18" s="338" customFormat="1" ht="12.75" hidden="1" customHeight="1">
      <c r="A208" s="776"/>
      <c r="B208" s="52"/>
      <c r="C208" s="52"/>
      <c r="D208" s="470"/>
      <c r="E208" s="470"/>
      <c r="F208" s="470"/>
      <c r="G208" s="470"/>
      <c r="H208" s="470"/>
      <c r="I208" s="470"/>
      <c r="J208" s="470"/>
      <c r="K208" s="470"/>
      <c r="L208" s="470"/>
      <c r="M208" s="52"/>
      <c r="N208" s="776"/>
      <c r="O208" s="776"/>
      <c r="P208" s="776"/>
      <c r="Q208" s="776"/>
      <c r="R208" s="776"/>
    </row>
    <row r="209" spans="1:18" s="338" customFormat="1" ht="12.75" hidden="1" customHeight="1">
      <c r="A209" s="776"/>
      <c r="B209" s="52"/>
      <c r="C209" s="52"/>
      <c r="D209" s="470"/>
      <c r="E209" s="470"/>
      <c r="F209" s="470"/>
      <c r="G209" s="470"/>
      <c r="H209" s="470"/>
      <c r="I209" s="470"/>
      <c r="J209" s="470"/>
      <c r="K209" s="470"/>
      <c r="L209" s="470"/>
      <c r="M209" s="52"/>
      <c r="N209" s="776"/>
      <c r="O209" s="776"/>
      <c r="P209" s="776"/>
      <c r="Q209" s="776"/>
      <c r="R209" s="776"/>
    </row>
    <row r="210" spans="1:18" s="338" customFormat="1" ht="12.75" hidden="1" customHeight="1">
      <c r="A210" s="776"/>
      <c r="B210" s="52"/>
      <c r="C210" s="52"/>
      <c r="D210" s="470"/>
      <c r="E210" s="470"/>
      <c r="F210" s="470"/>
      <c r="G210" s="470"/>
      <c r="H210" s="470"/>
      <c r="I210" s="470"/>
      <c r="J210" s="470"/>
      <c r="K210" s="470"/>
      <c r="L210" s="470"/>
      <c r="M210" s="52"/>
      <c r="N210" s="776"/>
      <c r="O210" s="776"/>
      <c r="P210" s="776"/>
      <c r="Q210" s="776"/>
      <c r="R210" s="776"/>
    </row>
    <row r="211" spans="1:18" s="338" customFormat="1" ht="12.75" hidden="1" customHeight="1">
      <c r="A211" s="776"/>
      <c r="B211" s="52"/>
      <c r="C211" s="52"/>
      <c r="D211" s="470"/>
      <c r="E211" s="470"/>
      <c r="F211" s="470"/>
      <c r="G211" s="470"/>
      <c r="H211" s="470"/>
      <c r="I211" s="470"/>
      <c r="J211" s="470"/>
      <c r="K211" s="470"/>
      <c r="L211" s="470"/>
      <c r="M211" s="52"/>
      <c r="N211" s="776"/>
      <c r="O211" s="776"/>
      <c r="P211" s="776"/>
      <c r="Q211" s="776"/>
      <c r="R211" s="776"/>
    </row>
    <row r="212" spans="1:18" s="338" customFormat="1" ht="12.75" hidden="1" customHeight="1">
      <c r="A212" s="776"/>
      <c r="B212" s="52"/>
      <c r="C212" s="52"/>
      <c r="D212" s="470"/>
      <c r="E212" s="470"/>
      <c r="F212" s="470"/>
      <c r="G212" s="470"/>
      <c r="H212" s="470"/>
      <c r="I212" s="470"/>
      <c r="J212" s="470"/>
      <c r="K212" s="470"/>
      <c r="L212" s="470"/>
      <c r="M212" s="52"/>
      <c r="N212" s="776"/>
      <c r="O212" s="776"/>
      <c r="P212" s="776"/>
      <c r="Q212" s="776"/>
      <c r="R212" s="776"/>
    </row>
    <row r="213" spans="1:18" s="338" customFormat="1" ht="12.75" hidden="1" customHeight="1">
      <c r="A213" s="776"/>
      <c r="B213" s="52"/>
      <c r="C213" s="52"/>
      <c r="D213" s="470"/>
      <c r="E213" s="470"/>
      <c r="F213" s="470"/>
      <c r="G213" s="470"/>
      <c r="H213" s="470"/>
      <c r="I213" s="470"/>
      <c r="J213" s="470"/>
      <c r="K213" s="470"/>
      <c r="L213" s="470"/>
      <c r="M213" s="52"/>
      <c r="N213" s="776"/>
      <c r="O213" s="776"/>
      <c r="P213" s="776"/>
      <c r="Q213" s="776"/>
      <c r="R213" s="776"/>
    </row>
    <row r="214" spans="1:18" s="338" customFormat="1" ht="12.75" hidden="1" customHeight="1">
      <c r="A214" s="776"/>
      <c r="B214" s="52"/>
      <c r="C214" s="52"/>
      <c r="D214" s="470"/>
      <c r="E214" s="470"/>
      <c r="F214" s="470"/>
      <c r="G214" s="470"/>
      <c r="H214" s="470"/>
      <c r="I214" s="470"/>
      <c r="J214" s="470"/>
      <c r="K214" s="470"/>
      <c r="L214" s="470"/>
      <c r="M214" s="52"/>
      <c r="N214" s="776"/>
      <c r="O214" s="776"/>
      <c r="P214" s="776"/>
      <c r="Q214" s="776"/>
      <c r="R214" s="776"/>
    </row>
    <row r="215" spans="1:18" s="338" customFormat="1" ht="12.75" hidden="1" customHeight="1">
      <c r="A215" s="776"/>
      <c r="B215" s="52"/>
      <c r="C215" s="52"/>
      <c r="D215" s="470"/>
      <c r="E215" s="470"/>
      <c r="F215" s="470"/>
      <c r="G215" s="470"/>
      <c r="H215" s="470"/>
      <c r="I215" s="470"/>
      <c r="J215" s="470"/>
      <c r="K215" s="470"/>
      <c r="L215" s="470"/>
      <c r="M215" s="52"/>
      <c r="N215" s="776"/>
      <c r="O215" s="776"/>
      <c r="P215" s="776"/>
      <c r="Q215" s="776"/>
      <c r="R215" s="776"/>
    </row>
    <row r="216" spans="1:18" s="338" customFormat="1" ht="12.75" hidden="1" customHeight="1">
      <c r="A216" s="776"/>
      <c r="B216" s="52"/>
      <c r="C216" s="52"/>
      <c r="D216" s="470"/>
      <c r="E216" s="470"/>
      <c r="F216" s="470"/>
      <c r="G216" s="470"/>
      <c r="H216" s="470"/>
      <c r="I216" s="470"/>
      <c r="J216" s="470"/>
      <c r="K216" s="470"/>
      <c r="L216" s="470"/>
      <c r="M216" s="52"/>
      <c r="N216" s="776"/>
      <c r="O216" s="776"/>
      <c r="P216" s="776"/>
      <c r="Q216" s="776"/>
      <c r="R216" s="776"/>
    </row>
    <row r="217" spans="1:18" s="338" customFormat="1" ht="12.75" hidden="1" customHeight="1">
      <c r="A217" s="776"/>
      <c r="B217" s="52"/>
      <c r="C217" s="52"/>
      <c r="D217" s="470"/>
      <c r="E217" s="470"/>
      <c r="F217" s="470"/>
      <c r="G217" s="470"/>
      <c r="H217" s="470"/>
      <c r="I217" s="470"/>
      <c r="J217" s="470"/>
      <c r="K217" s="470"/>
      <c r="L217" s="470"/>
      <c r="M217" s="52"/>
      <c r="N217" s="776"/>
      <c r="O217" s="776"/>
      <c r="P217" s="776"/>
      <c r="Q217" s="776"/>
      <c r="R217" s="776"/>
    </row>
    <row r="218" spans="1:18" s="338" customFormat="1" ht="12.75" hidden="1" customHeight="1">
      <c r="A218" s="776"/>
      <c r="B218" s="52"/>
      <c r="C218" s="52"/>
      <c r="D218" s="470"/>
      <c r="E218" s="470"/>
      <c r="F218" s="470"/>
      <c r="G218" s="470"/>
      <c r="H218" s="470"/>
      <c r="I218" s="470"/>
      <c r="J218" s="470"/>
      <c r="K218" s="470"/>
      <c r="L218" s="470"/>
      <c r="M218" s="52"/>
      <c r="N218" s="776"/>
      <c r="O218" s="776"/>
      <c r="P218" s="776"/>
      <c r="Q218" s="776"/>
      <c r="R218" s="776"/>
    </row>
    <row r="219" spans="1:18" s="409" customFormat="1">
      <c r="A219" s="776"/>
      <c r="B219" s="461" t="s">
        <v>704</v>
      </c>
      <c r="C219" s="69"/>
      <c r="D219" s="462">
        <v>2008</v>
      </c>
      <c r="E219" s="462">
        <f t="shared" ref="E219:M219" si="11">D219+1</f>
        <v>2009</v>
      </c>
      <c r="F219" s="462">
        <f t="shared" si="11"/>
        <v>2010</v>
      </c>
      <c r="G219" s="462">
        <f t="shared" si="11"/>
        <v>2011</v>
      </c>
      <c r="H219" s="462">
        <f t="shared" si="11"/>
        <v>2012</v>
      </c>
      <c r="I219" s="462">
        <f t="shared" si="11"/>
        <v>2013</v>
      </c>
      <c r="J219" s="462">
        <f t="shared" si="11"/>
        <v>2014</v>
      </c>
      <c r="K219" s="462">
        <f t="shared" si="11"/>
        <v>2015</v>
      </c>
      <c r="L219" s="462">
        <f t="shared" si="11"/>
        <v>2016</v>
      </c>
      <c r="M219" s="463">
        <f t="shared" si="11"/>
        <v>2017</v>
      </c>
      <c r="N219" s="776"/>
      <c r="O219" s="776"/>
      <c r="P219" s="776"/>
      <c r="Q219" s="776"/>
      <c r="R219" s="776"/>
    </row>
    <row r="220" spans="1:18" s="409" customFormat="1">
      <c r="A220" s="776"/>
      <c r="B220" s="464" t="s">
        <v>840</v>
      </c>
      <c r="C220" s="72" t="s">
        <v>554</v>
      </c>
      <c r="D220" s="465">
        <f>'18 Data for Charts'!O17/1000</f>
        <v>5.5110000000000001</v>
      </c>
      <c r="E220" s="465">
        <f>'18 Data for Charts'!P17/1000</f>
        <v>6.5949999999999998</v>
      </c>
      <c r="F220" s="465">
        <f>'18 Data for Charts'!Q17/1000</f>
        <v>16.463000000000001</v>
      </c>
      <c r="G220" s="465">
        <f>'18 Data for Charts'!R17/1000</f>
        <v>22.283999999999999</v>
      </c>
      <c r="H220" s="465">
        <f>'18 Data for Charts'!S17/1000</f>
        <v>11.1</v>
      </c>
      <c r="I220" s="465">
        <f>'18 Data for Charts'!T17/1000</f>
        <v>13.3</v>
      </c>
      <c r="J220" s="465" t="e">
        <f>'18 Data for Charts'!#REF!/1000</f>
        <v>#REF!</v>
      </c>
      <c r="K220" s="465" t="e">
        <f>'18 Data for Charts'!#REF!/1000</f>
        <v>#REF!</v>
      </c>
      <c r="L220" s="465" t="e">
        <f>'18 Data for Charts'!#REF!/1000</f>
        <v>#REF!</v>
      </c>
      <c r="M220" s="465" t="e">
        <f>'18 Data for Charts'!#REF!/1000</f>
        <v>#REF!</v>
      </c>
      <c r="N220" s="776"/>
      <c r="O220" s="401" t="e">
        <f>SUM(D220:L220)</f>
        <v>#REF!</v>
      </c>
      <c r="P220" s="776"/>
      <c r="Q220" s="776"/>
      <c r="R220" s="776"/>
    </row>
    <row r="221" spans="1:18" s="409" customFormat="1">
      <c r="A221" s="776"/>
      <c r="B221" s="611" t="s">
        <v>939</v>
      </c>
      <c r="C221" s="612"/>
      <c r="D221" s="478">
        <v>-1.4999999999999999E-2</v>
      </c>
      <c r="E221" s="466">
        <f t="shared" ref="E221:L221" si="12">E220/D220-1</f>
        <v>0.19669751406278335</v>
      </c>
      <c r="F221" s="466">
        <f t="shared" si="12"/>
        <v>1.4962850644427599</v>
      </c>
      <c r="G221" s="466">
        <f t="shared" si="12"/>
        <v>0.35358075684869084</v>
      </c>
      <c r="H221" s="466">
        <f t="shared" si="12"/>
        <v>-0.50188476036618201</v>
      </c>
      <c r="I221" s="466">
        <f t="shared" si="12"/>
        <v>0.19819819819819839</v>
      </c>
      <c r="J221" s="466" t="e">
        <f t="shared" si="12"/>
        <v>#REF!</v>
      </c>
      <c r="K221" s="466" t="e">
        <f t="shared" si="12"/>
        <v>#REF!</v>
      </c>
      <c r="L221" s="466" t="e">
        <f t="shared" si="12"/>
        <v>#REF!</v>
      </c>
      <c r="M221" s="507" t="s">
        <v>940</v>
      </c>
      <c r="N221" s="776"/>
      <c r="O221" s="776"/>
      <c r="P221" s="776"/>
      <c r="Q221" s="776"/>
      <c r="R221" s="776"/>
    </row>
    <row r="222" spans="1:18" s="409" customFormat="1">
      <c r="A222" s="776"/>
      <c r="B222" s="472" t="s">
        <v>704</v>
      </c>
      <c r="C222" s="612"/>
      <c r="D222" s="473">
        <v>2008</v>
      </c>
      <c r="E222" s="473">
        <f t="shared" ref="E222:M222" si="13">D222+1</f>
        <v>2009</v>
      </c>
      <c r="F222" s="473">
        <f t="shared" si="13"/>
        <v>2010</v>
      </c>
      <c r="G222" s="473">
        <f t="shared" si="13"/>
        <v>2011</v>
      </c>
      <c r="H222" s="473">
        <f t="shared" si="13"/>
        <v>2012</v>
      </c>
      <c r="I222" s="473">
        <f t="shared" si="13"/>
        <v>2013</v>
      </c>
      <c r="J222" s="473">
        <f t="shared" si="13"/>
        <v>2014</v>
      </c>
      <c r="K222" s="473">
        <f t="shared" si="13"/>
        <v>2015</v>
      </c>
      <c r="L222" s="473">
        <f t="shared" si="13"/>
        <v>2016</v>
      </c>
      <c r="M222" s="473">
        <f t="shared" si="13"/>
        <v>2017</v>
      </c>
      <c r="N222" s="332"/>
      <c r="O222" s="776"/>
      <c r="P222" s="776"/>
      <c r="Q222" s="776"/>
      <c r="R222" s="776"/>
    </row>
    <row r="223" spans="1:18" s="409" customFormat="1">
      <c r="A223" s="776"/>
      <c r="B223" s="464" t="s">
        <v>911</v>
      </c>
      <c r="C223" s="72" t="s">
        <v>554</v>
      </c>
      <c r="D223" s="465" t="e">
        <f>'Econ-Perf 1'!#REF!/1000</f>
        <v>#REF!</v>
      </c>
      <c r="E223" s="465" t="e">
        <f>'Econ-Perf 1'!#REF!/1000</f>
        <v>#REF!</v>
      </c>
      <c r="F223" s="465" t="e">
        <f>'Econ-Perf 1'!#REF!/1000</f>
        <v>#REF!</v>
      </c>
      <c r="G223" s="465">
        <f>'Econ-Perf 1'!M8/1000</f>
        <v>0</v>
      </c>
      <c r="H223" s="465">
        <f>'Econ-Perf 1'!N8/1000</f>
        <v>0</v>
      </c>
      <c r="I223" s="465">
        <f>'Econ-Perf 1'!O8/1000</f>
        <v>5.5110000000000001</v>
      </c>
      <c r="J223" s="465">
        <f>'Econ-Perf 1'!P8/1000</f>
        <v>6.5949999999999998</v>
      </c>
      <c r="K223" s="465">
        <f>'Econ-Perf 1'!Q8/1000</f>
        <v>16.463000000000001</v>
      </c>
      <c r="L223" s="465">
        <f>'Econ-Perf 1'!R8/1000</f>
        <v>22.283999999999999</v>
      </c>
      <c r="M223" s="465">
        <f>'Econ-Perf 1'!S8/1000</f>
        <v>11.1</v>
      </c>
      <c r="N223" s="332"/>
      <c r="O223" s="344" t="e">
        <f>SUM(D223:L223)</f>
        <v>#REF!</v>
      </c>
      <c r="P223" s="776"/>
      <c r="Q223" s="776"/>
      <c r="R223" s="776"/>
    </row>
    <row r="224" spans="1:18" s="409" customFormat="1">
      <c r="A224" s="776"/>
      <c r="B224" s="613" t="s">
        <v>939</v>
      </c>
      <c r="C224" s="614"/>
      <c r="D224" s="479">
        <v>9.6000000000000002E-2</v>
      </c>
      <c r="E224" s="467" t="e">
        <f t="shared" ref="E224:M224" si="14">E223/D223-1</f>
        <v>#REF!</v>
      </c>
      <c r="F224" s="467" t="e">
        <f t="shared" si="14"/>
        <v>#REF!</v>
      </c>
      <c r="G224" s="467" t="e">
        <f t="shared" si="14"/>
        <v>#REF!</v>
      </c>
      <c r="H224" s="467" t="e">
        <f t="shared" si="14"/>
        <v>#DIV/0!</v>
      </c>
      <c r="I224" s="467" t="e">
        <f t="shared" si="14"/>
        <v>#DIV/0!</v>
      </c>
      <c r="J224" s="467">
        <f t="shared" si="14"/>
        <v>0.19669751406278335</v>
      </c>
      <c r="K224" s="467">
        <f t="shared" si="14"/>
        <v>1.4962850644427599</v>
      </c>
      <c r="L224" s="467">
        <f t="shared" si="14"/>
        <v>0.35358075684869084</v>
      </c>
      <c r="M224" s="467">
        <f t="shared" si="14"/>
        <v>-0.50188476036618201</v>
      </c>
      <c r="N224" s="776"/>
      <c r="O224" s="776"/>
      <c r="P224" s="776"/>
      <c r="Q224" s="776"/>
      <c r="R224" s="776"/>
    </row>
    <row r="225" spans="1:23" s="409" customFormat="1">
      <c r="A225" s="776"/>
      <c r="B225" s="776"/>
      <c r="C225" s="776"/>
      <c r="D225" s="303"/>
      <c r="E225" s="303"/>
      <c r="F225" s="303"/>
      <c r="G225" s="303"/>
      <c r="H225" s="303"/>
      <c r="I225" s="303"/>
      <c r="J225" s="303"/>
      <c r="K225" s="303"/>
      <c r="L225" s="303"/>
      <c r="M225" s="776"/>
      <c r="N225" s="776"/>
      <c r="O225" s="776"/>
      <c r="P225" s="776"/>
      <c r="Q225" s="50"/>
      <c r="R225" s="776"/>
      <c r="S225" s="776"/>
      <c r="T225" s="776"/>
      <c r="U225" s="776"/>
      <c r="V225" s="776"/>
      <c r="W225" s="776"/>
    </row>
    <row r="226" spans="1:23" s="417" customFormat="1">
      <c r="A226" s="776"/>
      <c r="B226" s="531" t="s">
        <v>941</v>
      </c>
      <c r="C226" s="44"/>
      <c r="D226" s="481"/>
      <c r="E226" s="481"/>
      <c r="F226" s="481"/>
      <c r="G226" s="481"/>
      <c r="H226" s="303"/>
      <c r="I226" s="776"/>
      <c r="J226" s="776"/>
      <c r="K226" s="776"/>
      <c r="L226" s="776"/>
      <c r="M226" s="776"/>
      <c r="N226" s="776"/>
      <c r="O226" s="776"/>
      <c r="P226" s="776"/>
      <c r="Q226" s="50"/>
      <c r="R226" s="776"/>
      <c r="S226" s="776"/>
      <c r="T226" s="776"/>
      <c r="U226" s="776"/>
      <c r="V226" s="776"/>
      <c r="W226" s="776"/>
    </row>
    <row r="227" spans="1:23" s="592" customFormat="1" ht="15">
      <c r="A227" s="776"/>
      <c r="B227" s="440"/>
      <c r="C227" s="13"/>
      <c r="D227" s="530"/>
      <c r="E227" s="530"/>
      <c r="F227" s="530"/>
      <c r="G227" s="530"/>
      <c r="H227" s="303"/>
      <c r="I227" s="776"/>
      <c r="J227" s="776"/>
      <c r="K227" s="776"/>
      <c r="L227" s="776"/>
      <c r="M227" s="776"/>
      <c r="N227" s="776"/>
      <c r="O227" s="776"/>
      <c r="P227" s="776"/>
      <c r="Q227" s="50"/>
      <c r="R227" s="776"/>
      <c r="S227" s="776"/>
      <c r="T227" s="776"/>
      <c r="U227" s="776"/>
      <c r="V227" s="776"/>
      <c r="W227" s="776"/>
    </row>
    <row r="228" spans="1:23" s="417" customFormat="1" ht="19.5">
      <c r="A228" s="776"/>
      <c r="B228" s="474" t="str">
        <f>I228</f>
        <v>Market Value Added swing $676m!</v>
      </c>
      <c r="C228" s="475"/>
      <c r="D228" s="475"/>
      <c r="E228" s="127"/>
      <c r="F228" s="127"/>
      <c r="G228" s="127"/>
      <c r="H228" s="776"/>
      <c r="I228" s="572" t="s">
        <v>942</v>
      </c>
      <c r="J228" s="50"/>
      <c r="K228" s="776"/>
      <c r="L228" s="776"/>
      <c r="M228" s="776"/>
      <c r="N228" s="776"/>
      <c r="O228" s="776"/>
      <c r="P228" s="776"/>
      <c r="Q228" s="776"/>
      <c r="R228" s="776"/>
      <c r="S228" s="776"/>
      <c r="T228" s="776"/>
      <c r="U228" s="776"/>
      <c r="V228" s="776"/>
      <c r="W228" s="776"/>
    </row>
    <row r="229" spans="1:23" s="338" customFormat="1" ht="16.5">
      <c r="A229" s="776"/>
      <c r="B229" s="476" t="str">
        <f>'X-Chart Basics'!F21</f>
        <v>The Warehouse v. Briscoe</v>
      </c>
      <c r="C229" s="475"/>
      <c r="D229" s="475"/>
      <c r="E229" s="127"/>
      <c r="F229" s="127"/>
      <c r="G229" s="127"/>
      <c r="H229" s="776"/>
      <c r="I229" s="13" t="s">
        <v>635</v>
      </c>
      <c r="J229" s="50"/>
      <c r="K229" s="776"/>
      <c r="L229" s="776"/>
      <c r="M229" s="776"/>
      <c r="N229" s="776"/>
      <c r="O229" s="776"/>
      <c r="P229" s="776"/>
      <c r="Q229" s="776"/>
      <c r="R229" s="776"/>
      <c r="S229" s="776"/>
      <c r="T229" s="776"/>
      <c r="U229" s="776"/>
      <c r="V229" s="776"/>
      <c r="W229" s="776"/>
    </row>
    <row r="230" spans="1:23" s="353" customFormat="1">
      <c r="A230" s="776"/>
      <c r="B230" s="475"/>
      <c r="C230" s="475"/>
      <c r="D230" s="475"/>
      <c r="E230" s="127"/>
      <c r="F230" s="127"/>
      <c r="G230" s="127"/>
      <c r="H230" s="776"/>
      <c r="I230" s="776"/>
      <c r="J230" s="50"/>
      <c r="K230" s="776"/>
      <c r="L230" s="776"/>
      <c r="M230" s="776"/>
      <c r="N230" s="776"/>
      <c r="O230" s="776"/>
      <c r="P230" s="776"/>
      <c r="Q230" s="776"/>
      <c r="R230" s="776"/>
      <c r="S230" s="776"/>
      <c r="T230" s="776"/>
      <c r="U230" s="776"/>
      <c r="V230" s="776"/>
      <c r="W230" s="776"/>
    </row>
    <row r="231" spans="1:23" s="353" customFormat="1" ht="13.5">
      <c r="A231" s="776"/>
      <c r="B231" s="411" t="s">
        <v>928</v>
      </c>
      <c r="C231" s="127"/>
      <c r="D231" s="127"/>
      <c r="E231" s="127"/>
      <c r="F231" s="127"/>
      <c r="G231" s="127"/>
      <c r="H231" s="776"/>
      <c r="I231" s="776"/>
      <c r="J231" s="776"/>
      <c r="K231" s="776"/>
      <c r="L231" s="776"/>
      <c r="M231" s="776"/>
      <c r="N231" s="776"/>
      <c r="O231" s="776"/>
      <c r="P231" s="776"/>
      <c r="Q231" s="776"/>
      <c r="R231" s="776"/>
      <c r="S231" s="776"/>
      <c r="T231" s="776"/>
      <c r="U231" s="776"/>
      <c r="V231" s="776"/>
      <c r="W231" s="776"/>
    </row>
    <row r="232" spans="1:23" s="369" customFormat="1">
      <c r="A232" s="776"/>
      <c r="B232" s="776"/>
      <c r="C232" s="776"/>
      <c r="D232" s="776"/>
      <c r="E232" s="776"/>
      <c r="F232" s="776"/>
      <c r="G232" s="127"/>
      <c r="H232" s="776"/>
      <c r="I232" s="776"/>
      <c r="J232" s="776"/>
      <c r="K232" s="776"/>
      <c r="L232" s="776"/>
      <c r="M232" s="776"/>
      <c r="N232" s="776"/>
      <c r="O232" s="776"/>
      <c r="P232" s="776"/>
      <c r="Q232" s="776"/>
      <c r="R232" s="776"/>
      <c r="S232" s="776"/>
      <c r="T232" s="776"/>
      <c r="U232" s="776"/>
      <c r="V232" s="776"/>
      <c r="W232" s="776"/>
    </row>
    <row r="233" spans="1:23" s="369" customFormat="1">
      <c r="A233" s="776"/>
      <c r="B233" s="776"/>
      <c r="C233" s="776"/>
      <c r="D233" s="776"/>
      <c r="E233" s="776"/>
      <c r="F233" s="776"/>
      <c r="G233" s="127"/>
      <c r="H233" s="776"/>
      <c r="I233" s="776"/>
      <c r="J233" s="776"/>
      <c r="K233" s="776"/>
      <c r="L233" s="776"/>
      <c r="M233" s="776"/>
      <c r="N233" s="776"/>
      <c r="O233" s="776"/>
      <c r="P233" s="776"/>
      <c r="Q233" s="776"/>
      <c r="R233" s="776"/>
      <c r="S233" s="776"/>
      <c r="T233" s="776"/>
      <c r="U233" s="776"/>
      <c r="V233" s="776"/>
      <c r="W233" s="776"/>
    </row>
    <row r="234" spans="1:23" s="369" customFormat="1">
      <c r="A234" s="776"/>
      <c r="B234" s="776"/>
      <c r="C234" s="776"/>
      <c r="D234" s="776"/>
      <c r="E234" s="776"/>
      <c r="F234" s="776"/>
      <c r="G234" s="127"/>
      <c r="H234" s="776"/>
      <c r="I234" s="776"/>
      <c r="J234" s="776"/>
      <c r="K234" s="776"/>
      <c r="L234" s="776"/>
      <c r="M234" s="776"/>
      <c r="N234" s="776"/>
      <c r="O234" s="776"/>
      <c r="P234" s="776"/>
      <c r="Q234" s="776"/>
      <c r="R234" s="776"/>
      <c r="S234" s="776"/>
      <c r="T234" s="776"/>
      <c r="U234" s="776"/>
      <c r="V234" s="776"/>
      <c r="W234" s="776"/>
    </row>
    <row r="235" spans="1:23" s="369" customFormat="1">
      <c r="A235" s="776"/>
      <c r="B235" s="776"/>
      <c r="C235" s="776"/>
      <c r="D235" s="776"/>
      <c r="E235" s="776"/>
      <c r="F235" s="776"/>
      <c r="G235" s="127"/>
      <c r="H235" s="776"/>
      <c r="I235" s="776"/>
      <c r="J235" s="776"/>
      <c r="K235" s="776"/>
      <c r="L235" s="776"/>
      <c r="M235" s="776"/>
      <c r="N235" s="776"/>
      <c r="O235" s="776"/>
      <c r="P235" s="776"/>
      <c r="Q235" s="776"/>
      <c r="R235" s="776"/>
      <c r="S235" s="776"/>
      <c r="T235" s="776"/>
      <c r="U235" s="776"/>
      <c r="V235" s="776"/>
      <c r="W235" s="776"/>
    </row>
    <row r="236" spans="1:23" s="369" customFormat="1">
      <c r="A236" s="776"/>
      <c r="B236" s="776"/>
      <c r="C236" s="776"/>
      <c r="D236" s="776"/>
      <c r="E236" s="776"/>
      <c r="F236" s="776"/>
      <c r="G236" s="127"/>
      <c r="H236" s="776"/>
      <c r="I236" s="776"/>
      <c r="J236" s="776"/>
      <c r="K236" s="776"/>
      <c r="L236" s="776"/>
      <c r="M236" s="776"/>
      <c r="N236" s="776"/>
      <c r="O236" s="776"/>
      <c r="P236" s="776"/>
      <c r="Q236" s="776"/>
      <c r="R236" s="776"/>
      <c r="S236" s="776"/>
      <c r="T236" s="776"/>
      <c r="U236" s="776"/>
      <c r="V236" s="776"/>
      <c r="W236" s="776"/>
    </row>
    <row r="237" spans="1:23" s="369" customFormat="1">
      <c r="A237" s="776"/>
      <c r="B237" s="776"/>
      <c r="C237" s="776"/>
      <c r="D237" s="776"/>
      <c r="E237" s="776"/>
      <c r="F237" s="776"/>
      <c r="G237" s="127"/>
      <c r="H237" s="776"/>
      <c r="I237" s="776"/>
      <c r="J237" s="776"/>
      <c r="K237" s="776"/>
      <c r="L237" s="776"/>
      <c r="M237" s="776"/>
      <c r="N237" s="776"/>
      <c r="O237" s="776"/>
      <c r="P237" s="776"/>
      <c r="Q237" s="776"/>
      <c r="R237" s="776"/>
      <c r="S237" s="776"/>
      <c r="T237" s="776"/>
      <c r="U237" s="776"/>
      <c r="V237" s="776"/>
      <c r="W237" s="776"/>
    </row>
    <row r="238" spans="1:23" s="369" customFormat="1">
      <c r="A238" s="776"/>
      <c r="B238" s="776"/>
      <c r="C238" s="776"/>
      <c r="D238" s="776"/>
      <c r="E238" s="776"/>
      <c r="F238" s="776"/>
      <c r="G238" s="127"/>
      <c r="H238" s="776"/>
      <c r="I238" s="776"/>
      <c r="J238" s="776"/>
      <c r="K238" s="776"/>
      <c r="L238" s="776"/>
      <c r="M238" s="776"/>
      <c r="N238" s="776"/>
      <c r="O238" s="776"/>
      <c r="P238" s="776"/>
      <c r="Q238" s="776"/>
      <c r="R238" s="776"/>
      <c r="S238" s="776"/>
      <c r="T238" s="776"/>
      <c r="U238" s="776"/>
      <c r="V238" s="776"/>
      <c r="W238" s="776"/>
    </row>
    <row r="239" spans="1:23" s="369" customFormat="1">
      <c r="A239" s="776"/>
      <c r="B239" s="776"/>
      <c r="C239" s="776"/>
      <c r="D239" s="776"/>
      <c r="E239" s="776"/>
      <c r="F239" s="776"/>
      <c r="G239" s="127"/>
      <c r="H239" s="776"/>
      <c r="I239" s="776"/>
      <c r="J239" s="776"/>
      <c r="K239" s="776"/>
      <c r="L239" s="776"/>
      <c r="M239" s="776"/>
      <c r="N239" s="776"/>
      <c r="O239" s="776"/>
      <c r="P239" s="776"/>
      <c r="Q239" s="776"/>
      <c r="R239" s="776"/>
      <c r="S239" s="776"/>
      <c r="T239" s="776"/>
      <c r="U239" s="776"/>
      <c r="V239" s="776"/>
      <c r="W239" s="776"/>
    </row>
    <row r="240" spans="1:23" s="369" customFormat="1">
      <c r="A240" s="776"/>
      <c r="B240" s="776"/>
      <c r="C240" s="776"/>
      <c r="D240" s="776"/>
      <c r="E240" s="776"/>
      <c r="F240" s="776"/>
      <c r="G240" s="127"/>
      <c r="H240" s="776"/>
      <c r="I240" s="776"/>
      <c r="J240" s="776"/>
      <c r="K240" s="776"/>
      <c r="L240" s="776"/>
      <c r="M240" s="776"/>
      <c r="N240" s="776"/>
      <c r="O240" s="776"/>
      <c r="P240" s="776"/>
      <c r="Q240" s="776"/>
      <c r="R240" s="776"/>
      <c r="S240" s="776"/>
      <c r="T240" s="776"/>
      <c r="U240" s="776"/>
      <c r="V240" s="776"/>
      <c r="W240" s="776"/>
    </row>
    <row r="241" spans="1:13" s="369" customFormat="1">
      <c r="A241" s="776"/>
      <c r="B241" s="776"/>
      <c r="C241" s="776"/>
      <c r="D241" s="776"/>
      <c r="E241" s="776"/>
      <c r="F241" s="776"/>
      <c r="G241" s="127"/>
      <c r="H241" s="776"/>
      <c r="I241" s="776"/>
      <c r="J241" s="776"/>
      <c r="K241" s="776"/>
      <c r="L241" s="776"/>
      <c r="M241" s="776"/>
    </row>
    <row r="242" spans="1:13" s="369" customFormat="1">
      <c r="A242" s="776"/>
      <c r="B242" s="776"/>
      <c r="C242" s="776"/>
      <c r="D242" s="776"/>
      <c r="E242" s="776"/>
      <c r="F242" s="776"/>
      <c r="G242" s="127"/>
      <c r="H242" s="776"/>
      <c r="I242" s="776"/>
      <c r="J242" s="776"/>
      <c r="K242" s="776"/>
      <c r="L242" s="776"/>
      <c r="M242" s="776"/>
    </row>
    <row r="243" spans="1:13" s="369" customFormat="1">
      <c r="A243" s="776"/>
      <c r="B243" s="776"/>
      <c r="C243" s="776"/>
      <c r="D243" s="776"/>
      <c r="E243" s="776"/>
      <c r="F243" s="776"/>
      <c r="G243" s="127"/>
      <c r="H243" s="776"/>
      <c r="I243" s="776"/>
      <c r="J243" s="776"/>
      <c r="K243" s="776"/>
      <c r="L243" s="776"/>
      <c r="M243" s="776"/>
    </row>
    <row r="244" spans="1:13" s="369" customFormat="1">
      <c r="A244" s="776"/>
      <c r="B244" s="776"/>
      <c r="C244" s="776"/>
      <c r="D244" s="776"/>
      <c r="E244" s="776"/>
      <c r="F244" s="776"/>
      <c r="G244" s="127"/>
      <c r="H244" s="776"/>
      <c r="I244" s="776"/>
      <c r="J244" s="776"/>
      <c r="K244" s="776"/>
      <c r="L244" s="776"/>
      <c r="M244" s="776"/>
    </row>
    <row r="245" spans="1:13" s="369" customFormat="1">
      <c r="A245" s="776"/>
      <c r="B245" s="127"/>
      <c r="C245" s="127"/>
      <c r="D245" s="127"/>
      <c r="E245" s="127"/>
      <c r="F245" s="127"/>
      <c r="G245" s="127"/>
      <c r="H245" s="776"/>
      <c r="I245" s="776"/>
      <c r="J245" s="776"/>
      <c r="K245" s="776"/>
      <c r="L245" s="776"/>
      <c r="M245" s="776"/>
    </row>
    <row r="246" spans="1:13" s="369" customFormat="1" ht="13.5">
      <c r="A246" s="776"/>
      <c r="B246" s="412" t="str">
        <f>'X-Chart Basics'!D20</f>
        <v>Source: Annual Reports</v>
      </c>
      <c r="C246" s="127"/>
      <c r="D246" s="127"/>
      <c r="E246" s="127"/>
      <c r="F246" s="127"/>
      <c r="G246" s="506"/>
      <c r="H246" s="776"/>
      <c r="I246" s="776"/>
      <c r="J246" s="50"/>
      <c r="K246" s="776"/>
      <c r="L246" s="776"/>
      <c r="M246" s="776"/>
    </row>
    <row r="247" spans="1:13" s="369" customFormat="1" ht="13.5">
      <c r="A247" s="776"/>
      <c r="B247" s="412" t="str">
        <f>'X-Chart Basics'!F18</f>
        <v xml:space="preserve">Ireland, Wallace &amp; Associates </v>
      </c>
      <c r="C247" s="127"/>
      <c r="D247" s="127"/>
      <c r="E247" s="127"/>
      <c r="F247" s="477"/>
      <c r="G247" s="527">
        <v>42790</v>
      </c>
      <c r="H247" s="776"/>
      <c r="I247" s="776"/>
      <c r="J247" s="50"/>
      <c r="K247" s="776"/>
      <c r="L247" s="776"/>
      <c r="M247" s="776"/>
    </row>
    <row r="248" spans="1:13" s="592" customFormat="1" ht="13.5">
      <c r="A248" s="776"/>
      <c r="B248" s="432"/>
      <c r="C248" s="13"/>
      <c r="D248" s="13"/>
      <c r="E248" s="13"/>
      <c r="F248" s="617"/>
      <c r="G248" s="528"/>
      <c r="H248" s="776"/>
      <c r="I248" s="776"/>
      <c r="J248" s="50"/>
      <c r="K248" s="776"/>
      <c r="L248" s="776"/>
      <c r="M248" s="776"/>
    </row>
    <row r="249" spans="1:13" s="369" customFormat="1">
      <c r="A249" s="776"/>
      <c r="B249" s="1" t="s">
        <v>943</v>
      </c>
      <c r="C249" s="776"/>
      <c r="D249" s="776"/>
      <c r="E249" s="776"/>
      <c r="F249" s="776"/>
      <c r="G249" s="776"/>
      <c r="H249" s="776"/>
      <c r="I249" s="776"/>
      <c r="J249" s="776"/>
      <c r="K249" s="776"/>
      <c r="L249" s="50"/>
      <c r="M249" s="776"/>
    </row>
    <row r="250" spans="1:13" s="369" customFormat="1">
      <c r="A250" s="776"/>
      <c r="B250" s="509" t="s">
        <v>840</v>
      </c>
      <c r="C250" s="510"/>
      <c r="D250" s="511"/>
      <c r="E250" s="511"/>
      <c r="F250" s="511"/>
      <c r="G250" s="511"/>
      <c r="H250" s="511"/>
      <c r="I250" s="511"/>
      <c r="J250" s="511"/>
      <c r="K250" s="511"/>
      <c r="L250" s="511"/>
      <c r="M250" s="512" t="s">
        <v>944</v>
      </c>
    </row>
    <row r="251" spans="1:13" s="369" customFormat="1">
      <c r="A251" s="776"/>
      <c r="B251" s="513"/>
      <c r="C251" s="514" t="s">
        <v>554</v>
      </c>
      <c r="D251" s="515">
        <v>2008</v>
      </c>
      <c r="E251" s="515">
        <f t="shared" ref="E251:M251" si="15">D251+1</f>
        <v>2009</v>
      </c>
      <c r="F251" s="515">
        <f t="shared" si="15"/>
        <v>2010</v>
      </c>
      <c r="G251" s="515">
        <f t="shared" si="15"/>
        <v>2011</v>
      </c>
      <c r="H251" s="515">
        <f t="shared" si="15"/>
        <v>2012</v>
      </c>
      <c r="I251" s="515">
        <f t="shared" si="15"/>
        <v>2013</v>
      </c>
      <c r="J251" s="515">
        <f t="shared" si="15"/>
        <v>2014</v>
      </c>
      <c r="K251" s="515">
        <f t="shared" si="15"/>
        <v>2015</v>
      </c>
      <c r="L251" s="515">
        <f t="shared" si="15"/>
        <v>2016</v>
      </c>
      <c r="M251" s="516">
        <f t="shared" si="15"/>
        <v>2017</v>
      </c>
    </row>
    <row r="252" spans="1:13" s="369" customFormat="1">
      <c r="A252" s="776"/>
      <c r="B252" s="513" t="s">
        <v>945</v>
      </c>
      <c r="C252" s="435"/>
      <c r="D252" s="508" t="e">
        <f>'18 Data for Charts'!O28/1000</f>
        <v>#REF!</v>
      </c>
      <c r="E252" s="508" t="e">
        <f>'18 Data for Charts'!P28/1000</f>
        <v>#REF!</v>
      </c>
      <c r="F252" s="508" t="e">
        <f>'18 Data for Charts'!Q28/1000</f>
        <v>#REF!</v>
      </c>
      <c r="G252" s="508" t="e">
        <f>'18 Data for Charts'!R28/1000</f>
        <v>#REF!</v>
      </c>
      <c r="H252" s="508" t="e">
        <f>'18 Data for Charts'!S28/1000</f>
        <v>#REF!</v>
      </c>
      <c r="I252" s="508" t="e">
        <f>'18 Data for Charts'!T28/1000</f>
        <v>#REF!</v>
      </c>
      <c r="J252" s="508" t="e">
        <f>'18 Data for Charts'!#REF!/1000</f>
        <v>#REF!</v>
      </c>
      <c r="K252" s="508" t="e">
        <f>'18 Data for Charts'!#REF!/1000</f>
        <v>#REF!</v>
      </c>
      <c r="L252" s="508" t="e">
        <f>'18 Data for Charts'!#REF!/1000</f>
        <v>#REF!</v>
      </c>
      <c r="M252" s="524">
        <f>1869458/1000</f>
        <v>1869.4580000000001</v>
      </c>
    </row>
    <row r="253" spans="1:13" s="369" customFormat="1">
      <c r="A253" s="776"/>
      <c r="B253" s="513" t="s">
        <v>657</v>
      </c>
      <c r="C253" s="435"/>
      <c r="D253" s="521" t="e">
        <f>'18 Data for Charts'!O29/1000</f>
        <v>#REF!</v>
      </c>
      <c r="E253" s="521" t="e">
        <f>'18 Data for Charts'!P29/1000</f>
        <v>#REF!</v>
      </c>
      <c r="F253" s="521" t="e">
        <f>'18 Data for Charts'!Q29/1000</f>
        <v>#REF!</v>
      </c>
      <c r="G253" s="521" t="e">
        <f>'18 Data for Charts'!R29/1000</f>
        <v>#REF!</v>
      </c>
      <c r="H253" s="521" t="e">
        <f>'18 Data for Charts'!S29/1000</f>
        <v>#REF!</v>
      </c>
      <c r="I253" s="521" t="e">
        <f>'18 Data for Charts'!T29/1000</f>
        <v>#REF!</v>
      </c>
      <c r="J253" s="521" t="e">
        <f>'18 Data for Charts'!#REF!/1000</f>
        <v>#REF!</v>
      </c>
      <c r="K253" s="521" t="e">
        <f>'18 Data for Charts'!#REF!/1000</f>
        <v>#REF!</v>
      </c>
      <c r="L253" s="521" t="e">
        <f>'18 Data for Charts'!#REF!/1000</f>
        <v>#REF!</v>
      </c>
      <c r="M253" s="525" t="e">
        <f>L253</f>
        <v>#REF!</v>
      </c>
    </row>
    <row r="254" spans="1:13" s="369" customFormat="1">
      <c r="A254" s="776"/>
      <c r="B254" s="513" t="s">
        <v>754</v>
      </c>
      <c r="C254" s="435"/>
      <c r="D254" s="508" t="e">
        <f>D252-D253</f>
        <v>#REF!</v>
      </c>
      <c r="E254" s="508" t="e">
        <f t="shared" ref="E254:M254" si="16">E252-E253</f>
        <v>#REF!</v>
      </c>
      <c r="F254" s="508" t="e">
        <f t="shared" si="16"/>
        <v>#REF!</v>
      </c>
      <c r="G254" s="508" t="e">
        <f t="shared" si="16"/>
        <v>#REF!</v>
      </c>
      <c r="H254" s="508" t="e">
        <f t="shared" si="16"/>
        <v>#REF!</v>
      </c>
      <c r="I254" s="508" t="e">
        <f t="shared" si="16"/>
        <v>#REF!</v>
      </c>
      <c r="J254" s="508" t="e">
        <f t="shared" si="16"/>
        <v>#REF!</v>
      </c>
      <c r="K254" s="508" t="e">
        <f t="shared" si="16"/>
        <v>#REF!</v>
      </c>
      <c r="L254" s="508" t="e">
        <f t="shared" si="16"/>
        <v>#REF!</v>
      </c>
      <c r="M254" s="524" t="e">
        <f t="shared" si="16"/>
        <v>#REF!</v>
      </c>
    </row>
    <row r="255" spans="1:13" s="369" customFormat="1">
      <c r="A255" s="776"/>
      <c r="B255" s="517" t="s">
        <v>911</v>
      </c>
      <c r="C255" s="431"/>
      <c r="D255" s="435"/>
      <c r="E255" s="435"/>
      <c r="F255" s="435"/>
      <c r="G255" s="435"/>
      <c r="H255" s="435"/>
      <c r="I255" s="435"/>
      <c r="J255" s="435"/>
      <c r="K255" s="435"/>
      <c r="L255" s="435"/>
      <c r="M255" s="519"/>
    </row>
    <row r="256" spans="1:13" s="369" customFormat="1">
      <c r="A256" s="776"/>
      <c r="B256" s="513"/>
      <c r="C256" s="514"/>
      <c r="D256" s="515">
        <f>D251</f>
        <v>2008</v>
      </c>
      <c r="E256" s="515">
        <f t="shared" ref="E256:M256" si="17">E251</f>
        <v>2009</v>
      </c>
      <c r="F256" s="515">
        <f t="shared" si="17"/>
        <v>2010</v>
      </c>
      <c r="G256" s="515">
        <f t="shared" si="17"/>
        <v>2011</v>
      </c>
      <c r="H256" s="515">
        <f t="shared" si="17"/>
        <v>2012</v>
      </c>
      <c r="I256" s="515">
        <f t="shared" si="17"/>
        <v>2013</v>
      </c>
      <c r="J256" s="515">
        <f t="shared" si="17"/>
        <v>2014</v>
      </c>
      <c r="K256" s="515">
        <f t="shared" si="17"/>
        <v>2015</v>
      </c>
      <c r="L256" s="515">
        <f t="shared" si="17"/>
        <v>2016</v>
      </c>
      <c r="M256" s="516">
        <f t="shared" si="17"/>
        <v>2017</v>
      </c>
    </row>
    <row r="257" spans="1:23" s="369" customFormat="1">
      <c r="A257" s="776"/>
      <c r="B257" s="513" t="s">
        <v>945</v>
      </c>
      <c r="C257" s="435"/>
      <c r="D257" s="508">
        <f>'Econ-Perf 2'!N48/1000</f>
        <v>0</v>
      </c>
      <c r="E257" s="508" t="e">
        <f>'Econ-Perf 2'!O48/1000</f>
        <v>#REF!</v>
      </c>
      <c r="F257" s="508" t="e">
        <f>'Econ-Perf 2'!P48/1000</f>
        <v>#REF!</v>
      </c>
      <c r="G257" s="508" t="e">
        <f>'Econ-Perf 2'!Q48/1000</f>
        <v>#REF!</v>
      </c>
      <c r="H257" s="508" t="e">
        <f>'Econ-Perf 2'!R48/1000</f>
        <v>#REF!</v>
      </c>
      <c r="I257" s="508" t="e">
        <f>'Econ-Perf 2'!S48/1000</f>
        <v>#REF!</v>
      </c>
      <c r="J257" s="508" t="e">
        <f>'Econ-Perf 2'!T48/1000</f>
        <v>#REF!</v>
      </c>
      <c r="K257" s="508" t="e">
        <f>'Econ-Perf 2'!#REF!/1000</f>
        <v>#REF!</v>
      </c>
      <c r="L257" s="508" t="e">
        <f>'Econ-Perf 2'!#REF!/1000</f>
        <v>#REF!</v>
      </c>
      <c r="M257" s="523" t="e">
        <f>'Mark-Expect'!#REF!/1000</f>
        <v>#REF!</v>
      </c>
      <c r="N257" s="776"/>
      <c r="O257" s="776"/>
      <c r="P257" s="776"/>
      <c r="Q257" s="776"/>
      <c r="R257" s="776"/>
      <c r="S257" s="776"/>
      <c r="T257" s="776"/>
      <c r="U257" s="776"/>
      <c r="V257" s="776"/>
      <c r="W257" s="776"/>
    </row>
    <row r="258" spans="1:23" s="369" customFormat="1">
      <c r="A258" s="776"/>
      <c r="B258" s="513" t="s">
        <v>657</v>
      </c>
      <c r="C258" s="435"/>
      <c r="D258" s="521">
        <f>'Econ-Perf 2'!N47/1000</f>
        <v>0</v>
      </c>
      <c r="E258" s="521" t="e">
        <f>'Econ-Perf 2'!O47/1000</f>
        <v>#REF!</v>
      </c>
      <c r="F258" s="521" t="e">
        <f>'Econ-Perf 2'!P47/1000</f>
        <v>#REF!</v>
      </c>
      <c r="G258" s="521" t="e">
        <f>'Econ-Perf 2'!Q47/1000</f>
        <v>#REF!</v>
      </c>
      <c r="H258" s="521" t="e">
        <f>'Econ-Perf 2'!R47/1000</f>
        <v>#REF!</v>
      </c>
      <c r="I258" s="521" t="e">
        <f>'Econ-Perf 2'!S47/1000</f>
        <v>#REF!</v>
      </c>
      <c r="J258" s="521" t="e">
        <f>'Econ-Perf 2'!T47/1000</f>
        <v>#REF!</v>
      </c>
      <c r="K258" s="521" t="e">
        <f>'Econ-Perf 2'!#REF!/1000</f>
        <v>#REF!</v>
      </c>
      <c r="L258" s="521" t="e">
        <f>'Econ-Perf 2'!#REF!/1000</f>
        <v>#REF!</v>
      </c>
      <c r="M258" s="526" t="e">
        <f>'Mark-Expect'!#REF!/1000</f>
        <v>#REF!</v>
      </c>
      <c r="N258" s="776"/>
      <c r="O258" s="776"/>
      <c r="P258" s="776"/>
      <c r="Q258" s="776"/>
      <c r="R258" s="776"/>
      <c r="S258" s="776"/>
      <c r="T258" s="776"/>
      <c r="U258" s="776"/>
      <c r="V258" s="776"/>
      <c r="W258" s="776"/>
    </row>
    <row r="259" spans="1:23" s="369" customFormat="1">
      <c r="A259" s="776"/>
      <c r="B259" s="513" t="s">
        <v>754</v>
      </c>
      <c r="C259" s="435"/>
      <c r="D259" s="508">
        <f>D257-D258</f>
        <v>0</v>
      </c>
      <c r="E259" s="508" t="e">
        <f t="shared" ref="E259:L259" si="18">E257-E258</f>
        <v>#REF!</v>
      </c>
      <c r="F259" s="508" t="e">
        <f t="shared" si="18"/>
        <v>#REF!</v>
      </c>
      <c r="G259" s="508" t="e">
        <f t="shared" si="18"/>
        <v>#REF!</v>
      </c>
      <c r="H259" s="508" t="e">
        <f t="shared" si="18"/>
        <v>#REF!</v>
      </c>
      <c r="I259" s="508" t="e">
        <f t="shared" si="18"/>
        <v>#REF!</v>
      </c>
      <c r="J259" s="508" t="e">
        <f t="shared" si="18"/>
        <v>#REF!</v>
      </c>
      <c r="K259" s="508" t="e">
        <f t="shared" si="18"/>
        <v>#REF!</v>
      </c>
      <c r="L259" s="508" t="e">
        <f t="shared" si="18"/>
        <v>#REF!</v>
      </c>
      <c r="M259" s="523" t="e">
        <f>'Mark-Expect'!#REF!/1000</f>
        <v>#REF!</v>
      </c>
      <c r="N259" s="776"/>
      <c r="O259" s="776"/>
      <c r="P259" s="776"/>
      <c r="Q259" s="776"/>
      <c r="R259" s="776"/>
      <c r="S259" s="776"/>
      <c r="T259" s="776"/>
      <c r="U259" s="776"/>
      <c r="V259" s="776"/>
      <c r="W259" s="776"/>
    </row>
    <row r="260" spans="1:23" s="369" customFormat="1">
      <c r="A260" s="776"/>
      <c r="B260" s="513"/>
      <c r="C260" s="435"/>
      <c r="D260" s="508"/>
      <c r="E260" s="508"/>
      <c r="F260" s="508"/>
      <c r="G260" s="508"/>
      <c r="H260" s="508"/>
      <c r="I260" s="508"/>
      <c r="J260" s="508"/>
      <c r="K260" s="508"/>
      <c r="L260" s="508"/>
      <c r="M260" s="522"/>
      <c r="N260" s="776"/>
      <c r="O260" s="776"/>
      <c r="P260" s="776"/>
      <c r="Q260" s="776"/>
      <c r="R260" s="776"/>
      <c r="S260" s="776"/>
      <c r="T260" s="776"/>
      <c r="U260" s="776"/>
      <c r="V260" s="776"/>
      <c r="W260" s="776"/>
    </row>
    <row r="261" spans="1:23" s="353" customFormat="1">
      <c r="A261" s="776"/>
      <c r="B261" s="517" t="s">
        <v>946</v>
      </c>
      <c r="C261" s="518"/>
      <c r="D261" s="515">
        <v>2008</v>
      </c>
      <c r="E261" s="515">
        <f t="shared" ref="E261:L261" si="19">D261+1</f>
        <v>2009</v>
      </c>
      <c r="F261" s="515">
        <f t="shared" si="19"/>
        <v>2010</v>
      </c>
      <c r="G261" s="515">
        <f t="shared" si="19"/>
        <v>2011</v>
      </c>
      <c r="H261" s="515">
        <f t="shared" si="19"/>
        <v>2012</v>
      </c>
      <c r="I261" s="515">
        <f t="shared" si="19"/>
        <v>2013</v>
      </c>
      <c r="J261" s="515">
        <f t="shared" si="19"/>
        <v>2014</v>
      </c>
      <c r="K261" s="515">
        <f t="shared" si="19"/>
        <v>2015</v>
      </c>
      <c r="L261" s="515">
        <f t="shared" si="19"/>
        <v>2016</v>
      </c>
      <c r="M261" s="520">
        <v>2017</v>
      </c>
      <c r="N261" s="776"/>
      <c r="O261" s="776"/>
      <c r="P261" s="776"/>
      <c r="Q261" s="776"/>
      <c r="R261" s="776"/>
      <c r="S261" s="776"/>
      <c r="T261" s="776"/>
      <c r="U261" s="776"/>
      <c r="V261" s="776"/>
      <c r="W261" s="776"/>
    </row>
    <row r="262" spans="1:23" s="354" customFormat="1">
      <c r="A262" s="776"/>
      <c r="B262" s="513" t="s">
        <v>840</v>
      </c>
      <c r="C262" s="435"/>
      <c r="D262" s="508" t="e">
        <f>D254</f>
        <v>#REF!</v>
      </c>
      <c r="E262" s="508" t="e">
        <f t="shared" ref="E262:L262" si="20">E254</f>
        <v>#REF!</v>
      </c>
      <c r="F262" s="508" t="e">
        <f t="shared" si="20"/>
        <v>#REF!</v>
      </c>
      <c r="G262" s="508" t="e">
        <f t="shared" si="20"/>
        <v>#REF!</v>
      </c>
      <c r="H262" s="508" t="e">
        <f t="shared" si="20"/>
        <v>#REF!</v>
      </c>
      <c r="I262" s="508" t="e">
        <f t="shared" si="20"/>
        <v>#REF!</v>
      </c>
      <c r="J262" s="508" t="e">
        <f t="shared" si="20"/>
        <v>#REF!</v>
      </c>
      <c r="K262" s="508" t="e">
        <f t="shared" si="20"/>
        <v>#REF!</v>
      </c>
      <c r="L262" s="508" t="e">
        <f t="shared" si="20"/>
        <v>#REF!</v>
      </c>
      <c r="M262" s="524" t="e">
        <f>M254</f>
        <v>#REF!</v>
      </c>
      <c r="N262" s="776"/>
      <c r="O262" s="776"/>
      <c r="P262" s="776"/>
      <c r="Q262" s="776"/>
      <c r="R262" s="776"/>
      <c r="S262" s="776"/>
      <c r="T262" s="776"/>
      <c r="U262" s="776"/>
      <c r="V262" s="776"/>
      <c r="W262" s="776"/>
    </row>
    <row r="263" spans="1:23" s="353" customFormat="1">
      <c r="A263" s="776"/>
      <c r="B263" s="513" t="s">
        <v>911</v>
      </c>
      <c r="C263" s="435"/>
      <c r="D263" s="521">
        <f>D259</f>
        <v>0</v>
      </c>
      <c r="E263" s="521" t="e">
        <f t="shared" ref="E263:L263" si="21">E259</f>
        <v>#REF!</v>
      </c>
      <c r="F263" s="521" t="e">
        <f t="shared" si="21"/>
        <v>#REF!</v>
      </c>
      <c r="G263" s="521" t="e">
        <f t="shared" si="21"/>
        <v>#REF!</v>
      </c>
      <c r="H263" s="521" t="e">
        <f t="shared" si="21"/>
        <v>#REF!</v>
      </c>
      <c r="I263" s="521" t="e">
        <f t="shared" si="21"/>
        <v>#REF!</v>
      </c>
      <c r="J263" s="521" t="e">
        <f t="shared" si="21"/>
        <v>#REF!</v>
      </c>
      <c r="K263" s="521" t="e">
        <f t="shared" si="21"/>
        <v>#REF!</v>
      </c>
      <c r="L263" s="521" t="e">
        <f t="shared" si="21"/>
        <v>#REF!</v>
      </c>
      <c r="M263" s="526" t="e">
        <f>M259</f>
        <v>#REF!</v>
      </c>
      <c r="N263" s="567" t="s">
        <v>947</v>
      </c>
      <c r="O263" s="776"/>
      <c r="P263" s="776"/>
      <c r="Q263" s="776"/>
      <c r="R263" s="776"/>
      <c r="S263" s="776"/>
      <c r="T263" s="17"/>
      <c r="U263" s="776"/>
      <c r="V263" s="776"/>
      <c r="W263" s="776"/>
    </row>
    <row r="264" spans="1:23" s="353" customFormat="1">
      <c r="A264" s="776"/>
      <c r="B264" s="615" t="s">
        <v>948</v>
      </c>
      <c r="C264" s="616"/>
      <c r="D264" s="521" t="e">
        <f>D262-D263</f>
        <v>#REF!</v>
      </c>
      <c r="E264" s="521" t="e">
        <f t="shared" ref="E264:M264" si="22">E262-E263</f>
        <v>#REF!</v>
      </c>
      <c r="F264" s="521" t="e">
        <f t="shared" si="22"/>
        <v>#REF!</v>
      </c>
      <c r="G264" s="521" t="e">
        <f t="shared" si="22"/>
        <v>#REF!</v>
      </c>
      <c r="H264" s="521" t="e">
        <f t="shared" si="22"/>
        <v>#REF!</v>
      </c>
      <c r="I264" s="521" t="e">
        <f t="shared" si="22"/>
        <v>#REF!</v>
      </c>
      <c r="J264" s="521" t="e">
        <f t="shared" si="22"/>
        <v>#REF!</v>
      </c>
      <c r="K264" s="521" t="e">
        <f t="shared" si="22"/>
        <v>#REF!</v>
      </c>
      <c r="L264" s="521" t="e">
        <f t="shared" si="22"/>
        <v>#REF!</v>
      </c>
      <c r="M264" s="525" t="e">
        <f t="shared" si="22"/>
        <v>#REF!</v>
      </c>
      <c r="N264" s="17" t="e">
        <f>D264-M264</f>
        <v>#REF!</v>
      </c>
      <c r="O264" s="776"/>
      <c r="P264" s="776"/>
      <c r="Q264" s="776"/>
      <c r="R264" s="776"/>
      <c r="S264" s="776"/>
      <c r="T264" s="776"/>
      <c r="U264" s="776"/>
      <c r="V264" s="776"/>
      <c r="W264" s="776"/>
    </row>
    <row r="265" spans="1:23" s="369" customFormat="1">
      <c r="A265" s="776"/>
      <c r="B265" s="370"/>
      <c r="C265" s="370"/>
      <c r="D265" s="303"/>
      <c r="E265" s="303"/>
      <c r="F265" s="303"/>
      <c r="G265" s="303"/>
      <c r="H265" s="303"/>
      <c r="I265" s="303"/>
      <c r="J265" s="303"/>
      <c r="K265" s="303"/>
      <c r="L265" s="303"/>
      <c r="M265" s="50"/>
      <c r="N265" s="776"/>
      <c r="O265" s="776"/>
      <c r="P265" s="776"/>
      <c r="Q265" s="50"/>
      <c r="R265" s="776"/>
      <c r="S265" s="776"/>
      <c r="T265" s="776"/>
      <c r="U265" s="776"/>
      <c r="V265" s="776"/>
      <c r="W265" s="776"/>
    </row>
    <row r="266" spans="1:23" s="342" customFormat="1">
      <c r="A266" s="776"/>
      <c r="B266" s="531" t="s">
        <v>949</v>
      </c>
      <c r="C266" s="335"/>
      <c r="D266" s="335"/>
      <c r="E266" s="335"/>
      <c r="F266" s="481"/>
      <c r="G266" s="481"/>
      <c r="H266" s="776"/>
      <c r="I266" s="776"/>
      <c r="J266" s="776"/>
      <c r="K266" s="776"/>
      <c r="L266" s="776"/>
      <c r="M266" s="776"/>
      <c r="N266" s="776"/>
      <c r="O266" s="428"/>
      <c r="P266" s="776"/>
      <c r="Q266" s="776"/>
      <c r="R266" s="776"/>
      <c r="S266" s="776"/>
      <c r="T266" s="776"/>
      <c r="U266" s="776"/>
      <c r="V266" s="776"/>
      <c r="W266" s="776"/>
    </row>
    <row r="267" spans="1:23" s="592" customFormat="1" ht="15">
      <c r="A267" s="776"/>
      <c r="B267" s="440"/>
      <c r="C267" s="23"/>
      <c r="D267" s="23"/>
      <c r="E267" s="23"/>
      <c r="F267" s="530"/>
      <c r="G267" s="530"/>
      <c r="H267" s="776"/>
      <c r="I267" s="776"/>
      <c r="J267" s="776"/>
      <c r="K267" s="776"/>
      <c r="L267" s="776"/>
      <c r="M267" s="776"/>
      <c r="N267" s="776"/>
      <c r="O267" s="428"/>
      <c r="P267" s="776"/>
      <c r="Q267" s="776"/>
      <c r="R267" s="776"/>
      <c r="S267" s="776"/>
      <c r="T267" s="776"/>
      <c r="U267" s="776"/>
      <c r="V267" s="776"/>
      <c r="W267" s="776"/>
    </row>
    <row r="268" spans="1:23" s="342" customFormat="1" ht="19.5">
      <c r="A268" s="776"/>
      <c r="B268" s="434" t="str">
        <f>I269</f>
        <v>EVA drives MVA</v>
      </c>
      <c r="C268" s="127"/>
      <c r="D268" s="127"/>
      <c r="E268" s="127"/>
      <c r="F268" s="127"/>
      <c r="G268" s="127"/>
      <c r="H268" s="776"/>
      <c r="I268" s="572" t="s">
        <v>950</v>
      </c>
      <c r="J268" s="776"/>
      <c r="K268" s="776"/>
      <c r="L268" s="776"/>
      <c r="M268" s="776"/>
      <c r="N268" s="776"/>
      <c r="O268" s="776"/>
      <c r="P268" s="776"/>
      <c r="Q268" s="776"/>
      <c r="R268" s="776"/>
      <c r="S268" s="776"/>
      <c r="T268" s="776"/>
      <c r="U268" s="776"/>
      <c r="V268" s="776"/>
      <c r="W268" s="776"/>
    </row>
    <row r="269" spans="1:23" s="342" customFormat="1" ht="16.5">
      <c r="A269" s="776"/>
      <c r="B269" s="642" t="s">
        <v>906</v>
      </c>
      <c r="C269" s="127"/>
      <c r="D269" s="127"/>
      <c r="E269" s="127"/>
      <c r="F269" s="127"/>
      <c r="G269" s="127"/>
      <c r="H269" s="776"/>
      <c r="I269" s="776" t="s">
        <v>951</v>
      </c>
      <c r="J269" s="776"/>
      <c r="K269" s="776"/>
      <c r="L269" s="776"/>
      <c r="M269" s="776"/>
      <c r="N269" s="776"/>
      <c r="O269" s="776"/>
      <c r="P269" s="776"/>
      <c r="Q269" s="776"/>
      <c r="R269" s="776"/>
      <c r="S269" s="776"/>
      <c r="T269" s="776"/>
      <c r="U269" s="776"/>
      <c r="V269" s="776"/>
      <c r="W269" s="776"/>
    </row>
    <row r="270" spans="1:23" ht="13.5">
      <c r="A270" s="776"/>
      <c r="B270" s="411" t="s">
        <v>928</v>
      </c>
      <c r="C270" s="127"/>
      <c r="D270" s="127"/>
      <c r="E270" s="127"/>
      <c r="F270" s="127"/>
      <c r="G270" s="127"/>
      <c r="H270" s="776"/>
      <c r="I270" s="776"/>
      <c r="J270" s="1266"/>
      <c r="K270" s="776"/>
      <c r="L270" s="776"/>
      <c r="M270" s="776"/>
      <c r="N270" s="776"/>
      <c r="O270" s="776"/>
      <c r="P270" s="776"/>
      <c r="Q270" s="776"/>
      <c r="R270" s="776"/>
      <c r="S270" s="776"/>
      <c r="T270" s="776"/>
      <c r="U270" s="776"/>
      <c r="V270" s="776"/>
      <c r="W270" s="776"/>
    </row>
    <row r="271" spans="1:23">
      <c r="A271" s="776"/>
      <c r="B271" s="127"/>
      <c r="C271" s="127"/>
      <c r="D271" s="127"/>
      <c r="E271" s="127"/>
      <c r="F271" s="127"/>
      <c r="G271" s="127"/>
      <c r="H271" s="776"/>
      <c r="I271" s="776"/>
      <c r="J271" s="50"/>
      <c r="K271" s="776"/>
      <c r="L271" s="776"/>
      <c r="M271" s="776"/>
      <c r="N271" s="776"/>
      <c r="O271" s="776"/>
      <c r="P271" s="776"/>
      <c r="Q271" s="776"/>
      <c r="R271" s="776"/>
      <c r="S271" s="776"/>
      <c r="T271" s="776"/>
      <c r="U271" s="776"/>
      <c r="V271" s="776"/>
      <c r="W271" s="776"/>
    </row>
    <row r="272" spans="1:23">
      <c r="A272" s="776"/>
      <c r="B272" s="425"/>
      <c r="C272" s="425"/>
      <c r="D272" s="425"/>
      <c r="E272" s="425"/>
      <c r="F272" s="439"/>
      <c r="G272" s="127"/>
      <c r="H272" s="776"/>
      <c r="I272" s="776"/>
      <c r="J272" s="776"/>
      <c r="K272" s="776"/>
      <c r="L272" s="776"/>
      <c r="M272" s="776"/>
      <c r="N272" s="776"/>
      <c r="O272" s="776"/>
      <c r="P272" s="776"/>
      <c r="Q272" s="776"/>
      <c r="R272" s="776"/>
      <c r="S272" s="776"/>
      <c r="T272" s="776"/>
      <c r="U272" s="776"/>
      <c r="V272" s="776"/>
      <c r="W272" s="776"/>
    </row>
    <row r="273" spans="1:17">
      <c r="A273" s="776"/>
      <c r="B273" s="776"/>
      <c r="C273" s="776"/>
      <c r="D273" s="776"/>
      <c r="E273" s="776"/>
      <c r="F273" s="170"/>
      <c r="G273" s="776"/>
      <c r="H273" s="776"/>
      <c r="I273" s="776"/>
      <c r="J273" s="50"/>
      <c r="K273" s="776"/>
      <c r="L273" s="776"/>
      <c r="M273" s="776"/>
      <c r="N273" s="776"/>
      <c r="O273" s="776"/>
      <c r="P273" s="776"/>
      <c r="Q273" s="776"/>
    </row>
    <row r="274" spans="1:17">
      <c r="A274" s="776"/>
      <c r="B274" s="776"/>
      <c r="C274" s="776"/>
      <c r="D274" s="776"/>
      <c r="E274" s="776"/>
      <c r="F274" s="170"/>
      <c r="G274" s="776"/>
      <c r="H274" s="776"/>
      <c r="I274" s="776"/>
      <c r="J274" s="50"/>
      <c r="K274" s="776"/>
      <c r="L274" s="776"/>
      <c r="M274" s="776"/>
      <c r="N274" s="776"/>
      <c r="O274" s="776"/>
      <c r="P274" s="776"/>
      <c r="Q274" s="776"/>
    </row>
    <row r="275" spans="1:17">
      <c r="A275" s="776"/>
      <c r="B275" s="776"/>
      <c r="C275" s="776"/>
      <c r="D275" s="776"/>
      <c r="E275" s="776"/>
      <c r="F275" s="170"/>
      <c r="G275" s="776"/>
      <c r="H275" s="776"/>
      <c r="I275" s="776"/>
      <c r="J275" s="50"/>
      <c r="K275" s="776"/>
      <c r="L275" s="776"/>
      <c r="M275" s="776"/>
      <c r="N275" s="776"/>
      <c r="O275" s="776"/>
      <c r="P275" s="776"/>
      <c r="Q275" s="776"/>
    </row>
    <row r="276" spans="1:17">
      <c r="A276" s="776"/>
      <c r="B276" s="776"/>
      <c r="C276" s="776"/>
      <c r="D276" s="776"/>
      <c r="E276" s="776"/>
      <c r="F276" s="170"/>
      <c r="G276" s="776"/>
      <c r="H276" s="776"/>
      <c r="I276" s="776"/>
      <c r="J276" s="50"/>
      <c r="K276" s="776"/>
      <c r="L276" s="776"/>
      <c r="M276" s="776"/>
      <c r="N276" s="776"/>
      <c r="O276" s="776"/>
      <c r="P276" s="776"/>
      <c r="Q276" s="776"/>
    </row>
    <row r="277" spans="1:17">
      <c r="A277" s="776"/>
      <c r="B277" s="776"/>
      <c r="C277" s="776"/>
      <c r="D277" s="776"/>
      <c r="E277" s="776"/>
      <c r="F277" s="170"/>
      <c r="G277" s="776"/>
      <c r="H277" s="776"/>
      <c r="I277" s="776"/>
      <c r="J277" s="50"/>
      <c r="K277" s="776"/>
      <c r="L277" s="776"/>
      <c r="M277" s="776"/>
      <c r="N277" s="776"/>
      <c r="O277" s="776"/>
      <c r="P277" s="776"/>
      <c r="Q277" s="776"/>
    </row>
    <row r="278" spans="1:17">
      <c r="A278" s="776"/>
      <c r="B278" s="776"/>
      <c r="C278" s="776"/>
      <c r="D278" s="776"/>
      <c r="E278" s="776"/>
      <c r="F278" s="170"/>
      <c r="G278" s="776"/>
      <c r="H278" s="776"/>
      <c r="I278" s="776"/>
      <c r="J278" s="50"/>
      <c r="K278" s="776"/>
      <c r="L278" s="776"/>
      <c r="M278" s="776"/>
      <c r="N278" s="776"/>
      <c r="O278" s="776"/>
      <c r="P278" s="776"/>
      <c r="Q278" s="776"/>
    </row>
    <row r="279" spans="1:17">
      <c r="A279" s="776"/>
      <c r="B279" s="776"/>
      <c r="C279" s="776"/>
      <c r="D279" s="776"/>
      <c r="E279" s="776"/>
      <c r="F279" s="170"/>
      <c r="G279" s="776"/>
      <c r="H279" s="776"/>
      <c r="I279" s="776"/>
      <c r="J279" s="50"/>
      <c r="K279" s="776"/>
      <c r="L279" s="776"/>
      <c r="M279" s="776"/>
      <c r="N279" s="776"/>
      <c r="O279" s="776"/>
      <c r="P279" s="776"/>
      <c r="Q279" s="776"/>
    </row>
    <row r="280" spans="1:17">
      <c r="A280" s="776"/>
      <c r="B280" s="776"/>
      <c r="C280" s="776"/>
      <c r="D280" s="776"/>
      <c r="E280" s="776"/>
      <c r="F280" s="170"/>
      <c r="G280" s="776"/>
      <c r="H280" s="776"/>
      <c r="I280" s="776"/>
      <c r="J280" s="50"/>
      <c r="K280" s="776"/>
      <c r="L280" s="776"/>
      <c r="M280" s="776"/>
      <c r="N280" s="776"/>
      <c r="O280" s="776"/>
      <c r="P280" s="776"/>
      <c r="Q280" s="776"/>
    </row>
    <row r="281" spans="1:17">
      <c r="A281" s="776"/>
      <c r="B281" s="776"/>
      <c r="C281" s="776"/>
      <c r="D281" s="776"/>
      <c r="E281" s="776"/>
      <c r="F281" s="170"/>
      <c r="G281" s="776"/>
      <c r="H281" s="776"/>
      <c r="I281" s="776"/>
      <c r="J281" s="50"/>
      <c r="K281" s="776"/>
      <c r="L281" s="776"/>
      <c r="M281" s="776"/>
      <c r="N281" s="776"/>
      <c r="O281" s="776"/>
      <c r="P281" s="776"/>
      <c r="Q281" s="776"/>
    </row>
    <row r="282" spans="1:17">
      <c r="A282" s="776"/>
      <c r="B282" s="776"/>
      <c r="C282" s="776"/>
      <c r="D282" s="776"/>
      <c r="E282" s="776"/>
      <c r="F282" s="170"/>
      <c r="G282" s="776"/>
      <c r="H282" s="776"/>
      <c r="I282" s="776"/>
      <c r="J282" s="50"/>
      <c r="K282" s="776"/>
      <c r="L282" s="776"/>
      <c r="M282" s="776"/>
      <c r="N282" s="776"/>
      <c r="O282" s="776"/>
      <c r="P282" s="776"/>
      <c r="Q282" s="776"/>
    </row>
    <row r="283" spans="1:17">
      <c r="A283" s="776"/>
      <c r="B283" s="776"/>
      <c r="C283" s="776"/>
      <c r="D283" s="776"/>
      <c r="E283" s="776"/>
      <c r="F283" s="170"/>
      <c r="G283" s="776"/>
      <c r="H283" s="776"/>
      <c r="I283" s="776"/>
      <c r="J283" s="50"/>
      <c r="K283" s="776"/>
      <c r="L283" s="776"/>
      <c r="M283" s="776"/>
      <c r="N283" s="776"/>
      <c r="O283" s="776"/>
      <c r="P283" s="776"/>
      <c r="Q283" s="776"/>
    </row>
    <row r="284" spans="1:17" ht="13.5">
      <c r="A284" s="776"/>
      <c r="B284" s="412" t="str">
        <f>'X-Chart Basics'!D20</f>
        <v>Source: Annual Reports</v>
      </c>
      <c r="C284" s="127"/>
      <c r="D284" s="127"/>
      <c r="E284" s="127"/>
      <c r="F284" s="127"/>
      <c r="G284" s="127"/>
      <c r="H284" s="776"/>
      <c r="I284" s="776"/>
      <c r="J284" s="50"/>
      <c r="K284" s="776"/>
      <c r="L284" s="776"/>
      <c r="M284" s="776"/>
      <c r="N284" s="776"/>
      <c r="O284" s="776"/>
      <c r="P284" s="776"/>
      <c r="Q284" s="776"/>
    </row>
    <row r="285" spans="1:17" s="424" customFormat="1" ht="13.5">
      <c r="A285" s="776"/>
      <c r="B285" s="412" t="str">
        <f>'X-Chart Basics'!F18</f>
        <v xml:space="preserve">Ireland, Wallace &amp; Associates </v>
      </c>
      <c r="C285" s="127"/>
      <c r="D285" s="127"/>
      <c r="E285" s="127"/>
      <c r="F285" s="506"/>
      <c r="G285" s="527">
        <v>42790</v>
      </c>
      <c r="H285" s="776"/>
      <c r="I285" s="776"/>
      <c r="J285" s="50"/>
      <c r="K285" s="776"/>
      <c r="L285" s="776"/>
      <c r="M285" s="776"/>
      <c r="N285" s="776"/>
      <c r="O285" s="776"/>
      <c r="P285" s="776"/>
      <c r="Q285" s="776"/>
    </row>
    <row r="286" spans="1:17" s="592" customFormat="1" ht="13.5">
      <c r="A286" s="776"/>
      <c r="B286" s="776"/>
      <c r="C286" s="776"/>
      <c r="D286" s="776"/>
      <c r="E286" s="776"/>
      <c r="F286" s="776"/>
      <c r="G286" s="776"/>
      <c r="H286" s="776"/>
      <c r="I286" s="432"/>
      <c r="J286" s="13"/>
      <c r="K286" s="13"/>
      <c r="L286" s="13"/>
      <c r="M286" s="267"/>
      <c r="N286" s="528"/>
      <c r="O286" s="776"/>
      <c r="P286" s="776"/>
      <c r="Q286" s="50"/>
    </row>
    <row r="287" spans="1:17">
      <c r="A287" s="776"/>
      <c r="B287" s="1" t="s">
        <v>952</v>
      </c>
      <c r="C287" s="776"/>
      <c r="D287" s="776"/>
      <c r="E287" s="776"/>
      <c r="F287" s="776"/>
      <c r="G287" s="776"/>
      <c r="H287" s="776"/>
      <c r="I287" s="776"/>
      <c r="J287" s="776"/>
      <c r="K287" s="776"/>
      <c r="L287" s="50"/>
      <c r="M287" s="776"/>
      <c r="N287" s="776"/>
      <c r="O287" s="776"/>
      <c r="P287" s="776"/>
      <c r="Q287" s="776"/>
    </row>
    <row r="288" spans="1:17" s="369" customFormat="1" ht="13.5">
      <c r="A288" s="776"/>
      <c r="B288" s="389"/>
      <c r="C288" s="38"/>
      <c r="D288" s="390"/>
      <c r="E288" s="390"/>
      <c r="F288" s="390"/>
      <c r="G288" s="390"/>
      <c r="H288" s="390"/>
      <c r="I288" s="390"/>
      <c r="J288" s="390"/>
      <c r="K288" s="390"/>
      <c r="L288" s="390"/>
      <c r="M288" s="533">
        <f>'X-Chart Basics'!D24</f>
        <v>42790</v>
      </c>
      <c r="N288" s="776"/>
      <c r="O288" s="776"/>
      <c r="P288" s="776"/>
      <c r="Q288" s="776"/>
    </row>
    <row r="289" spans="1:17" s="369" customFormat="1" ht="15">
      <c r="A289" s="776"/>
      <c r="B289" s="391"/>
      <c r="C289" s="514" t="s">
        <v>554</v>
      </c>
      <c r="D289" s="336">
        <v>2008</v>
      </c>
      <c r="E289" s="336">
        <f t="shared" ref="E289:L289" si="23">D289+1</f>
        <v>2009</v>
      </c>
      <c r="F289" s="336">
        <f t="shared" si="23"/>
        <v>2010</v>
      </c>
      <c r="G289" s="336">
        <f t="shared" si="23"/>
        <v>2011</v>
      </c>
      <c r="H289" s="336">
        <f t="shared" si="23"/>
        <v>2012</v>
      </c>
      <c r="I289" s="336">
        <f t="shared" si="23"/>
        <v>2013</v>
      </c>
      <c r="J289" s="336">
        <f t="shared" si="23"/>
        <v>2014</v>
      </c>
      <c r="K289" s="336">
        <f t="shared" si="23"/>
        <v>2015</v>
      </c>
      <c r="L289" s="336">
        <f t="shared" si="23"/>
        <v>2016</v>
      </c>
      <c r="M289" s="388">
        <v>2017</v>
      </c>
      <c r="N289" s="776"/>
      <c r="O289" s="776"/>
      <c r="P289" s="776"/>
      <c r="Q289" s="776"/>
    </row>
    <row r="290" spans="1:17" s="369" customFormat="1">
      <c r="A290" s="776"/>
      <c r="B290" s="332" t="s">
        <v>754</v>
      </c>
      <c r="C290" s="10"/>
      <c r="D290" s="343" t="e">
        <f>'18 Data for Charts'!O30/1000</f>
        <v>#REF!</v>
      </c>
      <c r="E290" s="343" t="e">
        <f>'18 Data for Charts'!P30/1000</f>
        <v>#REF!</v>
      </c>
      <c r="F290" s="343" t="e">
        <f>'18 Data for Charts'!Q30/1000</f>
        <v>#REF!</v>
      </c>
      <c r="G290" s="343" t="e">
        <f>'18 Data for Charts'!R30/1000</f>
        <v>#REF!</v>
      </c>
      <c r="H290" s="343" t="e">
        <f>'18 Data for Charts'!S30/1000</f>
        <v>#REF!</v>
      </c>
      <c r="I290" s="343" t="e">
        <f>'18 Data for Charts'!T30/1000</f>
        <v>#REF!</v>
      </c>
      <c r="J290" s="343" t="e">
        <f>'18 Data for Charts'!#REF!/1000</f>
        <v>#REF!</v>
      </c>
      <c r="K290" s="343" t="e">
        <f>'18 Data for Charts'!#REF!/1000</f>
        <v>#REF!</v>
      </c>
      <c r="L290" s="343" t="e">
        <f>'18 Data for Charts'!#REF!/1000</f>
        <v>#REF!</v>
      </c>
      <c r="M290" s="534" t="e">
        <f>M262</f>
        <v>#REF!</v>
      </c>
      <c r="N290" s="776"/>
      <c r="O290" s="776"/>
      <c r="P290" s="776"/>
      <c r="Q290" s="776"/>
    </row>
    <row r="291" spans="1:17" s="369" customFormat="1">
      <c r="A291" s="776"/>
      <c r="B291" s="387" t="s">
        <v>658</v>
      </c>
      <c r="C291" s="4"/>
      <c r="D291" s="12" t="e">
        <f>'18 Data for Charts'!O5/1000</f>
        <v>#REF!</v>
      </c>
      <c r="E291" s="12" t="e">
        <f>'18 Data for Charts'!P5/1000</f>
        <v>#REF!</v>
      </c>
      <c r="F291" s="12" t="e">
        <f>'18 Data for Charts'!Q5/1000</f>
        <v>#REF!</v>
      </c>
      <c r="G291" s="12" t="e">
        <f>'18 Data for Charts'!R5/1000</f>
        <v>#REF!</v>
      </c>
      <c r="H291" s="12" t="e">
        <f>'18 Data for Charts'!S5/1000</f>
        <v>#REF!</v>
      </c>
      <c r="I291" s="12" t="e">
        <f>'18 Data for Charts'!T5/1000</f>
        <v>#REF!</v>
      </c>
      <c r="J291" s="12" t="e">
        <f>'18 Data for Charts'!#REF!/1000</f>
        <v>#REF!</v>
      </c>
      <c r="K291" s="12" t="e">
        <f>'18 Data for Charts'!#REF!/1000</f>
        <v>#REF!</v>
      </c>
      <c r="L291" s="12" t="e">
        <f>'18 Data for Charts'!#REF!/1000</f>
        <v>#REF!</v>
      </c>
      <c r="M291" s="529"/>
      <c r="N291" s="332"/>
      <c r="O291" s="776"/>
      <c r="P291" s="776"/>
      <c r="Q291" s="776"/>
    </row>
    <row r="292" spans="1:17" s="369" customFormat="1">
      <c r="A292" s="776"/>
      <c r="B292" s="776"/>
      <c r="C292" s="776"/>
      <c r="D292" s="303"/>
      <c r="E292" s="303"/>
      <c r="F292" s="303"/>
      <c r="G292" s="303"/>
      <c r="H292" s="303"/>
      <c r="I292" s="303"/>
      <c r="J292" s="303"/>
      <c r="K292" s="303"/>
      <c r="L292" s="303"/>
      <c r="M292" s="50"/>
      <c r="N292" s="776"/>
      <c r="O292" s="776"/>
      <c r="P292" s="776"/>
      <c r="Q292" s="50"/>
    </row>
    <row r="293" spans="1:17" s="369" customFormat="1" ht="15">
      <c r="A293" s="776"/>
      <c r="B293" s="480" t="s">
        <v>953</v>
      </c>
      <c r="C293" s="335"/>
      <c r="D293" s="335"/>
      <c r="E293" s="335"/>
      <c r="F293" s="481"/>
      <c r="G293" s="481"/>
      <c r="H293" s="776"/>
      <c r="I293" s="776"/>
      <c r="J293" s="776"/>
      <c r="K293" s="776"/>
      <c r="L293" s="776"/>
      <c r="M293" s="776"/>
      <c r="N293" s="776"/>
      <c r="O293" s="776"/>
      <c r="P293" s="776"/>
      <c r="Q293" s="50"/>
    </row>
    <row r="294" spans="1:17" s="592" customFormat="1" ht="15">
      <c r="A294" s="776"/>
      <c r="B294" s="440"/>
      <c r="C294" s="23"/>
      <c r="D294" s="23"/>
      <c r="E294" s="23"/>
      <c r="F294" s="530"/>
      <c r="G294" s="530"/>
      <c r="H294" s="776"/>
      <c r="I294" s="776"/>
      <c r="J294" s="776"/>
      <c r="K294" s="776"/>
      <c r="L294" s="776"/>
      <c r="M294" s="776"/>
      <c r="N294" s="776"/>
      <c r="O294" s="776"/>
      <c r="P294" s="776"/>
      <c r="Q294" s="50"/>
    </row>
    <row r="295" spans="1:17" s="426" customFormat="1" ht="19.5">
      <c r="A295" s="776"/>
      <c r="B295" s="535" t="str">
        <f>I296</f>
        <v>EVA drives MVA</v>
      </c>
      <c r="C295" s="127"/>
      <c r="D295" s="127"/>
      <c r="E295" s="127"/>
      <c r="F295" s="127"/>
      <c r="G295" s="127"/>
      <c r="H295" s="776"/>
      <c r="I295" s="572" t="s">
        <v>950</v>
      </c>
      <c r="J295" s="50"/>
      <c r="K295" s="776"/>
      <c r="L295" s="776"/>
      <c r="M295" s="776"/>
      <c r="N295" s="776"/>
      <c r="O295" s="776"/>
      <c r="P295" s="776"/>
      <c r="Q295" s="776"/>
    </row>
    <row r="296" spans="1:17" s="369" customFormat="1">
      <c r="A296" s="776"/>
      <c r="B296" s="536" t="str">
        <f>'X-Chart Basics'!C9</f>
        <v>Briscoe</v>
      </c>
      <c r="C296" s="127"/>
      <c r="D296" s="127"/>
      <c r="E296" s="127"/>
      <c r="F296" s="127"/>
      <c r="G296" s="127"/>
      <c r="H296" s="776"/>
      <c r="I296" s="776" t="s">
        <v>951</v>
      </c>
      <c r="J296" s="50"/>
      <c r="K296" s="776"/>
      <c r="L296" s="776"/>
      <c r="M296" s="776"/>
      <c r="N296" s="776"/>
      <c r="O296" s="776"/>
      <c r="P296" s="776"/>
      <c r="Q296" s="776"/>
    </row>
    <row r="297" spans="1:17" s="369" customFormat="1">
      <c r="A297" s="776"/>
      <c r="B297" s="127" t="str">
        <f>'X-Chart Basics'!F23</f>
        <v>Millions of Dollars</v>
      </c>
      <c r="C297" s="127"/>
      <c r="D297" s="127"/>
      <c r="E297" s="127"/>
      <c r="F297" s="127"/>
      <c r="G297" s="127"/>
      <c r="H297" s="776"/>
      <c r="I297" s="776" t="s">
        <v>950</v>
      </c>
      <c r="J297" s="50"/>
      <c r="K297" s="776"/>
      <c r="L297" s="776"/>
      <c r="M297" s="776"/>
      <c r="N297" s="776"/>
      <c r="O297" s="776"/>
      <c r="P297" s="776"/>
      <c r="Q297" s="776"/>
    </row>
    <row r="298" spans="1:17" s="369" customFormat="1">
      <c r="A298" s="776"/>
      <c r="B298" s="127"/>
      <c r="C298" s="127"/>
      <c r="D298" s="127"/>
      <c r="E298" s="127"/>
      <c r="F298" s="127"/>
      <c r="G298" s="127"/>
      <c r="H298" s="776"/>
      <c r="I298" s="776"/>
      <c r="J298" s="50"/>
      <c r="K298" s="776"/>
      <c r="L298" s="776"/>
      <c r="M298" s="776"/>
      <c r="N298" s="776"/>
      <c r="O298" s="776"/>
      <c r="P298" s="776"/>
      <c r="Q298" s="776"/>
    </row>
    <row r="299" spans="1:17" s="369" customFormat="1">
      <c r="A299" s="776"/>
      <c r="B299" s="127"/>
      <c r="C299" s="127"/>
      <c r="D299" s="127"/>
      <c r="E299" s="127"/>
      <c r="F299" s="127"/>
      <c r="G299" s="127"/>
      <c r="H299" s="776"/>
      <c r="I299" s="776"/>
      <c r="J299" s="50"/>
      <c r="K299" s="776"/>
      <c r="L299" s="776"/>
      <c r="M299" s="776"/>
      <c r="N299" s="776"/>
      <c r="O299" s="776"/>
      <c r="P299" s="776"/>
      <c r="Q299" s="776"/>
    </row>
    <row r="300" spans="1:17" s="369" customFormat="1">
      <c r="A300" s="776"/>
      <c r="B300" s="127"/>
      <c r="C300" s="127"/>
      <c r="D300" s="127"/>
      <c r="E300" s="127"/>
      <c r="F300" s="127"/>
      <c r="G300" s="127"/>
      <c r="H300" s="776"/>
      <c r="I300" s="776"/>
      <c r="J300" s="50"/>
      <c r="K300" s="776"/>
      <c r="L300" s="776"/>
      <c r="M300" s="776"/>
      <c r="N300" s="776"/>
      <c r="O300" s="776"/>
      <c r="P300" s="776"/>
      <c r="Q300" s="776"/>
    </row>
    <row r="301" spans="1:17" s="369" customFormat="1">
      <c r="A301" s="776"/>
      <c r="B301" s="127"/>
      <c r="C301" s="127"/>
      <c r="D301" s="127"/>
      <c r="E301" s="127"/>
      <c r="F301" s="127"/>
      <c r="G301" s="127"/>
      <c r="H301" s="776"/>
      <c r="I301" s="776"/>
      <c r="J301" s="50"/>
      <c r="K301" s="776"/>
      <c r="L301" s="776"/>
      <c r="M301" s="776"/>
      <c r="N301" s="776"/>
      <c r="O301" s="776"/>
      <c r="P301" s="776"/>
      <c r="Q301" s="776"/>
    </row>
    <row r="302" spans="1:17" s="369" customFormat="1">
      <c r="A302" s="776"/>
      <c r="B302" s="127"/>
      <c r="C302" s="127"/>
      <c r="D302" s="127"/>
      <c r="E302" s="127"/>
      <c r="F302" s="127"/>
      <c r="G302" s="127"/>
      <c r="H302" s="776"/>
      <c r="I302" s="776"/>
      <c r="J302" s="50"/>
      <c r="K302" s="776"/>
      <c r="L302" s="776"/>
      <c r="M302" s="776"/>
      <c r="N302" s="776"/>
      <c r="O302" s="776"/>
      <c r="P302" s="776"/>
      <c r="Q302" s="776"/>
    </row>
    <row r="303" spans="1:17" s="369" customFormat="1">
      <c r="A303" s="776"/>
      <c r="B303" s="127"/>
      <c r="C303" s="127"/>
      <c r="D303" s="127"/>
      <c r="E303" s="127"/>
      <c r="F303" s="127"/>
      <c r="G303" s="127"/>
      <c r="H303" s="776"/>
      <c r="I303" s="776"/>
      <c r="J303" s="50"/>
      <c r="K303" s="776"/>
      <c r="L303" s="776"/>
      <c r="M303" s="776"/>
      <c r="N303" s="776"/>
      <c r="O303" s="776"/>
      <c r="P303" s="776"/>
      <c r="Q303" s="776"/>
    </row>
    <row r="304" spans="1:17" s="369" customFormat="1">
      <c r="A304" s="776"/>
      <c r="B304" s="127"/>
      <c r="C304" s="127"/>
      <c r="D304" s="127"/>
      <c r="E304" s="127"/>
      <c r="F304" s="127"/>
      <c r="G304" s="127"/>
      <c r="H304" s="776"/>
      <c r="I304" s="776"/>
      <c r="J304" s="50"/>
      <c r="K304" s="776"/>
      <c r="L304" s="776"/>
      <c r="M304" s="776"/>
      <c r="N304" s="776"/>
      <c r="O304" s="776"/>
      <c r="P304" s="776"/>
      <c r="Q304" s="776"/>
    </row>
    <row r="305" spans="1:19" s="369" customFormat="1">
      <c r="A305" s="776"/>
      <c r="B305" s="127"/>
      <c r="C305" s="127"/>
      <c r="D305" s="127"/>
      <c r="E305" s="127"/>
      <c r="F305" s="127"/>
      <c r="G305" s="127"/>
      <c r="H305" s="776"/>
      <c r="I305" s="776"/>
      <c r="J305" s="50"/>
      <c r="K305" s="776"/>
      <c r="L305" s="776"/>
      <c r="M305" s="776"/>
      <c r="N305" s="776"/>
      <c r="O305" s="776"/>
      <c r="P305" s="776"/>
      <c r="Q305" s="776"/>
      <c r="R305" s="776"/>
      <c r="S305" s="776"/>
    </row>
    <row r="306" spans="1:19" s="369" customFormat="1">
      <c r="A306" s="776"/>
      <c r="B306" s="127"/>
      <c r="C306" s="127"/>
      <c r="D306" s="127"/>
      <c r="E306" s="127"/>
      <c r="F306" s="127"/>
      <c r="G306" s="127"/>
      <c r="H306" s="776"/>
      <c r="I306" s="776"/>
      <c r="J306" s="50"/>
      <c r="K306" s="776"/>
      <c r="L306" s="776"/>
      <c r="M306" s="776"/>
      <c r="N306" s="776"/>
      <c r="O306" s="776"/>
      <c r="P306" s="776"/>
      <c r="Q306" s="776"/>
      <c r="R306" s="776"/>
      <c r="S306" s="776"/>
    </row>
    <row r="307" spans="1:19" s="369" customFormat="1">
      <c r="A307" s="776"/>
      <c r="B307" s="127"/>
      <c r="C307" s="127"/>
      <c r="D307" s="127"/>
      <c r="E307" s="127"/>
      <c r="F307" s="127"/>
      <c r="G307" s="127"/>
      <c r="H307" s="776"/>
      <c r="I307" s="776"/>
      <c r="J307" s="50"/>
      <c r="K307" s="776"/>
      <c r="L307" s="776"/>
      <c r="M307" s="776"/>
      <c r="N307" s="776"/>
      <c r="O307" s="776"/>
      <c r="P307" s="776"/>
      <c r="Q307" s="776"/>
      <c r="R307" s="776"/>
      <c r="S307" s="776"/>
    </row>
    <row r="308" spans="1:19" s="369" customFormat="1">
      <c r="A308" s="776"/>
      <c r="B308" s="127"/>
      <c r="C308" s="127"/>
      <c r="D308" s="127"/>
      <c r="E308" s="127"/>
      <c r="F308" s="127"/>
      <c r="G308" s="127"/>
      <c r="H308" s="776"/>
      <c r="I308" s="776"/>
      <c r="J308" s="50"/>
      <c r="K308" s="776"/>
      <c r="L308" s="776"/>
      <c r="M308" s="776"/>
      <c r="N308" s="776"/>
      <c r="O308" s="776"/>
      <c r="P308" s="776"/>
      <c r="Q308" s="776"/>
      <c r="R308" s="776"/>
      <c r="S308" s="776"/>
    </row>
    <row r="309" spans="1:19" s="369" customFormat="1">
      <c r="A309" s="776"/>
      <c r="B309" s="127"/>
      <c r="C309" s="127"/>
      <c r="D309" s="127"/>
      <c r="E309" s="127"/>
      <c r="F309" s="127"/>
      <c r="G309" s="127"/>
      <c r="H309" s="776"/>
      <c r="I309" s="776"/>
      <c r="J309" s="50"/>
      <c r="K309" s="776"/>
      <c r="L309" s="776"/>
      <c r="M309" s="776"/>
      <c r="N309" s="776"/>
      <c r="O309" s="776"/>
      <c r="P309" s="776"/>
      <c r="Q309" s="776"/>
      <c r="R309" s="776"/>
      <c r="S309" s="776"/>
    </row>
    <row r="310" spans="1:19" s="369" customFormat="1">
      <c r="A310" s="776"/>
      <c r="B310" s="127"/>
      <c r="C310" s="127"/>
      <c r="D310" s="127"/>
      <c r="E310" s="127"/>
      <c r="F310" s="127"/>
      <c r="G310" s="127"/>
      <c r="H310" s="776"/>
      <c r="I310" s="776"/>
      <c r="J310" s="50"/>
      <c r="K310" s="776"/>
      <c r="L310" s="776"/>
      <c r="M310" s="776"/>
      <c r="N310" s="776"/>
      <c r="O310" s="776"/>
      <c r="P310" s="776"/>
      <c r="Q310" s="776"/>
      <c r="R310" s="776"/>
      <c r="S310" s="776"/>
    </row>
    <row r="311" spans="1:19" s="369" customFormat="1" ht="13.5">
      <c r="A311" s="776"/>
      <c r="B311" s="412" t="str">
        <f>'X-Chart Basics'!D20</f>
        <v>Source: Annual Reports</v>
      </c>
      <c r="C311" s="127"/>
      <c r="D311" s="127"/>
      <c r="E311" s="127"/>
      <c r="F311" s="127"/>
      <c r="G311" s="127"/>
      <c r="H311" s="776"/>
      <c r="I311" s="776"/>
      <c r="J311" s="50"/>
      <c r="K311" s="776"/>
      <c r="L311" s="776"/>
      <c r="M311" s="776"/>
      <c r="N311" s="776"/>
      <c r="O311" s="776"/>
      <c r="P311" s="776"/>
      <c r="Q311" s="776"/>
      <c r="R311" s="776"/>
      <c r="S311" s="776"/>
    </row>
    <row r="312" spans="1:19" s="369" customFormat="1" ht="13.5">
      <c r="A312" s="776"/>
      <c r="B312" s="412" t="str">
        <f>'X-Chart Basics'!F18</f>
        <v xml:space="preserve">Ireland, Wallace &amp; Associates </v>
      </c>
      <c r="C312" s="127"/>
      <c r="D312" s="127"/>
      <c r="E312" s="127"/>
      <c r="F312" s="506"/>
      <c r="G312" s="527">
        <f>'X-Chart Basics'!D24</f>
        <v>42790</v>
      </c>
      <c r="H312" s="776"/>
      <c r="I312" s="776"/>
      <c r="J312" s="50"/>
      <c r="K312" s="776"/>
      <c r="L312" s="776"/>
      <c r="M312" s="776"/>
      <c r="N312" s="776"/>
      <c r="O312" s="776"/>
      <c r="P312" s="776"/>
      <c r="Q312" s="776"/>
      <c r="R312" s="776"/>
      <c r="S312" s="776"/>
    </row>
    <row r="313" spans="1:19" s="592" customFormat="1" ht="13.5">
      <c r="A313" s="776"/>
      <c r="B313" s="432"/>
      <c r="C313" s="13"/>
      <c r="D313" s="13"/>
      <c r="E313" s="13"/>
      <c r="F313" s="267"/>
      <c r="G313" s="528"/>
      <c r="H313" s="13"/>
      <c r="I313" s="776"/>
      <c r="J313" s="50"/>
      <c r="K313" s="776"/>
      <c r="L313" s="776"/>
      <c r="M313" s="776"/>
      <c r="N313" s="776"/>
      <c r="O313" s="776"/>
      <c r="P313" s="776"/>
      <c r="Q313" s="776"/>
      <c r="R313" s="776"/>
      <c r="S313" s="776"/>
    </row>
    <row r="314" spans="1:19" s="426" customFormat="1">
      <c r="A314" s="776"/>
      <c r="B314" s="1" t="s">
        <v>954</v>
      </c>
      <c r="C314" s="4"/>
      <c r="D314" s="776"/>
      <c r="E314" s="776"/>
      <c r="F314" s="776"/>
      <c r="G314" s="776"/>
      <c r="H314" s="776"/>
      <c r="I314" s="776"/>
      <c r="J314" s="776"/>
      <c r="K314" s="776"/>
      <c r="L314" s="50"/>
      <c r="M314" s="776"/>
      <c r="N314" s="776"/>
      <c r="O314" s="776"/>
      <c r="P314" s="776"/>
      <c r="Q314" s="776"/>
      <c r="R314" s="776"/>
      <c r="S314" s="776"/>
    </row>
    <row r="315" spans="1:19" s="369" customFormat="1" ht="15">
      <c r="A315" s="776"/>
      <c r="B315" s="392"/>
      <c r="C315" s="514" t="s">
        <v>554</v>
      </c>
      <c r="D315" s="393">
        <v>2008</v>
      </c>
      <c r="E315" s="393">
        <f t="shared" ref="E315:L315" si="24">D315+1</f>
        <v>2009</v>
      </c>
      <c r="F315" s="393">
        <f t="shared" si="24"/>
        <v>2010</v>
      </c>
      <c r="G315" s="393">
        <f t="shared" si="24"/>
        <v>2011</v>
      </c>
      <c r="H315" s="393">
        <f t="shared" si="24"/>
        <v>2012</v>
      </c>
      <c r="I315" s="393">
        <f t="shared" si="24"/>
        <v>2013</v>
      </c>
      <c r="J315" s="393">
        <f t="shared" si="24"/>
        <v>2014</v>
      </c>
      <c r="K315" s="393">
        <f t="shared" si="24"/>
        <v>2015</v>
      </c>
      <c r="L315" s="393">
        <f t="shared" si="24"/>
        <v>2016</v>
      </c>
      <c r="M315" s="399">
        <v>2017</v>
      </c>
      <c r="N315" s="776"/>
      <c r="O315" s="776"/>
      <c r="P315" s="776"/>
      <c r="Q315" s="776"/>
      <c r="R315" s="776"/>
      <c r="S315" s="776"/>
    </row>
    <row r="316" spans="1:19" s="369" customFormat="1">
      <c r="A316" s="776"/>
      <c r="B316" s="332" t="s">
        <v>754</v>
      </c>
      <c r="C316" s="10"/>
      <c r="D316" s="11" t="e">
        <f>#REF!/1000</f>
        <v>#REF!</v>
      </c>
      <c r="E316" s="11" t="e">
        <f>#REF!/1000</f>
        <v>#REF!</v>
      </c>
      <c r="F316" s="11" t="e">
        <f>#REF!/1000</f>
        <v>#REF!</v>
      </c>
      <c r="G316" s="11" t="e">
        <f>#REF!/1000</f>
        <v>#REF!</v>
      </c>
      <c r="H316" s="11" t="e">
        <f>#REF!/1000</f>
        <v>#REF!</v>
      </c>
      <c r="I316" s="11" t="e">
        <f>#REF!/1000</f>
        <v>#REF!</v>
      </c>
      <c r="J316" s="11" t="e">
        <f>#REF!/1000</f>
        <v>#REF!</v>
      </c>
      <c r="K316" s="11" t="e">
        <f>#REF!/1000</f>
        <v>#REF!</v>
      </c>
      <c r="L316" s="11" t="e">
        <f>#REF!/1000</f>
        <v>#REF!</v>
      </c>
      <c r="M316" s="483" t="e">
        <f>M259</f>
        <v>#REF!</v>
      </c>
      <c r="N316" s="776"/>
      <c r="O316" s="776"/>
      <c r="P316" s="776"/>
      <c r="Q316" s="776"/>
      <c r="R316" s="776"/>
      <c r="S316" s="776"/>
    </row>
    <row r="317" spans="1:19" s="369" customFormat="1">
      <c r="A317" s="776"/>
      <c r="B317" s="387" t="s">
        <v>658</v>
      </c>
      <c r="C317" s="4"/>
      <c r="D317" s="12" t="e">
        <f>#REF!/1000</f>
        <v>#REF!</v>
      </c>
      <c r="E317" s="12" t="e">
        <f>#REF!/1000</f>
        <v>#REF!</v>
      </c>
      <c r="F317" s="12" t="e">
        <f>#REF!/1000</f>
        <v>#REF!</v>
      </c>
      <c r="G317" s="12" t="e">
        <f>#REF!/1000</f>
        <v>#REF!</v>
      </c>
      <c r="H317" s="12" t="e">
        <f>#REF!/1000</f>
        <v>#REF!</v>
      </c>
      <c r="I317" s="12" t="e">
        <f>#REF!/1000</f>
        <v>#REF!</v>
      </c>
      <c r="J317" s="12" t="e">
        <f>#REF!/1000</f>
        <v>#REF!</v>
      </c>
      <c r="K317" s="12" t="e">
        <f>#REF!/1000</f>
        <v>#REF!</v>
      </c>
      <c r="L317" s="12" t="e">
        <f>#REF!/1000</f>
        <v>#REF!</v>
      </c>
      <c r="M317" s="484" t="e">
        <f>#REF!/1000</f>
        <v>#REF!</v>
      </c>
      <c r="N317" s="776"/>
      <c r="O317" s="776"/>
      <c r="P317" s="776"/>
      <c r="Q317" s="776"/>
      <c r="R317" s="776"/>
      <c r="S317" s="776"/>
    </row>
    <row r="318" spans="1:19" s="592" customFormat="1">
      <c r="A318" s="776"/>
      <c r="B318" s="776"/>
      <c r="C318" s="776"/>
      <c r="D318" s="776"/>
      <c r="E318" s="776"/>
      <c r="F318" s="776"/>
      <c r="G318" s="10"/>
      <c r="H318" s="10"/>
      <c r="I318" s="11"/>
      <c r="J318" s="11"/>
      <c r="K318" s="11"/>
      <c r="L318" s="11"/>
      <c r="M318" s="11"/>
      <c r="N318" s="11"/>
      <c r="O318" s="11"/>
      <c r="P318" s="11"/>
      <c r="Q318" s="11"/>
      <c r="R318" s="110"/>
      <c r="S318" s="776"/>
    </row>
    <row r="319" spans="1:19" s="369" customFormat="1">
      <c r="A319" s="776"/>
      <c r="B319" s="531" t="s">
        <v>955</v>
      </c>
      <c r="C319" s="44"/>
      <c r="D319" s="44"/>
      <c r="E319" s="44"/>
      <c r="F319" s="481"/>
      <c r="G319" s="481"/>
      <c r="H319" s="776"/>
      <c r="I319" s="776"/>
      <c r="J319" s="776"/>
      <c r="K319" s="776"/>
      <c r="L319" s="776"/>
      <c r="M319" s="776"/>
      <c r="N319" s="776"/>
      <c r="O319" s="776"/>
      <c r="P319" s="776"/>
      <c r="Q319" s="50"/>
      <c r="R319" s="776"/>
      <c r="S319" s="776"/>
    </row>
    <row r="320" spans="1:19" s="592" customFormat="1">
      <c r="A320" s="776"/>
      <c r="B320" s="776"/>
      <c r="C320" s="776"/>
      <c r="D320" s="776"/>
      <c r="E320" s="776"/>
      <c r="F320" s="776"/>
      <c r="G320" s="776"/>
      <c r="H320" s="776"/>
      <c r="I320" s="776"/>
      <c r="J320" s="776"/>
      <c r="K320" s="776"/>
      <c r="L320" s="776"/>
      <c r="M320" s="776"/>
      <c r="N320" s="776"/>
      <c r="O320" s="776"/>
      <c r="P320" s="776"/>
      <c r="Q320" s="50"/>
      <c r="R320" s="776"/>
      <c r="S320" s="776"/>
    </row>
    <row r="321" spans="1:17" s="443" customFormat="1" ht="19.5">
      <c r="A321" s="776"/>
      <c r="B321" s="776"/>
      <c r="C321" s="776"/>
      <c r="D321" s="776"/>
      <c r="E321" s="776"/>
      <c r="F321" s="776"/>
      <c r="G321" s="776"/>
      <c r="H321" s="776"/>
      <c r="I321" s="572" t="s">
        <v>20</v>
      </c>
      <c r="J321" s="776"/>
      <c r="K321" s="776"/>
      <c r="L321" s="776"/>
      <c r="M321" s="776"/>
      <c r="N321" s="776"/>
      <c r="O321" s="776"/>
      <c r="P321" s="776"/>
      <c r="Q321" s="50"/>
    </row>
    <row r="322" spans="1:17" s="443" customFormat="1">
      <c r="A322" s="776"/>
      <c r="B322" s="776"/>
      <c r="C322" s="776"/>
      <c r="D322" s="776"/>
      <c r="E322" s="776"/>
      <c r="F322" s="776"/>
      <c r="G322" s="776"/>
      <c r="H322" s="776"/>
      <c r="I322" s="776"/>
      <c r="J322" s="776"/>
      <c r="K322" s="776"/>
      <c r="L322" s="776"/>
      <c r="M322" s="776"/>
      <c r="N322" s="776"/>
      <c r="O322" s="776"/>
      <c r="P322" s="776"/>
      <c r="Q322" s="50"/>
    </row>
    <row r="323" spans="1:17" s="443" customFormat="1">
      <c r="A323" s="776"/>
      <c r="B323" s="776"/>
      <c r="C323" s="776"/>
      <c r="D323" s="776"/>
      <c r="E323" s="776"/>
      <c r="F323" s="776"/>
      <c r="G323" s="776"/>
      <c r="H323" s="776"/>
      <c r="I323" s="776"/>
      <c r="J323" s="776"/>
      <c r="K323" s="776"/>
      <c r="L323" s="776"/>
      <c r="M323" s="776"/>
      <c r="N323" s="776"/>
      <c r="O323" s="776"/>
      <c r="P323" s="776"/>
      <c r="Q323" s="50"/>
    </row>
    <row r="324" spans="1:17" s="443" customFormat="1">
      <c r="A324" s="776"/>
      <c r="B324" s="776"/>
      <c r="C324" s="776"/>
      <c r="D324" s="776"/>
      <c r="E324" s="776"/>
      <c r="F324" s="776"/>
      <c r="G324" s="776"/>
      <c r="H324" s="776"/>
      <c r="I324" s="776"/>
      <c r="J324" s="776"/>
      <c r="K324" s="776"/>
      <c r="L324" s="776"/>
      <c r="M324" s="776"/>
      <c r="N324" s="776"/>
      <c r="O324" s="776"/>
      <c r="P324" s="776"/>
      <c r="Q324" s="50"/>
    </row>
    <row r="325" spans="1:17" s="443" customFormat="1">
      <c r="A325" s="776"/>
      <c r="B325" s="776"/>
      <c r="C325" s="776"/>
      <c r="D325" s="776"/>
      <c r="E325" s="776"/>
      <c r="F325" s="776"/>
      <c r="G325" s="776"/>
      <c r="H325" s="776"/>
      <c r="I325" s="776"/>
      <c r="J325" s="776"/>
      <c r="K325" s="776"/>
      <c r="L325" s="776"/>
      <c r="M325" s="776"/>
      <c r="N325" s="776"/>
      <c r="O325" s="776"/>
      <c r="P325" s="776"/>
      <c r="Q325" s="50"/>
    </row>
    <row r="326" spans="1:17" s="443" customFormat="1">
      <c r="A326" s="776"/>
      <c r="B326" s="776"/>
      <c r="C326" s="776"/>
      <c r="D326" s="776"/>
      <c r="E326" s="776"/>
      <c r="F326" s="776"/>
      <c r="G326" s="776"/>
      <c r="H326" s="776"/>
      <c r="I326" s="776"/>
      <c r="J326" s="776"/>
      <c r="K326" s="776"/>
      <c r="L326" s="776"/>
      <c r="M326" s="776"/>
      <c r="N326" s="776"/>
      <c r="O326" s="776"/>
      <c r="P326" s="776"/>
      <c r="Q326" s="50"/>
    </row>
    <row r="327" spans="1:17" s="443" customFormat="1">
      <c r="A327" s="776"/>
      <c r="B327" s="776"/>
      <c r="C327" s="776"/>
      <c r="D327" s="776"/>
      <c r="E327" s="776"/>
      <c r="F327" s="776"/>
      <c r="G327" s="776"/>
      <c r="H327" s="776"/>
      <c r="I327" s="776"/>
      <c r="J327" s="776"/>
      <c r="K327" s="776"/>
      <c r="L327" s="776"/>
      <c r="M327" s="776"/>
      <c r="N327" s="776"/>
      <c r="O327" s="776"/>
      <c r="P327" s="776"/>
      <c r="Q327" s="50"/>
    </row>
    <row r="328" spans="1:17" s="443" customFormat="1">
      <c r="A328" s="776"/>
      <c r="B328" s="776"/>
      <c r="C328" s="776"/>
      <c r="D328" s="776"/>
      <c r="E328" s="776"/>
      <c r="F328" s="776"/>
      <c r="G328" s="776"/>
      <c r="H328" s="776"/>
      <c r="I328" s="776"/>
      <c r="J328" s="776"/>
      <c r="K328" s="776"/>
      <c r="L328" s="776"/>
      <c r="M328" s="776"/>
      <c r="N328" s="776"/>
      <c r="O328" s="776"/>
      <c r="P328" s="776"/>
      <c r="Q328" s="50"/>
    </row>
    <row r="329" spans="1:17" s="443" customFormat="1">
      <c r="A329" s="776"/>
      <c r="B329" s="776"/>
      <c r="C329" s="776"/>
      <c r="D329" s="776"/>
      <c r="E329" s="776"/>
      <c r="F329" s="776"/>
      <c r="G329" s="776"/>
      <c r="H329" s="776"/>
      <c r="I329" s="776"/>
      <c r="J329" s="776"/>
      <c r="K329" s="776"/>
      <c r="L329" s="776"/>
      <c r="M329" s="776"/>
      <c r="N329" s="776"/>
      <c r="O329" s="776"/>
      <c r="P329" s="776"/>
      <c r="Q329" s="50"/>
    </row>
    <row r="330" spans="1:17" s="443" customFormat="1">
      <c r="A330" s="776"/>
      <c r="B330" s="776"/>
      <c r="C330" s="776"/>
      <c r="D330" s="776"/>
      <c r="E330" s="776"/>
      <c r="F330" s="776"/>
      <c r="G330" s="776"/>
      <c r="H330" s="776"/>
      <c r="I330" s="776"/>
      <c r="J330" s="776"/>
      <c r="K330" s="776"/>
      <c r="L330" s="776"/>
      <c r="M330" s="776"/>
      <c r="N330" s="776"/>
      <c r="O330" s="776"/>
      <c r="P330" s="776"/>
      <c r="Q330" s="50"/>
    </row>
    <row r="331" spans="1:17" s="443" customFormat="1" ht="13.5">
      <c r="A331" s="776"/>
      <c r="B331" s="776"/>
      <c r="C331" s="776"/>
      <c r="D331" s="776"/>
      <c r="E331" s="776"/>
      <c r="F331" s="776"/>
      <c r="G331" s="776"/>
      <c r="H331" s="618">
        <v>42790</v>
      </c>
      <c r="I331" s="776"/>
      <c r="J331" s="776"/>
      <c r="K331" s="776"/>
      <c r="L331" s="776"/>
      <c r="M331" s="776"/>
      <c r="N331" s="776"/>
      <c r="O331" s="776"/>
      <c r="P331" s="776"/>
      <c r="Q331" s="50"/>
    </row>
    <row r="332" spans="1:17" s="443" customFormat="1">
      <c r="A332" s="776"/>
      <c r="B332" s="776"/>
      <c r="C332" s="776"/>
      <c r="D332" s="776"/>
      <c r="E332" s="776"/>
      <c r="F332" s="776"/>
      <c r="G332" s="776"/>
      <c r="H332" s="776"/>
      <c r="I332" s="776"/>
      <c r="J332" s="776"/>
      <c r="K332" s="776"/>
      <c r="L332" s="776"/>
      <c r="M332" s="776"/>
      <c r="N332" s="776"/>
      <c r="O332" s="776"/>
      <c r="P332" s="776"/>
      <c r="Q332" s="50"/>
    </row>
    <row r="333" spans="1:17" s="443" customFormat="1">
      <c r="A333" s="776"/>
      <c r="B333" s="776"/>
      <c r="C333" s="776"/>
      <c r="D333" s="776"/>
      <c r="E333" s="776"/>
      <c r="F333" s="776"/>
      <c r="G333" s="776"/>
      <c r="H333" s="776"/>
      <c r="I333" s="776"/>
      <c r="J333" s="776"/>
      <c r="K333" s="776"/>
      <c r="L333" s="776"/>
      <c r="M333" s="776"/>
      <c r="N333" s="776"/>
      <c r="O333" s="776"/>
      <c r="P333" s="776"/>
      <c r="Q333" s="50"/>
    </row>
    <row r="334" spans="1:17" s="443" customFormat="1">
      <c r="A334" s="776"/>
      <c r="B334" s="776"/>
      <c r="C334" s="776"/>
      <c r="D334" s="776"/>
      <c r="E334" s="776"/>
      <c r="F334" s="776"/>
      <c r="G334" s="776"/>
      <c r="H334" s="776"/>
      <c r="I334" s="776"/>
      <c r="J334" s="776"/>
      <c r="K334" s="776"/>
      <c r="L334" s="776"/>
      <c r="M334" s="776"/>
      <c r="N334" s="776"/>
      <c r="O334" s="776"/>
      <c r="P334" s="776"/>
      <c r="Q334" s="50"/>
    </row>
    <row r="335" spans="1:17" s="361" customFormat="1">
      <c r="A335" s="776"/>
      <c r="B335" s="776"/>
      <c r="C335" s="346"/>
      <c r="D335" s="346"/>
      <c r="E335" s="346"/>
      <c r="F335" s="346"/>
      <c r="G335" s="776"/>
      <c r="H335" s="80"/>
      <c r="I335" s="80"/>
      <c r="J335" s="776"/>
      <c r="K335" s="776"/>
      <c r="L335" s="776"/>
      <c r="M335" s="776"/>
      <c r="N335" s="776"/>
      <c r="O335" s="776"/>
      <c r="P335" s="776"/>
      <c r="Q335" s="776"/>
    </row>
    <row r="336" spans="1:17" s="592" customFormat="1">
      <c r="A336" s="776"/>
      <c r="B336" s="776"/>
      <c r="C336" s="346"/>
      <c r="D336" s="346"/>
      <c r="E336" s="346"/>
      <c r="F336" s="346"/>
      <c r="G336" s="776"/>
      <c r="H336" s="80"/>
      <c r="I336" s="80"/>
      <c r="J336" s="776"/>
      <c r="K336" s="776"/>
      <c r="L336" s="776"/>
      <c r="M336" s="776"/>
      <c r="N336" s="776"/>
      <c r="O336" s="776"/>
      <c r="P336" s="776"/>
      <c r="Q336" s="776"/>
    </row>
    <row r="337" spans="1:13" s="361" customFormat="1">
      <c r="A337" s="776"/>
      <c r="B337" s="1" t="s">
        <v>956</v>
      </c>
      <c r="C337" s="346"/>
      <c r="D337" s="346"/>
      <c r="E337" s="346"/>
      <c r="F337" s="346"/>
      <c r="G337" s="346"/>
      <c r="H337" s="346"/>
      <c r="I337" s="776"/>
      <c r="J337" s="80"/>
      <c r="K337" s="80"/>
      <c r="L337" s="776"/>
      <c r="M337" s="776"/>
    </row>
    <row r="338" spans="1:13" s="457" customFormat="1">
      <c r="A338" s="776"/>
      <c r="B338" s="776"/>
      <c r="C338" s="776"/>
      <c r="D338" s="776"/>
      <c r="E338" s="776"/>
      <c r="F338" s="776"/>
      <c r="G338" s="776"/>
      <c r="H338" s="776"/>
      <c r="I338" s="776"/>
      <c r="J338" s="776"/>
      <c r="K338" s="776"/>
      <c r="L338" s="776"/>
      <c r="M338" s="776"/>
    </row>
    <row r="339" spans="1:13" s="457" customFormat="1">
      <c r="A339" s="776"/>
      <c r="B339" s="23" t="s">
        <v>957</v>
      </c>
      <c r="C339" s="16" t="e">
        <f>TSR!#REF!</f>
        <v>#REF!</v>
      </c>
      <c r="D339" s="16" t="e">
        <f t="shared" ref="D339:L339" si="25">C339+1</f>
        <v>#REF!</v>
      </c>
      <c r="E339" s="16" t="e">
        <f t="shared" si="25"/>
        <v>#REF!</v>
      </c>
      <c r="F339" s="16" t="e">
        <f t="shared" si="25"/>
        <v>#REF!</v>
      </c>
      <c r="G339" s="16" t="e">
        <f t="shared" si="25"/>
        <v>#REF!</v>
      </c>
      <c r="H339" s="16" t="e">
        <f t="shared" si="25"/>
        <v>#REF!</v>
      </c>
      <c r="I339" s="16" t="e">
        <f t="shared" si="25"/>
        <v>#REF!</v>
      </c>
      <c r="J339" s="16" t="e">
        <f t="shared" si="25"/>
        <v>#REF!</v>
      </c>
      <c r="K339" s="16" t="e">
        <f t="shared" si="25"/>
        <v>#REF!</v>
      </c>
      <c r="L339" s="16" t="e">
        <f t="shared" si="25"/>
        <v>#REF!</v>
      </c>
      <c r="M339" s="776"/>
    </row>
    <row r="340" spans="1:13" s="457" customFormat="1">
      <c r="A340" s="776"/>
      <c r="B340" s="23" t="s">
        <v>958</v>
      </c>
      <c r="C340" s="444" t="e">
        <f>TSR!V14</f>
        <v>#REF!</v>
      </c>
      <c r="D340" s="444" t="e">
        <f>TSR!V17</f>
        <v>#REF!</v>
      </c>
      <c r="E340" s="444" t="e">
        <f>TSR!V20</f>
        <v>#REF!</v>
      </c>
      <c r="F340" s="444" t="e">
        <f>TSR!V23</f>
        <v>#REF!</v>
      </c>
      <c r="G340" s="444" t="e">
        <f>TSR!V26</f>
        <v>#REF!</v>
      </c>
      <c r="H340" s="444" t="e">
        <f>TSR!V29</f>
        <v>#REF!</v>
      </c>
      <c r="I340" s="444" t="e">
        <f>TSR!V32</f>
        <v>#REF!</v>
      </c>
      <c r="J340" s="444" t="e">
        <f>TSR!V35</f>
        <v>#REF!</v>
      </c>
      <c r="K340" s="444" t="e">
        <f>TSR!V38</f>
        <v>#REF!</v>
      </c>
      <c r="L340" s="444" t="e">
        <f>TSR!V41</f>
        <v>#REF!</v>
      </c>
      <c r="M340" s="776" t="s">
        <v>959</v>
      </c>
    </row>
    <row r="341" spans="1:13" s="457" customFormat="1">
      <c r="A341" s="776"/>
      <c r="B341" s="346"/>
      <c r="C341" s="346"/>
      <c r="D341" s="346"/>
      <c r="E341" s="346"/>
      <c r="F341" s="346"/>
      <c r="G341" s="346"/>
      <c r="H341" s="346"/>
      <c r="I341" s="776"/>
      <c r="J341" s="80"/>
      <c r="K341" s="80"/>
      <c r="L341" s="776"/>
      <c r="M341" s="776"/>
    </row>
    <row r="342" spans="1:13" s="443" customFormat="1">
      <c r="A342" s="776"/>
      <c r="B342" s="482" t="s">
        <v>20</v>
      </c>
      <c r="C342" s="776"/>
      <c r="D342" s="776"/>
      <c r="E342" s="776"/>
      <c r="F342" s="776"/>
      <c r="G342" s="776"/>
      <c r="H342" s="776"/>
      <c r="I342" s="776"/>
      <c r="J342" s="776"/>
      <c r="K342" s="776"/>
      <c r="L342" s="776"/>
      <c r="M342" s="776"/>
    </row>
    <row r="343" spans="1:13" s="443" customFormat="1">
      <c r="A343" s="776"/>
      <c r="B343" s="450" t="s">
        <v>960</v>
      </c>
      <c r="C343" s="16">
        <f>TSR!I43</f>
        <v>2007</v>
      </c>
      <c r="D343" s="16">
        <f t="shared" ref="D343:L343" si="26">C343+1</f>
        <v>2008</v>
      </c>
      <c r="E343" s="16">
        <f t="shared" si="26"/>
        <v>2009</v>
      </c>
      <c r="F343" s="16">
        <f t="shared" si="26"/>
        <v>2010</v>
      </c>
      <c r="G343" s="16">
        <f t="shared" si="26"/>
        <v>2011</v>
      </c>
      <c r="H343" s="16">
        <f t="shared" si="26"/>
        <v>2012</v>
      </c>
      <c r="I343" s="16">
        <f t="shared" si="26"/>
        <v>2013</v>
      </c>
      <c r="J343" s="16">
        <f t="shared" si="26"/>
        <v>2014</v>
      </c>
      <c r="K343" s="16">
        <f t="shared" si="26"/>
        <v>2015</v>
      </c>
      <c r="L343" s="16">
        <f t="shared" si="26"/>
        <v>2016</v>
      </c>
      <c r="M343" s="16">
        <v>2017</v>
      </c>
    </row>
    <row r="344" spans="1:13" s="443" customFormat="1">
      <c r="A344" s="776"/>
      <c r="B344" s="450" t="s">
        <v>20</v>
      </c>
      <c r="C344" s="444" t="e">
        <f>TSR!I10</f>
        <v>#REF!</v>
      </c>
      <c r="D344" s="444" t="e">
        <f>TSR!J10</f>
        <v>#REF!</v>
      </c>
      <c r="E344" s="444" t="e">
        <f>TSR!K10</f>
        <v>#REF!</v>
      </c>
      <c r="F344" s="444" t="e">
        <f>TSR!L10</f>
        <v>#REF!</v>
      </c>
      <c r="G344" s="444" t="e">
        <f>TSR!M10</f>
        <v>#REF!</v>
      </c>
      <c r="H344" s="444" t="e">
        <f>TSR!N10</f>
        <v>#REF!</v>
      </c>
      <c r="I344" s="444" t="e">
        <f>TSR!O10</f>
        <v>#REF!</v>
      </c>
      <c r="J344" s="444" t="e">
        <f>TSR!P10</f>
        <v>#REF!</v>
      </c>
      <c r="K344" s="444" t="e">
        <f>TSR!Q10</f>
        <v>#REF!</v>
      </c>
      <c r="L344" s="444" t="e">
        <f>TSR!R10</f>
        <v>#REF!</v>
      </c>
      <c r="M344" s="776"/>
    </row>
    <row r="345" spans="1:13" s="445" customFormat="1">
      <c r="A345" s="776"/>
      <c r="B345" s="450"/>
      <c r="C345" s="444"/>
      <c r="D345" s="444"/>
      <c r="E345" s="444"/>
      <c r="F345" s="444"/>
      <c r="G345" s="444"/>
      <c r="H345" s="444"/>
      <c r="I345" s="444"/>
      <c r="J345" s="444"/>
      <c r="K345" s="444"/>
      <c r="L345" s="444"/>
      <c r="M345" s="776"/>
    </row>
    <row r="346" spans="1:13" s="443" customFormat="1">
      <c r="A346" s="776"/>
      <c r="B346" s="41" t="s">
        <v>654</v>
      </c>
      <c r="C346" s="10"/>
      <c r="D346" s="10"/>
      <c r="E346" s="346"/>
      <c r="F346" s="346"/>
      <c r="G346" s="346"/>
      <c r="H346" s="346"/>
      <c r="I346" s="346"/>
      <c r="J346" s="346"/>
      <c r="K346" s="346"/>
      <c r="L346" s="346"/>
      <c r="M346" s="776"/>
    </row>
    <row r="347" spans="1:13" s="443" customFormat="1">
      <c r="A347" s="776"/>
      <c r="B347" s="41" t="s">
        <v>653</v>
      </c>
      <c r="C347" s="16" t="e">
        <f>TSR!#REF!</f>
        <v>#REF!</v>
      </c>
      <c r="D347" s="16" t="e">
        <f>TSR!#REF!</f>
        <v>#REF!</v>
      </c>
      <c r="E347" s="16" t="e">
        <f>TSR!#REF!</f>
        <v>#REF!</v>
      </c>
      <c r="F347" s="16" t="e">
        <f>TSR!#REF!</f>
        <v>#REF!</v>
      </c>
      <c r="G347" s="16" t="e">
        <f>TSR!#REF!</f>
        <v>#REF!</v>
      </c>
      <c r="H347" s="16" t="e">
        <f>TSR!#REF!</f>
        <v>#REF!</v>
      </c>
      <c r="I347" s="16" t="e">
        <f>TSR!#REF!</f>
        <v>#REF!</v>
      </c>
      <c r="J347" s="16" t="e">
        <f>TSR!#REF!</f>
        <v>#REF!</v>
      </c>
      <c r="K347" s="16" t="e">
        <f>TSR!#REF!</f>
        <v>#REF!</v>
      </c>
      <c r="L347" s="16" t="e">
        <f>TSR!#REF!</f>
        <v>#REF!</v>
      </c>
      <c r="M347" s="16">
        <v>2017</v>
      </c>
    </row>
    <row r="348" spans="1:13" s="445" customFormat="1">
      <c r="A348" s="776"/>
      <c r="B348" s="41" t="s">
        <v>840</v>
      </c>
      <c r="C348" s="453">
        <v>6.1</v>
      </c>
      <c r="D348" s="453">
        <v>3.22</v>
      </c>
      <c r="E348" s="453">
        <v>3.99</v>
      </c>
      <c r="F348" s="453">
        <v>3.53</v>
      </c>
      <c r="G348" s="453">
        <v>3.54</v>
      </c>
      <c r="H348" s="453">
        <v>2.6</v>
      </c>
      <c r="I348" s="453">
        <v>3.92</v>
      </c>
      <c r="J348" s="453">
        <v>3.17</v>
      </c>
      <c r="K348" s="453">
        <v>2.57</v>
      </c>
      <c r="L348" s="453">
        <v>2.8</v>
      </c>
      <c r="M348" s="454">
        <v>2.63</v>
      </c>
    </row>
    <row r="349" spans="1:13" s="445" customFormat="1">
      <c r="A349" s="776"/>
      <c r="B349" s="450" t="s">
        <v>911</v>
      </c>
      <c r="C349" s="452" t="e">
        <f>TSR!I6</f>
        <v>#REF!</v>
      </c>
      <c r="D349" s="452" t="e">
        <f>TSR!J6</f>
        <v>#REF!</v>
      </c>
      <c r="E349" s="452" t="e">
        <f>TSR!K6</f>
        <v>#REF!</v>
      </c>
      <c r="F349" s="452" t="e">
        <f>TSR!L6</f>
        <v>#REF!</v>
      </c>
      <c r="G349" s="452" t="e">
        <f>TSR!M6</f>
        <v>#REF!</v>
      </c>
      <c r="H349" s="452" t="e">
        <f>TSR!N6</f>
        <v>#REF!</v>
      </c>
      <c r="I349" s="452" t="e">
        <f>TSR!O6</f>
        <v>#REF!</v>
      </c>
      <c r="J349" s="452" t="e">
        <f>TSR!P6</f>
        <v>#REF!</v>
      </c>
      <c r="K349" s="452" t="e">
        <f>TSR!Q6</f>
        <v>#REF!</v>
      </c>
      <c r="L349" s="452" t="e">
        <f>TSR!R6</f>
        <v>#REF!</v>
      </c>
      <c r="M349" s="454" t="e">
        <f>#REF!</f>
        <v>#REF!</v>
      </c>
    </row>
    <row r="350" spans="1:13" s="445" customFormat="1">
      <c r="A350" s="776"/>
      <c r="B350" s="51"/>
      <c r="C350" s="10"/>
      <c r="D350" s="10"/>
      <c r="E350" s="346"/>
      <c r="F350" s="346"/>
      <c r="G350" s="346"/>
      <c r="H350" s="346"/>
      <c r="I350" s="346"/>
      <c r="J350" s="346"/>
      <c r="K350" s="346"/>
      <c r="L350" s="346"/>
      <c r="M350" s="776"/>
    </row>
    <row r="351" spans="1:13" s="445" customFormat="1">
      <c r="A351" s="776"/>
      <c r="B351" s="435" t="s">
        <v>911</v>
      </c>
      <c r="C351" s="10"/>
      <c r="D351" s="10"/>
      <c r="E351" s="346"/>
      <c r="F351" s="346"/>
      <c r="G351" s="346"/>
      <c r="H351" s="346"/>
      <c r="I351" s="346"/>
      <c r="J351" s="346"/>
      <c r="K351" s="346"/>
      <c r="L351" s="346"/>
      <c r="M351" s="776"/>
    </row>
    <row r="352" spans="1:13" s="445" customFormat="1">
      <c r="A352" s="776"/>
      <c r="B352" s="435" t="s">
        <v>957</v>
      </c>
      <c r="C352" s="16">
        <f>TSR!I43</f>
        <v>2007</v>
      </c>
      <c r="D352" s="16">
        <f>TSR!J43</f>
        <v>2008</v>
      </c>
      <c r="E352" s="16">
        <f>TSR!K43</f>
        <v>2009</v>
      </c>
      <c r="F352" s="16">
        <f>TSR!L43</f>
        <v>2010</v>
      </c>
      <c r="G352" s="16">
        <f>TSR!M43</f>
        <v>2011</v>
      </c>
      <c r="H352" s="16">
        <f>TSR!N43</f>
        <v>2012</v>
      </c>
      <c r="I352" s="16">
        <f>TSR!O43</f>
        <v>2013</v>
      </c>
      <c r="J352" s="16">
        <f>TSR!P43</f>
        <v>2014</v>
      </c>
      <c r="K352" s="16">
        <f>TSR!Q43</f>
        <v>2015</v>
      </c>
      <c r="L352" s="16">
        <f>TSR!R43</f>
        <v>2016</v>
      </c>
      <c r="M352" s="776"/>
    </row>
    <row r="353" spans="1:23" s="445" customFormat="1">
      <c r="A353" s="776"/>
      <c r="B353" s="435" t="s">
        <v>20</v>
      </c>
      <c r="C353" s="35" t="e">
        <f>TSR!I46</f>
        <v>#REF!</v>
      </c>
      <c r="D353" s="35" t="e">
        <f>TSR!J46</f>
        <v>#REF!</v>
      </c>
      <c r="E353" s="35" t="e">
        <f>TSR!K46</f>
        <v>#REF!</v>
      </c>
      <c r="F353" s="35" t="e">
        <f>TSR!L46</f>
        <v>#REF!</v>
      </c>
      <c r="G353" s="35" t="e">
        <f>TSR!M46</f>
        <v>#REF!</v>
      </c>
      <c r="H353" s="35" t="e">
        <f>TSR!N46</f>
        <v>#REF!</v>
      </c>
      <c r="I353" s="35" t="e">
        <f>TSR!O46</f>
        <v>#REF!</v>
      </c>
      <c r="J353" s="35" t="e">
        <f>TSR!P46</f>
        <v>#REF!</v>
      </c>
      <c r="K353" s="35" t="e">
        <f>TSR!Q46</f>
        <v>#REF!</v>
      </c>
      <c r="L353" s="35" t="e">
        <f>TSR!R46</f>
        <v>#REF!</v>
      </c>
      <c r="M353" s="776"/>
      <c r="N353" s="776"/>
      <c r="O353" s="776"/>
      <c r="P353" s="776"/>
      <c r="Q353" s="776"/>
      <c r="R353" s="776"/>
      <c r="S353" s="776"/>
      <c r="T353" s="776"/>
      <c r="U353" s="776"/>
      <c r="V353" s="776"/>
      <c r="W353" s="776"/>
    </row>
    <row r="354" spans="1:23" s="445" customFormat="1">
      <c r="A354" s="776"/>
      <c r="B354" s="435" t="s">
        <v>661</v>
      </c>
      <c r="C354" s="35" t="e">
        <f>TSR!U47</f>
        <v>#REF!</v>
      </c>
      <c r="D354" s="35" t="e">
        <f t="shared" ref="D354:L354" si="27">C354</f>
        <v>#REF!</v>
      </c>
      <c r="E354" s="35" t="e">
        <f t="shared" si="27"/>
        <v>#REF!</v>
      </c>
      <c r="F354" s="35" t="e">
        <f t="shared" si="27"/>
        <v>#REF!</v>
      </c>
      <c r="G354" s="35" t="e">
        <f t="shared" si="27"/>
        <v>#REF!</v>
      </c>
      <c r="H354" s="35" t="e">
        <f t="shared" si="27"/>
        <v>#REF!</v>
      </c>
      <c r="I354" s="35" t="e">
        <f t="shared" si="27"/>
        <v>#REF!</v>
      </c>
      <c r="J354" s="35" t="e">
        <f t="shared" si="27"/>
        <v>#REF!</v>
      </c>
      <c r="K354" s="35" t="e">
        <f t="shared" si="27"/>
        <v>#REF!</v>
      </c>
      <c r="L354" s="35" t="e">
        <f t="shared" si="27"/>
        <v>#REF!</v>
      </c>
      <c r="M354" s="776"/>
      <c r="N354" s="776"/>
      <c r="O354" s="776"/>
      <c r="P354" s="776"/>
      <c r="Q354" s="776"/>
      <c r="R354" s="776"/>
      <c r="S354" s="776"/>
      <c r="T354" s="776"/>
      <c r="U354" s="776"/>
      <c r="V354" s="776"/>
      <c r="W354" s="776"/>
    </row>
    <row r="355" spans="1:23" s="445" customFormat="1">
      <c r="A355" s="776"/>
      <c r="B355" s="10"/>
      <c r="C355" s="451" t="e">
        <f t="shared" ref="C355:L355" si="28">C353-C354</f>
        <v>#REF!</v>
      </c>
      <c r="D355" s="451" t="e">
        <f t="shared" si="28"/>
        <v>#REF!</v>
      </c>
      <c r="E355" s="451" t="e">
        <f t="shared" si="28"/>
        <v>#REF!</v>
      </c>
      <c r="F355" s="451" t="e">
        <f t="shared" si="28"/>
        <v>#REF!</v>
      </c>
      <c r="G355" s="451" t="e">
        <f t="shared" si="28"/>
        <v>#REF!</v>
      </c>
      <c r="H355" s="451" t="e">
        <f t="shared" si="28"/>
        <v>#REF!</v>
      </c>
      <c r="I355" s="451" t="e">
        <f t="shared" si="28"/>
        <v>#REF!</v>
      </c>
      <c r="J355" s="451" t="e">
        <f t="shared" si="28"/>
        <v>#REF!</v>
      </c>
      <c r="K355" s="451" t="e">
        <f t="shared" si="28"/>
        <v>#REF!</v>
      </c>
      <c r="L355" s="451" t="e">
        <f t="shared" si="28"/>
        <v>#REF!</v>
      </c>
      <c r="M355" s="776"/>
      <c r="N355" s="776"/>
      <c r="O355" s="776"/>
      <c r="P355" s="776"/>
      <c r="Q355" s="776"/>
      <c r="R355" s="776"/>
      <c r="S355" s="776"/>
      <c r="T355" s="776"/>
      <c r="U355" s="776"/>
      <c r="V355" s="776"/>
      <c r="W355" s="776"/>
    </row>
    <row r="356" spans="1:23" s="592" customFormat="1">
      <c r="A356" s="776"/>
      <c r="B356" s="10"/>
      <c r="C356" s="451"/>
      <c r="D356" s="451"/>
      <c r="E356" s="451"/>
      <c r="F356" s="451"/>
      <c r="G356" s="451"/>
      <c r="H356" s="451"/>
      <c r="I356" s="451"/>
      <c r="J356" s="451"/>
      <c r="K356" s="451"/>
      <c r="L356" s="451"/>
      <c r="M356" s="776"/>
      <c r="N356" s="776"/>
      <c r="O356" s="776"/>
      <c r="P356" s="776"/>
      <c r="Q356" s="776"/>
      <c r="R356" s="776"/>
      <c r="S356" s="776"/>
      <c r="T356" s="776"/>
      <c r="U356" s="776"/>
      <c r="V356" s="776"/>
      <c r="W356" s="776"/>
    </row>
    <row r="357" spans="1:23" s="361" customFormat="1">
      <c r="A357" s="13"/>
      <c r="B357" s="531" t="s">
        <v>961</v>
      </c>
      <c r="C357" s="44"/>
      <c r="D357" s="44"/>
      <c r="E357" s="44"/>
      <c r="F357" s="481"/>
      <c r="G357" s="481"/>
      <c r="H357" s="172"/>
      <c r="I357" s="346"/>
      <c r="J357" s="346"/>
      <c r="K357" s="346"/>
      <c r="L357" s="346"/>
      <c r="M357" s="346"/>
      <c r="N357" s="346"/>
      <c r="O357" s="80"/>
      <c r="P357" s="776"/>
      <c r="Q357" s="776"/>
      <c r="R357" s="776"/>
      <c r="S357" s="776"/>
      <c r="T357" s="776"/>
      <c r="U357" s="776"/>
      <c r="V357" s="776"/>
      <c r="W357" s="776"/>
    </row>
    <row r="358" spans="1:23" s="592" customFormat="1">
      <c r="A358" s="13"/>
      <c r="B358" s="30"/>
      <c r="C358" s="13"/>
      <c r="D358" s="13"/>
      <c r="E358" s="13"/>
      <c r="F358" s="530"/>
      <c r="G358" s="530"/>
      <c r="H358" s="172"/>
      <c r="I358" s="346"/>
      <c r="J358" s="346"/>
      <c r="K358" s="346"/>
      <c r="L358" s="346"/>
      <c r="M358" s="346"/>
      <c r="N358" s="346"/>
      <c r="O358" s="80"/>
      <c r="P358" s="776"/>
      <c r="Q358" s="776"/>
      <c r="R358" s="776"/>
      <c r="S358" s="776"/>
      <c r="T358" s="776"/>
      <c r="U358" s="776"/>
      <c r="V358" s="776"/>
      <c r="W358" s="776"/>
    </row>
    <row r="359" spans="1:23" s="361" customFormat="1" ht="19.5">
      <c r="A359" s="13"/>
      <c r="B359" s="572" t="s">
        <v>962</v>
      </c>
      <c r="C359" s="13"/>
      <c r="D359" s="13"/>
      <c r="E359" s="13"/>
      <c r="F359" s="13"/>
      <c r="G359" s="13"/>
      <c r="H359" s="172"/>
      <c r="I359" s="346"/>
      <c r="J359" s="346"/>
      <c r="K359" s="346"/>
      <c r="L359" s="346"/>
      <c r="M359" s="346"/>
      <c r="N359" s="346"/>
      <c r="O359" s="80"/>
      <c r="P359" s="776"/>
      <c r="Q359" s="80"/>
      <c r="R359" s="776"/>
      <c r="S359" s="776"/>
      <c r="T359" s="776"/>
      <c r="U359" s="776"/>
      <c r="V359" s="776"/>
      <c r="W359" s="776"/>
    </row>
    <row r="360" spans="1:23" s="361" customFormat="1">
      <c r="A360" s="13"/>
      <c r="B360" s="13"/>
      <c r="C360" s="13"/>
      <c r="D360" s="13"/>
      <c r="E360" s="13"/>
      <c r="F360" s="13"/>
      <c r="G360" s="13"/>
      <c r="H360" s="172"/>
      <c r="I360" s="346"/>
      <c r="J360" s="346"/>
      <c r="K360" s="346"/>
      <c r="L360" s="346"/>
      <c r="M360" s="346"/>
      <c r="N360" s="346"/>
      <c r="O360" s="346"/>
      <c r="P360" s="776"/>
      <c r="Q360" s="80"/>
      <c r="R360" s="776"/>
      <c r="S360" s="776"/>
      <c r="T360" s="776"/>
      <c r="U360" s="776"/>
      <c r="V360" s="776"/>
      <c r="W360" s="776"/>
    </row>
    <row r="361" spans="1:23" s="361" customFormat="1">
      <c r="A361" s="13"/>
      <c r="B361" s="13"/>
      <c r="C361" s="13"/>
      <c r="D361" s="13"/>
      <c r="E361" s="13"/>
      <c r="F361" s="13"/>
      <c r="G361" s="13"/>
      <c r="H361" s="172"/>
      <c r="I361" s="346"/>
      <c r="J361" s="346"/>
      <c r="K361" s="346"/>
      <c r="L361" s="346"/>
      <c r="M361" s="346"/>
      <c r="N361" s="346"/>
      <c r="O361" s="776"/>
      <c r="P361" s="80"/>
      <c r="Q361" s="776"/>
      <c r="R361" s="776"/>
      <c r="S361" s="776"/>
      <c r="T361" s="776"/>
      <c r="U361" s="776"/>
      <c r="V361" s="776"/>
      <c r="W361" s="776"/>
    </row>
    <row r="362" spans="1:23" s="361" customFormat="1">
      <c r="A362" s="13"/>
      <c r="B362" s="13"/>
      <c r="C362" s="13"/>
      <c r="D362" s="13"/>
      <c r="E362" s="13"/>
      <c r="F362" s="13"/>
      <c r="G362" s="13"/>
      <c r="H362" s="172"/>
      <c r="I362" s="346"/>
      <c r="J362" s="346"/>
      <c r="K362" s="346"/>
      <c r="L362" s="346"/>
      <c r="M362" s="346"/>
      <c r="N362" s="346"/>
      <c r="O362" s="776"/>
      <c r="P362" s="80"/>
      <c r="Q362" s="776"/>
      <c r="R362" s="776"/>
      <c r="S362" s="776"/>
      <c r="T362" s="776"/>
      <c r="U362" s="776"/>
      <c r="V362" s="776"/>
      <c r="W362" s="776"/>
    </row>
    <row r="363" spans="1:23" s="361" customFormat="1">
      <c r="A363" s="13"/>
      <c r="B363" s="13"/>
      <c r="C363" s="13"/>
      <c r="D363" s="13"/>
      <c r="E363" s="13"/>
      <c r="F363" s="13"/>
      <c r="G363" s="13"/>
      <c r="H363" s="172"/>
      <c r="I363" s="346"/>
      <c r="J363" s="346"/>
      <c r="K363" s="346"/>
      <c r="L363" s="346"/>
      <c r="M363" s="346"/>
      <c r="N363" s="346"/>
      <c r="O363" s="776"/>
      <c r="P363" s="80"/>
      <c r="Q363" s="776"/>
      <c r="R363" s="776"/>
      <c r="S363" s="776"/>
      <c r="T363" s="776"/>
      <c r="U363" s="776"/>
      <c r="V363" s="776"/>
      <c r="W363" s="776"/>
    </row>
    <row r="364" spans="1:23" s="361" customFormat="1">
      <c r="A364" s="13"/>
      <c r="B364" s="13"/>
      <c r="C364" s="13"/>
      <c r="D364" s="13"/>
      <c r="E364" s="13"/>
      <c r="F364" s="13"/>
      <c r="G364" s="13"/>
      <c r="H364" s="172"/>
      <c r="I364" s="346"/>
      <c r="J364" s="346"/>
      <c r="K364" s="346"/>
      <c r="L364" s="346"/>
      <c r="M364" s="346"/>
      <c r="N364" s="346"/>
      <c r="O364" s="776"/>
      <c r="P364" s="80"/>
      <c r="Q364" s="776"/>
      <c r="R364" s="776"/>
      <c r="S364" s="776"/>
      <c r="T364" s="776"/>
      <c r="U364" s="776"/>
      <c r="V364" s="776"/>
      <c r="W364" s="776"/>
    </row>
    <row r="365" spans="1:23" s="342" customFormat="1">
      <c r="A365" s="13"/>
      <c r="B365" s="62" t="s">
        <v>963</v>
      </c>
      <c r="C365" s="44"/>
      <c r="D365" s="44"/>
      <c r="E365" s="44"/>
      <c r="F365" s="481"/>
      <c r="G365" s="481"/>
      <c r="H365" s="776"/>
      <c r="I365" s="776"/>
      <c r="J365" s="776"/>
      <c r="K365" s="776"/>
      <c r="L365" s="776"/>
      <c r="M365" s="776"/>
      <c r="N365" s="776"/>
      <c r="O365" s="80"/>
      <c r="P365" s="80"/>
      <c r="Q365" s="776"/>
      <c r="R365" s="776"/>
      <c r="S365" s="776"/>
      <c r="T365" s="776"/>
      <c r="U365" s="776"/>
      <c r="V365" s="776"/>
      <c r="W365" s="776"/>
    </row>
    <row r="366" spans="1:23" s="592" customFormat="1">
      <c r="A366" s="13"/>
      <c r="B366" s="172"/>
      <c r="C366" s="13"/>
      <c r="D366" s="13"/>
      <c r="E366" s="13"/>
      <c r="F366" s="530"/>
      <c r="G366" s="530"/>
      <c r="H366" s="776"/>
      <c r="I366" s="776"/>
      <c r="J366" s="776"/>
      <c r="K366" s="776"/>
      <c r="L366" s="776"/>
      <c r="M366" s="776"/>
      <c r="N366" s="776"/>
      <c r="O366" s="80"/>
      <c r="P366" s="80"/>
      <c r="Q366" s="776"/>
      <c r="R366" s="776"/>
      <c r="S366" s="776"/>
      <c r="T366" s="776"/>
      <c r="U366" s="776"/>
      <c r="V366" s="776"/>
      <c r="W366" s="776"/>
    </row>
    <row r="367" spans="1:23" s="342" customFormat="1" ht="19.5">
      <c r="A367" s="13"/>
      <c r="B367" s="572" t="s">
        <v>799</v>
      </c>
      <c r="C367" s="13"/>
      <c r="D367" s="13"/>
      <c r="E367" s="13"/>
      <c r="F367" s="13"/>
      <c r="G367" s="776"/>
      <c r="H367" s="776"/>
      <c r="I367" s="776"/>
      <c r="J367" s="776"/>
      <c r="K367" s="776"/>
      <c r="L367" s="776"/>
      <c r="M367" s="776"/>
      <c r="N367" s="776"/>
      <c r="O367" s="776"/>
      <c r="P367" s="776"/>
      <c r="Q367" s="776"/>
      <c r="R367" s="776"/>
      <c r="S367" s="776"/>
      <c r="T367" s="776"/>
      <c r="U367" s="776"/>
      <c r="V367" s="776"/>
      <c r="W367" s="776"/>
    </row>
    <row r="368" spans="1:23" s="354" customFormat="1">
      <c r="A368" s="13"/>
      <c r="B368" s="776" t="s">
        <v>20</v>
      </c>
      <c r="C368" s="4"/>
      <c r="D368" s="4"/>
      <c r="E368" s="4"/>
      <c r="F368" s="80"/>
      <c r="G368" s="80"/>
      <c r="H368" s="80"/>
      <c r="I368" s="80"/>
      <c r="J368" s="80"/>
      <c r="K368" s="80"/>
      <c r="L368" s="80"/>
      <c r="M368" s="80"/>
      <c r="N368" s="776"/>
      <c r="O368" s="776"/>
      <c r="P368" s="776"/>
      <c r="Q368" s="776"/>
      <c r="R368" s="776"/>
      <c r="S368" s="776"/>
      <c r="T368" s="776"/>
      <c r="U368" s="776"/>
      <c r="V368" s="776"/>
      <c r="W368" s="776"/>
    </row>
    <row r="369" spans="1:23" s="354" customFormat="1" ht="15">
      <c r="A369" s="13"/>
      <c r="B369" s="13"/>
      <c r="C369" s="10"/>
      <c r="D369" s="336">
        <v>2008</v>
      </c>
      <c r="E369" s="336">
        <f t="shared" ref="E369:M369" si="29">D369+1</f>
        <v>2009</v>
      </c>
      <c r="F369" s="336">
        <f t="shared" si="29"/>
        <v>2010</v>
      </c>
      <c r="G369" s="336">
        <f t="shared" si="29"/>
        <v>2011</v>
      </c>
      <c r="H369" s="336">
        <f t="shared" si="29"/>
        <v>2012</v>
      </c>
      <c r="I369" s="336">
        <f t="shared" si="29"/>
        <v>2013</v>
      </c>
      <c r="J369" s="336">
        <f t="shared" si="29"/>
        <v>2014</v>
      </c>
      <c r="K369" s="336">
        <f t="shared" si="29"/>
        <v>2015</v>
      </c>
      <c r="L369" s="336">
        <f t="shared" si="29"/>
        <v>2016</v>
      </c>
      <c r="M369" s="336">
        <f t="shared" si="29"/>
        <v>2017</v>
      </c>
      <c r="N369" s="776"/>
      <c r="O369" s="776"/>
      <c r="P369" s="776"/>
      <c r="Q369" s="776"/>
      <c r="R369" s="776"/>
      <c r="S369" s="776"/>
      <c r="T369" s="776"/>
      <c r="U369" s="776"/>
      <c r="V369" s="776"/>
      <c r="W369" s="776"/>
    </row>
    <row r="370" spans="1:23" s="354" customFormat="1">
      <c r="A370" s="13"/>
      <c r="B370" s="39" t="s">
        <v>840</v>
      </c>
      <c r="C370" s="10"/>
      <c r="D370" s="348">
        <f t="shared" ref="D370:M370" si="30">D376</f>
        <v>0.18820672957388263</v>
      </c>
      <c r="E370" s="348">
        <f t="shared" si="30"/>
        <v>-0.57514685090616147</v>
      </c>
      <c r="F370" s="348">
        <f t="shared" si="30"/>
        <v>0.15899989321358182</v>
      </c>
      <c r="G370" s="348">
        <f t="shared" si="30"/>
        <v>-0.19496977748490357</v>
      </c>
      <c r="H370" s="348">
        <f t="shared" si="30"/>
        <v>-6.4456125507935474E-2</v>
      </c>
      <c r="I370" s="348">
        <f t="shared" si="30"/>
        <v>-0.33851148089597349</v>
      </c>
      <c r="J370" s="348">
        <f t="shared" si="30"/>
        <v>0.46287360558816371</v>
      </c>
      <c r="K370" s="348">
        <f t="shared" si="30"/>
        <v>-0.26002107573051753</v>
      </c>
      <c r="L370" s="348">
        <f t="shared" si="30"/>
        <v>-0.26050119470302768</v>
      </c>
      <c r="M370" s="363">
        <f t="shared" si="30"/>
        <v>2.5731039889271279E-2</v>
      </c>
      <c r="N370" s="776"/>
      <c r="O370" s="776"/>
      <c r="P370" s="776"/>
      <c r="Q370" s="776"/>
      <c r="R370" s="776"/>
      <c r="S370" s="776"/>
      <c r="T370" s="776"/>
      <c r="U370" s="776"/>
      <c r="V370" s="776"/>
      <c r="W370" s="776"/>
    </row>
    <row r="371" spans="1:23" s="354" customFormat="1">
      <c r="A371" s="13"/>
      <c r="B371" s="37" t="s">
        <v>964</v>
      </c>
      <c r="C371" s="776"/>
      <c r="D371" s="348" t="e">
        <f t="shared" ref="D371:M371" si="31">D381</f>
        <v>#REF!</v>
      </c>
      <c r="E371" s="348" t="e">
        <f t="shared" si="31"/>
        <v>#REF!</v>
      </c>
      <c r="F371" s="348" t="e">
        <f t="shared" si="31"/>
        <v>#REF!</v>
      </c>
      <c r="G371" s="348" t="e">
        <f t="shared" si="31"/>
        <v>#REF!</v>
      </c>
      <c r="H371" s="348" t="e">
        <f t="shared" si="31"/>
        <v>#REF!</v>
      </c>
      <c r="I371" s="348" t="e">
        <f t="shared" si="31"/>
        <v>#REF!</v>
      </c>
      <c r="J371" s="348" t="e">
        <f t="shared" si="31"/>
        <v>#REF!</v>
      </c>
      <c r="K371" s="348" t="e">
        <f t="shared" si="31"/>
        <v>#REF!</v>
      </c>
      <c r="L371" s="348" t="e">
        <f t="shared" si="31"/>
        <v>#REF!</v>
      </c>
      <c r="M371" s="363" t="e">
        <f t="shared" si="31"/>
        <v>#REF!</v>
      </c>
      <c r="N371" s="776"/>
      <c r="O371" s="776"/>
      <c r="P371" s="776"/>
      <c r="Q371" s="776"/>
      <c r="R371" s="776"/>
      <c r="S371" s="776"/>
      <c r="T371" s="776"/>
      <c r="U371" s="776"/>
      <c r="V371" s="776"/>
      <c r="W371" s="776"/>
    </row>
    <row r="372" spans="1:23" s="354" customFormat="1">
      <c r="A372" s="13"/>
      <c r="B372" s="13"/>
      <c r="C372" s="776"/>
      <c r="D372" s="776"/>
      <c r="E372" s="776"/>
      <c r="F372" s="776"/>
      <c r="G372" s="776"/>
      <c r="H372" s="776"/>
      <c r="I372" s="776"/>
      <c r="J372" s="776"/>
      <c r="K372" s="776"/>
      <c r="L372" s="776"/>
      <c r="M372" s="13"/>
      <c r="N372" s="776"/>
      <c r="O372" s="776"/>
      <c r="P372" s="776"/>
      <c r="Q372" s="776"/>
      <c r="R372" s="776"/>
      <c r="S372" s="776"/>
      <c r="T372" s="776"/>
      <c r="U372" s="776"/>
      <c r="V372" s="776"/>
      <c r="W372" s="776"/>
    </row>
    <row r="373" spans="1:23" s="354" customFormat="1">
      <c r="A373" s="13"/>
      <c r="B373" s="26" t="s">
        <v>840</v>
      </c>
      <c r="C373" s="4"/>
      <c r="D373" s="80"/>
      <c r="E373" s="80"/>
      <c r="F373" s="80"/>
      <c r="G373" s="80"/>
      <c r="H373" s="80"/>
      <c r="I373" s="80"/>
      <c r="J373" s="80"/>
      <c r="K373" s="80"/>
      <c r="L373" s="80"/>
      <c r="M373" s="37"/>
      <c r="N373" s="80"/>
      <c r="O373" s="776"/>
      <c r="P373" s="776"/>
      <c r="Q373" s="776"/>
      <c r="R373" s="776"/>
      <c r="S373" s="776"/>
      <c r="T373" s="776"/>
      <c r="U373" s="776"/>
      <c r="V373" s="776"/>
      <c r="W373" s="776"/>
    </row>
    <row r="374" spans="1:23" s="354" customFormat="1">
      <c r="A374" s="13"/>
      <c r="B374" s="23" t="s">
        <v>965</v>
      </c>
      <c r="C374" s="776"/>
      <c r="D374" s="362">
        <v>0.32383966244725726</v>
      </c>
      <c r="E374" s="362">
        <v>-0.43770491803278683</v>
      </c>
      <c r="F374" s="362">
        <v>0.30434782608695649</v>
      </c>
      <c r="G374" s="362">
        <v>-5.5137844611528923E-2</v>
      </c>
      <c r="H374" s="362">
        <v>6.5155807365439161E-2</v>
      </c>
      <c r="I374" s="362">
        <v>-0.20903954802259886</v>
      </c>
      <c r="J374" s="362">
        <v>0.58846153846153837</v>
      </c>
      <c r="K374" s="362">
        <v>-0.14285714285714288</v>
      </c>
      <c r="L374" s="362">
        <v>-0.13880126182965302</v>
      </c>
      <c r="M374" s="364">
        <v>0.15175097276264593</v>
      </c>
      <c r="N374" s="80"/>
      <c r="O374" s="776"/>
      <c r="P374" s="776"/>
      <c r="Q374" s="776"/>
      <c r="R374" s="776"/>
      <c r="S374" s="776"/>
      <c r="T374" s="776"/>
      <c r="U374" s="776"/>
      <c r="V374" s="776"/>
      <c r="W374" s="776"/>
    </row>
    <row r="375" spans="1:23" s="361" customFormat="1">
      <c r="A375" s="13"/>
      <c r="B375" s="23" t="s">
        <v>966</v>
      </c>
      <c r="C375" s="776"/>
      <c r="D375" s="349">
        <v>0.13563293287337463</v>
      </c>
      <c r="E375" s="349">
        <v>0.13744193287337464</v>
      </c>
      <c r="F375" s="349">
        <v>0.14534793287337466</v>
      </c>
      <c r="G375" s="349">
        <v>0.13983193287337464</v>
      </c>
      <c r="H375" s="349">
        <v>0.12961193287337464</v>
      </c>
      <c r="I375" s="349">
        <v>0.12947193287337466</v>
      </c>
      <c r="J375" s="349">
        <v>0.12558793287337466</v>
      </c>
      <c r="K375" s="349">
        <v>0.11716393287337465</v>
      </c>
      <c r="L375" s="349">
        <v>0.12169993287337465</v>
      </c>
      <c r="M375" s="365">
        <v>0.12601993287337465</v>
      </c>
      <c r="N375" s="80"/>
      <c r="O375" s="776"/>
      <c r="P375" s="776"/>
      <c r="Q375" s="776"/>
      <c r="R375" s="776"/>
      <c r="S375" s="776"/>
      <c r="T375" s="776"/>
      <c r="U375" s="776"/>
      <c r="V375" s="776"/>
      <c r="W375" s="776"/>
    </row>
    <row r="376" spans="1:23" s="361" customFormat="1">
      <c r="A376" s="13"/>
      <c r="B376" s="30" t="s">
        <v>802</v>
      </c>
      <c r="C376" s="776"/>
      <c r="D376" s="362">
        <v>0.18820672957388263</v>
      </c>
      <c r="E376" s="362">
        <v>-0.57514685090616147</v>
      </c>
      <c r="F376" s="362">
        <v>0.15899989321358182</v>
      </c>
      <c r="G376" s="362">
        <v>-0.19496977748490357</v>
      </c>
      <c r="H376" s="362">
        <v>-6.4456125507935474E-2</v>
      </c>
      <c r="I376" s="362">
        <v>-0.33851148089597349</v>
      </c>
      <c r="J376" s="362">
        <v>0.46287360558816371</v>
      </c>
      <c r="K376" s="362">
        <v>-0.26002107573051753</v>
      </c>
      <c r="L376" s="362">
        <v>-0.26050119470302768</v>
      </c>
      <c r="M376" s="364">
        <v>2.5731039889271279E-2</v>
      </c>
      <c r="N376" s="80"/>
      <c r="O376" s="776"/>
      <c r="P376" s="776"/>
      <c r="Q376" s="776"/>
      <c r="R376" s="776"/>
      <c r="S376" s="776"/>
      <c r="T376" s="776"/>
      <c r="U376" s="776"/>
      <c r="V376" s="776"/>
      <c r="W376" s="776"/>
    </row>
    <row r="377" spans="1:23" s="361" customFormat="1">
      <c r="A377" s="13"/>
      <c r="B377" s="30"/>
      <c r="C377" s="776"/>
      <c r="D377" s="362"/>
      <c r="E377" s="362"/>
      <c r="F377" s="362"/>
      <c r="G377" s="362"/>
      <c r="H377" s="362"/>
      <c r="I377" s="362"/>
      <c r="J377" s="362"/>
      <c r="K377" s="362"/>
      <c r="L377" s="362"/>
      <c r="M377" s="367"/>
      <c r="N377" s="80"/>
      <c r="O377" s="776"/>
      <c r="P377" s="776"/>
      <c r="Q377" s="776"/>
      <c r="R377" s="776"/>
      <c r="S377" s="776"/>
      <c r="T377" s="776"/>
      <c r="U377" s="776"/>
      <c r="V377" s="776"/>
      <c r="W377" s="776"/>
    </row>
    <row r="378" spans="1:23" s="354" customFormat="1">
      <c r="A378" s="13"/>
      <c r="B378" s="26" t="s">
        <v>911</v>
      </c>
      <c r="C378" s="4"/>
      <c r="D378" s="362"/>
      <c r="E378" s="362"/>
      <c r="F378" s="362"/>
      <c r="G378" s="362"/>
      <c r="H378" s="362"/>
      <c r="I378" s="362"/>
      <c r="J378" s="362"/>
      <c r="K378" s="362"/>
      <c r="L378" s="362"/>
      <c r="M378" s="367"/>
      <c r="N378" s="80"/>
      <c r="O378" s="776"/>
      <c r="P378" s="776"/>
      <c r="Q378" s="776"/>
      <c r="R378" s="776"/>
      <c r="S378" s="776"/>
      <c r="T378" s="776"/>
      <c r="U378" s="776"/>
      <c r="V378" s="776"/>
      <c r="W378" s="776"/>
    </row>
    <row r="379" spans="1:23" s="354" customFormat="1">
      <c r="A379" s="13"/>
      <c r="B379" s="23" t="s">
        <v>965</v>
      </c>
      <c r="C379" s="776"/>
      <c r="D379" s="84" t="e">
        <f>TSR!I46</f>
        <v>#REF!</v>
      </c>
      <c r="E379" s="84" t="e">
        <f>TSR!J46</f>
        <v>#REF!</v>
      </c>
      <c r="F379" s="84" t="e">
        <f>TSR!K46</f>
        <v>#REF!</v>
      </c>
      <c r="G379" s="84" t="e">
        <f>TSR!L46</f>
        <v>#REF!</v>
      </c>
      <c r="H379" s="84" t="e">
        <f>TSR!M46</f>
        <v>#REF!</v>
      </c>
      <c r="I379" s="84" t="e">
        <f>TSR!N46</f>
        <v>#REF!</v>
      </c>
      <c r="J379" s="84" t="e">
        <f>TSR!O46</f>
        <v>#REF!</v>
      </c>
      <c r="K379" s="84" t="e">
        <f>TSR!P46</f>
        <v>#REF!</v>
      </c>
      <c r="L379" s="84" t="e">
        <f>TSR!Q46</f>
        <v>#REF!</v>
      </c>
      <c r="M379" s="360" t="e">
        <f>TSR!R46</f>
        <v>#REF!</v>
      </c>
      <c r="N379" s="80"/>
      <c r="O379" s="776"/>
      <c r="P379" s="776"/>
      <c r="Q379" s="776"/>
      <c r="R379" s="776"/>
      <c r="S379" s="776"/>
      <c r="T379" s="776"/>
      <c r="U379" s="776"/>
      <c r="V379" s="776"/>
      <c r="W379" s="776"/>
    </row>
    <row r="380" spans="1:23" s="443" customFormat="1">
      <c r="A380" s="13"/>
      <c r="B380" s="23" t="s">
        <v>966</v>
      </c>
      <c r="C380" s="776"/>
      <c r="D380" s="125" t="e">
        <f>TSR!I47</f>
        <v>#REF!</v>
      </c>
      <c r="E380" s="125" t="e">
        <f>TSR!J47</f>
        <v>#REF!</v>
      </c>
      <c r="F380" s="125" t="e">
        <f>TSR!K47</f>
        <v>#REF!</v>
      </c>
      <c r="G380" s="125" t="e">
        <f>TSR!L47</f>
        <v>#REF!</v>
      </c>
      <c r="H380" s="125" t="e">
        <f>TSR!M47</f>
        <v>#REF!</v>
      </c>
      <c r="I380" s="125" t="e">
        <f>TSR!N47</f>
        <v>#REF!</v>
      </c>
      <c r="J380" s="125" t="e">
        <f>TSR!O47</f>
        <v>#REF!</v>
      </c>
      <c r="K380" s="125" t="e">
        <f>TSR!P47</f>
        <v>#REF!</v>
      </c>
      <c r="L380" s="125" t="e">
        <f>TSR!Q47</f>
        <v>#REF!</v>
      </c>
      <c r="M380" s="366" t="e">
        <f>TSR!R47</f>
        <v>#REF!</v>
      </c>
      <c r="N380" s="80"/>
      <c r="O380" s="776"/>
      <c r="P380" s="776"/>
      <c r="Q380" s="776"/>
      <c r="R380" s="776"/>
      <c r="S380" s="776"/>
      <c r="T380" s="776"/>
      <c r="U380" s="776"/>
      <c r="V380" s="776"/>
      <c r="W380" s="776"/>
    </row>
    <row r="381" spans="1:23" s="443" customFormat="1">
      <c r="A381" s="13"/>
      <c r="B381" s="30" t="s">
        <v>802</v>
      </c>
      <c r="C381" s="776"/>
      <c r="D381" s="84" t="e">
        <f>TSR!I48</f>
        <v>#REF!</v>
      </c>
      <c r="E381" s="84" t="e">
        <f>TSR!J48</f>
        <v>#REF!</v>
      </c>
      <c r="F381" s="84" t="e">
        <f>TSR!K48</f>
        <v>#REF!</v>
      </c>
      <c r="G381" s="84" t="e">
        <f>TSR!L48</f>
        <v>#REF!</v>
      </c>
      <c r="H381" s="84" t="e">
        <f>TSR!M48</f>
        <v>#REF!</v>
      </c>
      <c r="I381" s="84" t="e">
        <f>TSR!N48</f>
        <v>#REF!</v>
      </c>
      <c r="J381" s="84" t="e">
        <f>TSR!O48</f>
        <v>#REF!</v>
      </c>
      <c r="K381" s="84" t="e">
        <f>TSR!P48</f>
        <v>#REF!</v>
      </c>
      <c r="L381" s="84" t="e">
        <f>TSR!Q48</f>
        <v>#REF!</v>
      </c>
      <c r="M381" s="84" t="e">
        <f>TSR!R48</f>
        <v>#REF!</v>
      </c>
      <c r="N381" s="234"/>
      <c r="O381" s="776"/>
      <c r="P381" s="776"/>
      <c r="Q381" s="776"/>
      <c r="R381" s="776"/>
      <c r="S381" s="776"/>
      <c r="T381" s="776"/>
      <c r="U381" s="776"/>
      <c r="V381" s="776"/>
      <c r="W381" s="776"/>
    </row>
    <row r="382" spans="1:23" s="443" customFormat="1">
      <c r="A382" s="13"/>
      <c r="B382" s="30"/>
      <c r="C382" s="776"/>
      <c r="D382" s="84"/>
      <c r="E382" s="84"/>
      <c r="F382" s="84"/>
      <c r="G382" s="84"/>
      <c r="H382" s="84"/>
      <c r="I382" s="84"/>
      <c r="J382" s="84"/>
      <c r="K382" s="84"/>
      <c r="L382" s="84"/>
      <c r="M382" s="84"/>
      <c r="N382" s="234"/>
      <c r="O382" s="776"/>
      <c r="P382" s="776"/>
      <c r="Q382" s="776"/>
      <c r="R382" s="776"/>
      <c r="S382" s="776"/>
      <c r="T382" s="776"/>
      <c r="U382" s="776"/>
      <c r="V382" s="776"/>
      <c r="W382" s="776"/>
    </row>
    <row r="383" spans="1:23" s="443" customFormat="1" ht="15">
      <c r="A383" s="13"/>
      <c r="B383" s="30"/>
      <c r="C383" s="776"/>
      <c r="D383" s="336">
        <f>D369</f>
        <v>2008</v>
      </c>
      <c r="E383" s="336">
        <f t="shared" ref="E383:L383" si="32">E369</f>
        <v>2009</v>
      </c>
      <c r="F383" s="336">
        <f t="shared" si="32"/>
        <v>2010</v>
      </c>
      <c r="G383" s="336">
        <f t="shared" si="32"/>
        <v>2011</v>
      </c>
      <c r="H383" s="336">
        <f t="shared" si="32"/>
        <v>2012</v>
      </c>
      <c r="I383" s="336">
        <f t="shared" si="32"/>
        <v>2013</v>
      </c>
      <c r="J383" s="336">
        <f t="shared" si="32"/>
        <v>2014</v>
      </c>
      <c r="K383" s="336">
        <f t="shared" si="32"/>
        <v>2015</v>
      </c>
      <c r="L383" s="336">
        <f t="shared" si="32"/>
        <v>2016</v>
      </c>
      <c r="M383" s="84"/>
      <c r="N383" s="234"/>
      <c r="O383" s="776"/>
      <c r="P383" s="776"/>
      <c r="Q383" s="776"/>
      <c r="R383" s="776"/>
      <c r="S383" s="776"/>
      <c r="T383" s="776"/>
      <c r="U383" s="776"/>
      <c r="V383" s="776"/>
      <c r="W383" s="776"/>
    </row>
    <row r="384" spans="1:23" s="443" customFormat="1">
      <c r="A384" s="13"/>
      <c r="B384" s="30" t="s">
        <v>911</v>
      </c>
      <c r="C384" s="776"/>
      <c r="D384" s="84"/>
      <c r="E384" s="84"/>
      <c r="F384" s="84"/>
      <c r="G384" s="84"/>
      <c r="H384" s="84"/>
      <c r="I384" s="84"/>
      <c r="J384" s="84"/>
      <c r="K384" s="84"/>
      <c r="L384" s="84"/>
      <c r="M384" s="84"/>
      <c r="N384" s="234"/>
      <c r="O384" s="776"/>
      <c r="P384" s="776"/>
      <c r="Q384" s="776"/>
      <c r="R384" s="776"/>
      <c r="S384" s="776"/>
      <c r="T384" s="776"/>
      <c r="U384" s="776"/>
      <c r="V384" s="776"/>
      <c r="W384" s="776"/>
    </row>
    <row r="385" spans="1:23" s="443" customFormat="1">
      <c r="A385" s="13"/>
      <c r="B385" s="30" t="s">
        <v>20</v>
      </c>
      <c r="C385" s="776"/>
      <c r="D385" s="84" t="e">
        <f>D379</f>
        <v>#REF!</v>
      </c>
      <c r="E385" s="84" t="e">
        <f t="shared" ref="E385:M385" si="33">E379</f>
        <v>#REF!</v>
      </c>
      <c r="F385" s="84" t="e">
        <f t="shared" si="33"/>
        <v>#REF!</v>
      </c>
      <c r="G385" s="84" t="e">
        <f t="shared" si="33"/>
        <v>#REF!</v>
      </c>
      <c r="H385" s="84" t="e">
        <f t="shared" si="33"/>
        <v>#REF!</v>
      </c>
      <c r="I385" s="84" t="e">
        <f t="shared" si="33"/>
        <v>#REF!</v>
      </c>
      <c r="J385" s="84" t="e">
        <f t="shared" si="33"/>
        <v>#REF!</v>
      </c>
      <c r="K385" s="84" t="e">
        <f t="shared" si="33"/>
        <v>#REF!</v>
      </c>
      <c r="L385" s="84" t="e">
        <f t="shared" si="33"/>
        <v>#REF!</v>
      </c>
      <c r="M385" s="84" t="e">
        <f t="shared" si="33"/>
        <v>#REF!</v>
      </c>
      <c r="N385" s="234"/>
      <c r="O385" s="776"/>
      <c r="P385" s="776"/>
      <c r="Q385" s="776"/>
      <c r="R385" s="776"/>
      <c r="S385" s="776"/>
      <c r="T385" s="776"/>
      <c r="U385" s="776"/>
      <c r="V385" s="776"/>
      <c r="W385" s="776"/>
    </row>
    <row r="386" spans="1:23" s="443" customFormat="1">
      <c r="A386" s="13"/>
      <c r="B386" s="30"/>
      <c r="C386" s="776"/>
      <c r="D386" s="84"/>
      <c r="E386" s="84"/>
      <c r="F386" s="84"/>
      <c r="G386" s="84"/>
      <c r="H386" s="84"/>
      <c r="I386" s="84"/>
      <c r="J386" s="84"/>
      <c r="K386" s="84"/>
      <c r="L386" s="84"/>
      <c r="M386" s="84"/>
      <c r="N386" s="234"/>
      <c r="O386" s="776"/>
      <c r="P386" s="776"/>
      <c r="Q386" s="776"/>
      <c r="R386" s="776"/>
      <c r="S386" s="776"/>
      <c r="T386" s="776"/>
      <c r="U386" s="776"/>
      <c r="V386" s="776"/>
      <c r="W386" s="776"/>
    </row>
    <row r="387" spans="1:23" s="443" customFormat="1" ht="15">
      <c r="A387" s="13"/>
      <c r="B387" s="30"/>
      <c r="C387" s="776"/>
      <c r="D387" s="336">
        <f>D383</f>
        <v>2008</v>
      </c>
      <c r="E387" s="336">
        <f t="shared" ref="E387:L387" si="34">E383</f>
        <v>2009</v>
      </c>
      <c r="F387" s="336">
        <f t="shared" si="34"/>
        <v>2010</v>
      </c>
      <c r="G387" s="336">
        <f t="shared" si="34"/>
        <v>2011</v>
      </c>
      <c r="H387" s="336">
        <f t="shared" si="34"/>
        <v>2012</v>
      </c>
      <c r="I387" s="336">
        <f t="shared" si="34"/>
        <v>2013</v>
      </c>
      <c r="J387" s="336">
        <f t="shared" si="34"/>
        <v>2014</v>
      </c>
      <c r="K387" s="336">
        <f t="shared" si="34"/>
        <v>2015</v>
      </c>
      <c r="L387" s="336">
        <f t="shared" si="34"/>
        <v>2016</v>
      </c>
      <c r="M387" s="84"/>
      <c r="N387" s="234"/>
      <c r="O387" s="776"/>
      <c r="P387" s="776"/>
      <c r="Q387" s="776"/>
      <c r="R387" s="776"/>
      <c r="S387" s="776"/>
      <c r="T387" s="776"/>
      <c r="U387" s="776"/>
      <c r="V387" s="776"/>
      <c r="W387" s="776"/>
    </row>
    <row r="388" spans="1:23" s="456" customFormat="1">
      <c r="A388" s="13"/>
      <c r="B388" s="30" t="s">
        <v>840</v>
      </c>
      <c r="C388" s="776"/>
      <c r="D388" s="84">
        <f>D374</f>
        <v>0.32383966244725726</v>
      </c>
      <c r="E388" s="84">
        <f t="shared" ref="E388:L388" si="35">E374</f>
        <v>-0.43770491803278683</v>
      </c>
      <c r="F388" s="84">
        <f t="shared" si="35"/>
        <v>0.30434782608695649</v>
      </c>
      <c r="G388" s="84">
        <f t="shared" si="35"/>
        <v>-5.5137844611528923E-2</v>
      </c>
      <c r="H388" s="84">
        <f t="shared" si="35"/>
        <v>6.5155807365439161E-2</v>
      </c>
      <c r="I388" s="84">
        <f t="shared" si="35"/>
        <v>-0.20903954802259886</v>
      </c>
      <c r="J388" s="84">
        <f t="shared" si="35"/>
        <v>0.58846153846153837</v>
      </c>
      <c r="K388" s="84">
        <f t="shared" si="35"/>
        <v>-0.14285714285714288</v>
      </c>
      <c r="L388" s="84">
        <f t="shared" si="35"/>
        <v>-0.13880126182965302</v>
      </c>
      <c r="M388" s="84"/>
      <c r="N388" s="234"/>
      <c r="O388" s="69"/>
      <c r="P388" s="69"/>
      <c r="Q388" s="69"/>
      <c r="R388" s="10"/>
      <c r="S388" s="10"/>
      <c r="T388" s="776"/>
      <c r="U388" s="776"/>
      <c r="V388" s="776"/>
      <c r="W388" s="776"/>
    </row>
    <row r="389" spans="1:23" s="592" customFormat="1">
      <c r="A389" s="13"/>
      <c r="B389" s="30"/>
      <c r="C389" s="776"/>
      <c r="D389" s="84"/>
      <c r="E389" s="84"/>
      <c r="F389" s="84"/>
      <c r="G389" s="84"/>
      <c r="H389" s="84"/>
      <c r="I389" s="84"/>
      <c r="J389" s="84"/>
      <c r="K389" s="84"/>
      <c r="L389" s="84"/>
      <c r="M389" s="84"/>
      <c r="N389" s="234"/>
      <c r="O389" s="69"/>
      <c r="P389" s="69"/>
      <c r="Q389" s="69"/>
      <c r="R389" s="10"/>
      <c r="S389" s="10"/>
      <c r="T389" s="776"/>
      <c r="U389" s="776"/>
      <c r="V389" s="776"/>
      <c r="W389" s="776"/>
    </row>
    <row r="390" spans="1:23" s="342" customFormat="1">
      <c r="A390" s="13"/>
      <c r="B390" s="531" t="s">
        <v>967</v>
      </c>
      <c r="C390" s="335"/>
      <c r="D390" s="44"/>
      <c r="E390" s="44"/>
      <c r="F390" s="44"/>
      <c r="G390" s="62"/>
      <c r="H390" s="30"/>
      <c r="I390" s="69"/>
      <c r="J390" s="69"/>
      <c r="K390" s="52"/>
      <c r="L390" s="52"/>
      <c r="M390" s="776"/>
      <c r="N390" s="776"/>
      <c r="O390" s="776"/>
      <c r="P390" s="776"/>
      <c r="Q390" s="776"/>
      <c r="R390" s="776"/>
      <c r="S390" s="776"/>
      <c r="T390" s="776"/>
      <c r="U390" s="776"/>
      <c r="V390" s="776"/>
      <c r="W390" s="776"/>
    </row>
    <row r="391" spans="1:23" s="592" customFormat="1">
      <c r="A391" s="13"/>
      <c r="B391" s="30"/>
      <c r="C391" s="23"/>
      <c r="D391" s="13"/>
      <c r="E391" s="13"/>
      <c r="F391" s="13"/>
      <c r="G391" s="172"/>
      <c r="H391" s="30"/>
      <c r="I391" s="69"/>
      <c r="J391" s="69"/>
      <c r="K391" s="52"/>
      <c r="L391" s="52"/>
      <c r="M391" s="776"/>
      <c r="N391" s="776"/>
      <c r="O391" s="776"/>
      <c r="P391" s="776"/>
      <c r="Q391" s="776"/>
      <c r="R391" s="776"/>
      <c r="S391" s="776"/>
      <c r="T391" s="776"/>
      <c r="U391" s="776"/>
      <c r="V391" s="776"/>
      <c r="W391" s="776"/>
    </row>
    <row r="392" spans="1:23" s="342" customFormat="1" ht="19.5">
      <c r="A392" s="13"/>
      <c r="B392" s="572" t="s">
        <v>968</v>
      </c>
      <c r="C392" s="13"/>
      <c r="D392" s="13"/>
      <c r="E392" s="13"/>
      <c r="F392" s="13"/>
      <c r="G392" s="489" t="s">
        <v>969</v>
      </c>
      <c r="H392" s="490"/>
      <c r="I392" s="490"/>
      <c r="J392" s="490"/>
      <c r="K392" s="490"/>
      <c r="L392" s="52"/>
      <c r="M392" s="776"/>
      <c r="N392" s="776"/>
      <c r="O392" s="776"/>
      <c r="P392" s="776"/>
      <c r="Q392" s="776"/>
      <c r="R392" s="776"/>
      <c r="S392" s="776"/>
      <c r="T392" s="776"/>
      <c r="U392" s="776"/>
      <c r="V392" s="776"/>
      <c r="W392" s="776"/>
    </row>
    <row r="393" spans="1:23" ht="16.5">
      <c r="A393" s="13"/>
      <c r="B393" s="13"/>
      <c r="C393" s="13"/>
      <c r="D393" s="13"/>
      <c r="E393" s="13"/>
      <c r="F393" s="13"/>
      <c r="G393" s="420"/>
      <c r="H393" s="427"/>
      <c r="I393" s="491"/>
      <c r="J393" s="486"/>
      <c r="K393" s="487">
        <v>2016</v>
      </c>
      <c r="L393" s="776"/>
      <c r="M393" s="776"/>
      <c r="N393" s="776"/>
      <c r="O393" s="776"/>
      <c r="P393" s="776"/>
      <c r="Q393" s="776"/>
      <c r="R393" s="776"/>
      <c r="S393" s="776"/>
      <c r="T393" s="776"/>
      <c r="U393" s="776"/>
      <c r="V393" s="776"/>
      <c r="W393" s="776"/>
    </row>
    <row r="394" spans="1:23" s="342" customFormat="1" ht="16.5">
      <c r="A394" s="13"/>
      <c r="B394" s="13"/>
      <c r="C394" s="13"/>
      <c r="D394" s="13"/>
      <c r="E394" s="13"/>
      <c r="F394" s="13"/>
      <c r="G394" s="489" t="s">
        <v>970</v>
      </c>
      <c r="H394" s="490"/>
      <c r="I394" s="427"/>
      <c r="J394" s="491" t="s">
        <v>554</v>
      </c>
      <c r="K394" s="427"/>
      <c r="L394" s="776"/>
      <c r="M394" s="776"/>
      <c r="N394" s="776"/>
      <c r="O394" s="776"/>
      <c r="P394" s="776"/>
      <c r="Q394" s="776"/>
      <c r="R394" s="776"/>
      <c r="S394" s="776"/>
      <c r="T394" s="776"/>
      <c r="U394" s="776"/>
      <c r="V394" s="776"/>
      <c r="W394" s="776"/>
    </row>
    <row r="395" spans="1:23" s="342" customFormat="1" ht="16.5">
      <c r="A395" s="13"/>
      <c r="B395" s="13"/>
      <c r="C395" s="13"/>
      <c r="D395" s="13"/>
      <c r="E395" s="13"/>
      <c r="F395" s="13"/>
      <c r="G395" s="420" t="s">
        <v>840</v>
      </c>
      <c r="H395" s="427"/>
      <c r="I395" s="427"/>
      <c r="J395" s="427"/>
      <c r="K395" s="492" t="e">
        <f>O220</f>
        <v>#REF!</v>
      </c>
      <c r="L395" s="776"/>
      <c r="M395" s="776"/>
      <c r="N395" s="776"/>
      <c r="O395" s="776"/>
      <c r="P395" s="776"/>
      <c r="Q395" s="776"/>
      <c r="R395" s="776"/>
      <c r="S395" s="776"/>
      <c r="T395" s="776"/>
      <c r="U395" s="776"/>
      <c r="V395" s="776"/>
      <c r="W395" s="776"/>
    </row>
    <row r="396" spans="1:23" s="342" customFormat="1" ht="16.5">
      <c r="A396" s="13"/>
      <c r="B396" s="13"/>
      <c r="C396" s="13"/>
      <c r="D396" s="13"/>
      <c r="E396" s="13"/>
      <c r="F396" s="13"/>
      <c r="G396" s="420" t="s">
        <v>911</v>
      </c>
      <c r="H396" s="427"/>
      <c r="I396" s="427"/>
      <c r="J396" s="427"/>
      <c r="K396" s="492" t="e">
        <f>O223</f>
        <v>#REF!</v>
      </c>
      <c r="L396" s="776"/>
      <c r="M396" s="776"/>
      <c r="N396" s="776"/>
      <c r="O396" s="776"/>
      <c r="P396" s="776"/>
      <c r="Q396" s="776"/>
      <c r="R396" s="776"/>
      <c r="S396" s="776"/>
      <c r="T396" s="776"/>
      <c r="U396" s="776"/>
      <c r="V396" s="776"/>
      <c r="W396" s="776"/>
    </row>
    <row r="397" spans="1:23" s="342" customFormat="1" ht="16.5">
      <c r="A397" s="13"/>
      <c r="B397" s="13"/>
      <c r="C397" s="13"/>
      <c r="D397" s="13"/>
      <c r="E397" s="13"/>
      <c r="F397" s="13"/>
      <c r="G397" s="420"/>
      <c r="H397" s="427"/>
      <c r="I397" s="427"/>
      <c r="J397" s="427"/>
      <c r="K397" s="492"/>
      <c r="L397" s="776"/>
      <c r="M397" s="776"/>
      <c r="N397" s="7"/>
      <c r="O397" s="776"/>
      <c r="P397" s="776"/>
      <c r="Q397" s="776"/>
      <c r="R397" s="776"/>
      <c r="S397" s="776"/>
      <c r="T397" s="776"/>
      <c r="U397" s="776"/>
      <c r="V397" s="776"/>
      <c r="W397" s="776"/>
    </row>
    <row r="398" spans="1:23" s="342" customFormat="1" ht="16.5">
      <c r="A398" s="13"/>
      <c r="B398" s="13"/>
      <c r="C398" s="13"/>
      <c r="D398" s="13"/>
      <c r="E398" s="13"/>
      <c r="F398" s="13"/>
      <c r="G398" s="489" t="s">
        <v>971</v>
      </c>
      <c r="H398" s="490"/>
      <c r="I398" s="427"/>
      <c r="J398" s="427"/>
      <c r="K398" s="492"/>
      <c r="L398" s="776"/>
      <c r="M398" s="776"/>
      <c r="N398" s="7"/>
      <c r="O398" s="776"/>
      <c r="P398" s="776"/>
      <c r="Q398" s="776"/>
      <c r="R398" s="776"/>
      <c r="S398" s="776"/>
      <c r="T398" s="776"/>
      <c r="U398" s="776"/>
      <c r="V398" s="776"/>
      <c r="W398" s="776"/>
    </row>
    <row r="399" spans="1:23" s="342" customFormat="1" ht="16.5">
      <c r="A399" s="13"/>
      <c r="B399" s="13"/>
      <c r="C399" s="13"/>
      <c r="D399" s="13"/>
      <c r="E399" s="13"/>
      <c r="F399" s="13"/>
      <c r="G399" s="420" t="s">
        <v>840</v>
      </c>
      <c r="H399" s="427"/>
      <c r="I399" s="427"/>
      <c r="J399" s="427" t="s">
        <v>554</v>
      </c>
      <c r="K399" s="492">
        <f>N32</f>
        <v>0</v>
      </c>
      <c r="L399" s="776"/>
      <c r="M399" s="776"/>
      <c r="N399" s="776"/>
      <c r="O399" s="776"/>
      <c r="P399" s="776"/>
      <c r="Q399" s="776"/>
      <c r="R399" s="776"/>
      <c r="S399" s="776"/>
      <c r="T399" s="776"/>
      <c r="U399" s="776"/>
      <c r="V399" s="776"/>
      <c r="W399" s="776"/>
    </row>
    <row r="400" spans="1:23" s="342" customFormat="1" ht="16.5">
      <c r="A400" s="13"/>
      <c r="B400" s="13"/>
      <c r="C400" s="13"/>
      <c r="D400" s="13"/>
      <c r="E400" s="13"/>
      <c r="F400" s="13"/>
      <c r="G400" s="420" t="s">
        <v>911</v>
      </c>
      <c r="H400" s="427"/>
      <c r="I400" s="427"/>
      <c r="J400" s="427"/>
      <c r="K400" s="492">
        <f>N33</f>
        <v>0</v>
      </c>
      <c r="L400" s="776"/>
      <c r="M400" s="776"/>
      <c r="N400" s="776"/>
      <c r="O400" s="776"/>
      <c r="P400" s="776"/>
      <c r="Q400" s="776"/>
      <c r="R400" s="776"/>
      <c r="S400" s="776"/>
      <c r="T400" s="776"/>
      <c r="U400" s="776"/>
      <c r="V400" s="776"/>
      <c r="W400" s="776"/>
    </row>
    <row r="401" spans="1:23" s="361" customFormat="1" ht="16.5">
      <c r="A401" s="13"/>
      <c r="B401" s="13"/>
      <c r="C401" s="13"/>
      <c r="D401" s="13"/>
      <c r="E401" s="13"/>
      <c r="F401" s="13"/>
      <c r="G401" s="420"/>
      <c r="H401" s="427"/>
      <c r="I401" s="427"/>
      <c r="J401" s="427"/>
      <c r="K401" s="492"/>
      <c r="L401" s="776"/>
      <c r="M401" s="776"/>
      <c r="N401" s="776"/>
      <c r="O401" s="776"/>
      <c r="P401" s="776"/>
      <c r="Q401" s="776"/>
      <c r="R401" s="776"/>
      <c r="S401" s="776"/>
      <c r="T401" s="776"/>
      <c r="U401" s="776"/>
      <c r="V401" s="776"/>
      <c r="W401" s="776"/>
    </row>
    <row r="402" spans="1:23" s="361" customFormat="1" ht="16.5">
      <c r="A402" s="13"/>
      <c r="B402" s="13"/>
      <c r="C402" s="13"/>
      <c r="D402" s="13"/>
      <c r="E402" s="13"/>
      <c r="F402" s="13"/>
      <c r="G402" s="420" t="s">
        <v>972</v>
      </c>
      <c r="H402" s="427"/>
      <c r="I402" s="427"/>
      <c r="J402" s="427"/>
      <c r="K402" s="427"/>
      <c r="L402" s="776"/>
      <c r="M402" s="776"/>
      <c r="N402" s="776"/>
      <c r="O402" s="776"/>
      <c r="P402" s="776"/>
      <c r="Q402" s="776"/>
      <c r="R402" s="776"/>
      <c r="S402" s="776"/>
      <c r="T402" s="776"/>
      <c r="U402" s="776"/>
      <c r="V402" s="776"/>
      <c r="W402" s="776"/>
    </row>
    <row r="403" spans="1:23" s="361" customFormat="1" ht="16.5">
      <c r="A403" s="13"/>
      <c r="B403" s="13"/>
      <c r="C403" s="13"/>
      <c r="D403" s="13"/>
      <c r="E403" s="13"/>
      <c r="F403" s="13"/>
      <c r="G403" s="420" t="s">
        <v>840</v>
      </c>
      <c r="H403" s="427"/>
      <c r="I403" s="427"/>
      <c r="J403" s="427"/>
      <c r="K403" s="493" t="e">
        <f>'18 Data for Charts'!#REF!</f>
        <v>#REF!</v>
      </c>
      <c r="L403" s="776"/>
      <c r="M403" s="776"/>
      <c r="N403" s="776"/>
      <c r="O403" s="776"/>
      <c r="P403" s="776"/>
      <c r="Q403" s="776"/>
      <c r="R403" s="776"/>
      <c r="S403" s="776"/>
      <c r="T403" s="776"/>
      <c r="U403" s="776"/>
      <c r="V403" s="776"/>
      <c r="W403" s="776"/>
    </row>
    <row r="404" spans="1:23" s="361" customFormat="1" ht="16.5">
      <c r="A404" s="13"/>
      <c r="B404" s="13"/>
      <c r="C404" s="13"/>
      <c r="D404" s="13"/>
      <c r="E404" s="13"/>
      <c r="F404" s="13"/>
      <c r="G404" s="420" t="s">
        <v>911</v>
      </c>
      <c r="H404" s="427"/>
      <c r="I404" s="427"/>
      <c r="J404" s="427"/>
      <c r="K404" s="493">
        <f>N154</f>
        <v>0</v>
      </c>
      <c r="L404" s="776"/>
      <c r="M404" s="776"/>
      <c r="N404" s="776"/>
      <c r="O404" s="776"/>
      <c r="P404" s="776"/>
      <c r="Q404" s="776"/>
      <c r="R404" s="776"/>
      <c r="S404" s="776"/>
      <c r="T404" s="776"/>
      <c r="U404" s="776"/>
      <c r="V404" s="776"/>
      <c r="W404" s="776"/>
    </row>
    <row r="405" spans="1:23" s="342" customFormat="1" ht="16.5">
      <c r="A405" s="13"/>
      <c r="B405" s="13"/>
      <c r="C405" s="13"/>
      <c r="D405" s="13"/>
      <c r="E405" s="13"/>
      <c r="F405" s="13"/>
      <c r="G405" s="494"/>
      <c r="H405" s="490"/>
      <c r="I405" s="490"/>
      <c r="J405" s="490"/>
      <c r="K405" s="495"/>
      <c r="L405" s="776"/>
      <c r="M405" s="776"/>
      <c r="N405" s="776"/>
      <c r="O405" s="776"/>
      <c r="P405" s="776"/>
      <c r="Q405" s="776"/>
      <c r="R405" s="776"/>
      <c r="S405" s="776"/>
      <c r="T405" s="776"/>
      <c r="U405" s="776"/>
      <c r="V405" s="776"/>
      <c r="W405" s="776"/>
    </row>
    <row r="406" spans="1:23" s="342" customFormat="1">
      <c r="A406" s="13"/>
      <c r="B406" s="13"/>
      <c r="C406" s="13"/>
      <c r="D406" s="13"/>
      <c r="E406" s="13"/>
      <c r="F406" s="13"/>
      <c r="G406" s="23"/>
      <c r="H406" s="10"/>
      <c r="I406" s="10"/>
      <c r="J406" s="10"/>
      <c r="K406" s="10"/>
      <c r="L406" s="344"/>
      <c r="M406" s="344"/>
      <c r="N406" s="776"/>
      <c r="O406" s="776"/>
      <c r="P406" s="776"/>
      <c r="Q406" s="776"/>
      <c r="R406" s="776"/>
      <c r="S406" s="776"/>
      <c r="T406" s="776"/>
      <c r="U406" s="776"/>
      <c r="V406" s="776"/>
      <c r="W406" s="776"/>
    </row>
    <row r="407" spans="1:23" s="353" customFormat="1">
      <c r="A407" s="13"/>
      <c r="B407" s="531" t="s">
        <v>973</v>
      </c>
      <c r="C407" s="44"/>
      <c r="D407" s="44"/>
      <c r="E407" s="44"/>
      <c r="F407" s="44"/>
      <c r="G407" s="44"/>
      <c r="H407" s="776"/>
      <c r="I407" s="776"/>
      <c r="J407" s="776"/>
      <c r="K407" s="776"/>
      <c r="L407" s="776"/>
      <c r="M407" s="776"/>
      <c r="N407" s="776"/>
      <c r="O407" s="776"/>
      <c r="P407" s="776"/>
      <c r="Q407" s="776"/>
      <c r="R407" s="776"/>
      <c r="S407" s="776"/>
      <c r="T407" s="776"/>
      <c r="U407" s="776"/>
      <c r="V407" s="776"/>
      <c r="W407" s="776"/>
    </row>
    <row r="408" spans="1:23" s="592" customFormat="1">
      <c r="A408" s="13"/>
      <c r="B408" s="30"/>
      <c r="C408" s="13"/>
      <c r="D408" s="13"/>
      <c r="E408" s="13"/>
      <c r="F408" s="13"/>
      <c r="G408" s="13"/>
      <c r="H408" s="776"/>
      <c r="I408" s="776"/>
      <c r="J408" s="776"/>
      <c r="K408" s="776"/>
      <c r="L408" s="776"/>
      <c r="M408" s="776"/>
      <c r="N408" s="776"/>
      <c r="O408" s="776"/>
      <c r="P408" s="776"/>
      <c r="Q408" s="776"/>
      <c r="R408" s="776"/>
      <c r="S408" s="776"/>
      <c r="T408" s="776"/>
      <c r="U408" s="776"/>
      <c r="V408" s="776"/>
      <c r="W408" s="776"/>
    </row>
    <row r="409" spans="1:23" s="353" customFormat="1" ht="19.5">
      <c r="A409" s="13"/>
      <c r="B409" s="572" t="s">
        <v>974</v>
      </c>
      <c r="C409" s="13"/>
      <c r="D409" s="13"/>
      <c r="E409" s="13"/>
      <c r="F409" s="13"/>
      <c r="G409" s="13"/>
      <c r="H409" s="776"/>
      <c r="I409" s="776"/>
      <c r="J409" s="776"/>
      <c r="K409" s="776"/>
      <c r="L409" s="776"/>
      <c r="M409" s="776"/>
      <c r="N409" s="776"/>
      <c r="O409" s="776"/>
      <c r="P409" s="776"/>
      <c r="Q409" s="776"/>
      <c r="R409" s="776"/>
      <c r="S409" s="776"/>
      <c r="T409" s="776"/>
      <c r="U409" s="776"/>
      <c r="V409" s="776"/>
      <c r="W409" s="776"/>
    </row>
    <row r="410" spans="1:23" s="342" customFormat="1">
      <c r="A410" s="13"/>
      <c r="B410" s="13"/>
      <c r="C410" s="13"/>
      <c r="D410" s="13"/>
      <c r="E410" s="13"/>
      <c r="F410" s="13"/>
      <c r="G410" s="13"/>
      <c r="H410" s="776"/>
      <c r="I410" s="776"/>
      <c r="J410" s="776"/>
      <c r="K410" s="776"/>
      <c r="L410" s="776"/>
      <c r="M410" s="776"/>
      <c r="N410" s="776"/>
      <c r="O410" s="776"/>
      <c r="P410" s="776"/>
      <c r="Q410" s="776"/>
      <c r="R410" s="776"/>
      <c r="S410" s="776"/>
      <c r="T410" s="776"/>
      <c r="U410" s="776"/>
      <c r="V410" s="776"/>
      <c r="W410" s="776"/>
    </row>
    <row r="411" spans="1:23" s="353" customFormat="1">
      <c r="A411" s="13"/>
      <c r="B411" s="13"/>
      <c r="C411" s="13"/>
      <c r="D411" s="13"/>
      <c r="E411" s="13"/>
      <c r="F411" s="13"/>
      <c r="G411" s="13"/>
      <c r="H411" s="776"/>
      <c r="I411" s="776"/>
      <c r="J411" s="776"/>
      <c r="K411" s="776"/>
      <c r="L411" s="776"/>
      <c r="M411" s="776"/>
      <c r="N411" s="776"/>
      <c r="O411" s="776"/>
      <c r="P411" s="776"/>
      <c r="Q411" s="776"/>
      <c r="R411" s="776"/>
      <c r="S411" s="776"/>
      <c r="T411" s="776"/>
      <c r="U411" s="776"/>
      <c r="V411" s="776"/>
      <c r="W411" s="776"/>
    </row>
    <row r="412" spans="1:23" s="342" customFormat="1">
      <c r="A412" s="13"/>
      <c r="B412" s="13"/>
      <c r="C412" s="13"/>
      <c r="D412" s="13"/>
      <c r="E412" s="13"/>
      <c r="F412" s="13"/>
      <c r="G412" s="13"/>
      <c r="H412" s="776"/>
      <c r="I412" s="776"/>
      <c r="J412" s="776"/>
      <c r="K412" s="776"/>
      <c r="L412" s="776"/>
      <c r="M412" s="776"/>
      <c r="N412" s="776"/>
      <c r="O412" s="776"/>
      <c r="P412" s="776"/>
      <c r="Q412" s="776"/>
      <c r="R412" s="776"/>
      <c r="S412" s="776"/>
      <c r="T412" s="776"/>
      <c r="U412" s="776"/>
      <c r="V412" s="776"/>
      <c r="W412" s="776"/>
    </row>
    <row r="413" spans="1:23" s="342" customFormat="1">
      <c r="A413" s="13"/>
      <c r="B413" s="13"/>
      <c r="C413" s="13"/>
      <c r="D413" s="13"/>
      <c r="E413" s="13"/>
      <c r="F413" s="13"/>
      <c r="G413" s="13"/>
      <c r="H413" s="776"/>
      <c r="I413" s="776"/>
      <c r="J413" s="776"/>
      <c r="K413" s="776"/>
      <c r="L413" s="776"/>
      <c r="M413" s="776"/>
      <c r="N413" s="776"/>
      <c r="O413" s="776"/>
      <c r="P413" s="776"/>
      <c r="Q413" s="776"/>
      <c r="R413" s="776"/>
      <c r="S413" s="776"/>
      <c r="T413" s="776"/>
      <c r="U413" s="776"/>
      <c r="V413" s="776"/>
      <c r="W413" s="776"/>
    </row>
    <row r="414" spans="1:23" s="342" customFormat="1">
      <c r="A414" s="13"/>
      <c r="B414" s="13"/>
      <c r="C414" s="13"/>
      <c r="D414" s="13"/>
      <c r="E414" s="13"/>
      <c r="F414" s="13"/>
      <c r="G414" s="13"/>
      <c r="H414" s="172"/>
      <c r="I414" s="52"/>
      <c r="J414" s="52"/>
      <c r="K414" s="52"/>
      <c r="L414" s="52"/>
      <c r="M414" s="52"/>
      <c r="N414" s="52"/>
      <c r="O414" s="52"/>
      <c r="P414" s="776"/>
      <c r="Q414" s="776"/>
      <c r="R414" s="776"/>
      <c r="S414" s="776"/>
      <c r="T414" s="776"/>
      <c r="U414" s="776"/>
      <c r="V414" s="776"/>
      <c r="W414" s="776"/>
    </row>
    <row r="415" spans="1:23" s="353" customFormat="1">
      <c r="A415" s="13"/>
      <c r="B415" s="13"/>
      <c r="C415" s="13"/>
      <c r="D415" s="13"/>
      <c r="E415" s="13"/>
      <c r="F415" s="13"/>
      <c r="G415" s="13"/>
      <c r="H415" s="172"/>
      <c r="I415" s="52"/>
      <c r="J415" s="52"/>
      <c r="K415" s="52"/>
      <c r="L415" s="52"/>
      <c r="M415" s="52"/>
      <c r="N415" s="52"/>
      <c r="O415" s="52"/>
      <c r="P415" s="776"/>
      <c r="Q415" s="776"/>
      <c r="R415" s="776"/>
      <c r="S415" s="776"/>
      <c r="T415" s="776"/>
      <c r="U415" s="776"/>
      <c r="V415" s="776"/>
      <c r="W415" s="776"/>
    </row>
    <row r="416" spans="1:23" s="342" customFormat="1">
      <c r="A416" s="13"/>
      <c r="B416" s="13"/>
      <c r="C416" s="13"/>
      <c r="D416" s="13"/>
      <c r="E416" s="13"/>
      <c r="F416" s="13"/>
      <c r="G416" s="13"/>
      <c r="H416" s="172"/>
      <c r="I416" s="52"/>
      <c r="J416" s="52"/>
      <c r="K416" s="52"/>
      <c r="L416" s="52"/>
      <c r="M416" s="52"/>
      <c r="N416" s="52"/>
      <c r="O416" s="52"/>
      <c r="P416" s="776"/>
      <c r="Q416" s="776"/>
      <c r="R416" s="776"/>
      <c r="S416" s="776"/>
      <c r="T416" s="776"/>
      <c r="U416" s="776"/>
      <c r="V416" s="776"/>
      <c r="W416" s="776"/>
    </row>
    <row r="417" spans="1:23" s="342" customFormat="1">
      <c r="A417" s="13"/>
      <c r="B417" s="13"/>
      <c r="C417" s="13"/>
      <c r="D417" s="13"/>
      <c r="E417" s="13"/>
      <c r="F417" s="13"/>
      <c r="G417" s="13"/>
      <c r="H417" s="172"/>
      <c r="I417" s="52"/>
      <c r="J417" s="52"/>
      <c r="K417" s="52"/>
      <c r="L417" s="52"/>
      <c r="M417" s="52"/>
      <c r="N417" s="52"/>
      <c r="O417" s="52"/>
      <c r="P417" s="776"/>
      <c r="Q417" s="776"/>
      <c r="R417" s="776"/>
      <c r="S417" s="776"/>
      <c r="T417" s="776"/>
      <c r="U417" s="776"/>
      <c r="V417" s="776"/>
      <c r="W417" s="776"/>
    </row>
    <row r="418" spans="1:23" s="353" customFormat="1">
      <c r="A418" s="13"/>
      <c r="B418" s="13"/>
      <c r="C418" s="13"/>
      <c r="D418" s="13"/>
      <c r="E418" s="13"/>
      <c r="F418" s="13"/>
      <c r="G418" s="13"/>
      <c r="H418" s="172"/>
      <c r="I418" s="52"/>
      <c r="J418" s="52"/>
      <c r="K418" s="52"/>
      <c r="L418" s="52"/>
      <c r="M418" s="52"/>
      <c r="N418" s="52"/>
      <c r="O418" s="52"/>
      <c r="P418" s="776"/>
      <c r="Q418" s="776"/>
      <c r="R418" s="776"/>
      <c r="S418" s="776"/>
      <c r="T418" s="776"/>
      <c r="U418" s="776"/>
      <c r="V418" s="776"/>
      <c r="W418" s="776"/>
    </row>
    <row r="419" spans="1:23" s="342" customFormat="1">
      <c r="A419" s="13"/>
      <c r="B419" s="13"/>
      <c r="C419" s="13"/>
      <c r="D419" s="13"/>
      <c r="E419" s="13"/>
      <c r="F419" s="13"/>
      <c r="G419" s="13"/>
      <c r="H419" s="172"/>
      <c r="I419" s="52"/>
      <c r="J419" s="52"/>
      <c r="K419" s="52"/>
      <c r="L419" s="52"/>
      <c r="M419" s="52"/>
      <c r="N419" s="52"/>
      <c r="O419" s="52"/>
      <c r="P419" s="776"/>
      <c r="Q419" s="776"/>
      <c r="R419" s="776"/>
      <c r="S419" s="776"/>
      <c r="T419" s="776"/>
      <c r="U419" s="776"/>
      <c r="V419" s="776"/>
      <c r="W419" s="776"/>
    </row>
    <row r="420" spans="1:23" s="342" customFormat="1">
      <c r="A420" s="13"/>
      <c r="B420" s="13"/>
      <c r="C420" s="13"/>
      <c r="D420" s="13"/>
      <c r="E420" s="13"/>
      <c r="F420" s="13"/>
      <c r="G420" s="13"/>
      <c r="H420" s="172"/>
      <c r="I420" s="52"/>
      <c r="J420" s="52"/>
      <c r="K420" s="52"/>
      <c r="L420" s="52"/>
      <c r="M420" s="52"/>
      <c r="N420" s="52"/>
      <c r="O420" s="52"/>
      <c r="P420" s="776"/>
      <c r="Q420" s="776"/>
      <c r="R420" s="776"/>
      <c r="S420" s="776"/>
      <c r="T420" s="776"/>
      <c r="U420" s="776"/>
      <c r="V420" s="776"/>
      <c r="W420" s="776"/>
    </row>
    <row r="421" spans="1:23" s="342" customFormat="1">
      <c r="A421" s="13"/>
      <c r="B421" s="13"/>
      <c r="C421" s="13"/>
      <c r="D421" s="13"/>
      <c r="E421" s="13"/>
      <c r="F421" s="13"/>
      <c r="G421" s="13"/>
      <c r="H421" s="172"/>
      <c r="I421" s="52"/>
      <c r="J421" s="52"/>
      <c r="K421" s="52"/>
      <c r="L421" s="52"/>
      <c r="M421" s="52"/>
      <c r="N421" s="52"/>
      <c r="O421" s="52"/>
      <c r="P421" s="776"/>
      <c r="Q421" s="776"/>
      <c r="R421" s="776"/>
      <c r="S421" s="776"/>
      <c r="T421" s="776"/>
      <c r="U421" s="776"/>
      <c r="V421" s="776"/>
      <c r="W421" s="776"/>
    </row>
    <row r="422" spans="1:23" s="342" customFormat="1">
      <c r="A422" s="13"/>
      <c r="B422" s="13"/>
      <c r="C422" s="13"/>
      <c r="D422" s="13"/>
      <c r="E422" s="13"/>
      <c r="F422" s="13"/>
      <c r="G422" s="13"/>
      <c r="H422" s="172"/>
      <c r="I422" s="52"/>
      <c r="J422" s="52"/>
      <c r="K422" s="52"/>
      <c r="L422" s="52"/>
      <c r="M422" s="52"/>
      <c r="N422" s="52"/>
      <c r="O422" s="52"/>
      <c r="P422" s="776"/>
      <c r="Q422" s="776"/>
      <c r="R422" s="776"/>
      <c r="S422" s="776"/>
      <c r="T422" s="776"/>
      <c r="U422" s="776"/>
      <c r="V422" s="776"/>
      <c r="W422" s="776"/>
    </row>
    <row r="423" spans="1:23" s="353" customFormat="1">
      <c r="A423" s="13"/>
      <c r="B423" s="13"/>
      <c r="C423" s="13"/>
      <c r="D423" s="13"/>
      <c r="E423" s="13"/>
      <c r="F423" s="13"/>
      <c r="G423" s="13"/>
      <c r="H423" s="172"/>
      <c r="I423" s="52"/>
      <c r="J423" s="52"/>
      <c r="K423" s="52"/>
      <c r="L423" s="52"/>
      <c r="M423" s="52"/>
      <c r="N423" s="52"/>
      <c r="O423" s="52"/>
      <c r="P423" s="776"/>
      <c r="Q423" s="776"/>
      <c r="R423" s="776"/>
      <c r="S423" s="776"/>
      <c r="T423" s="776"/>
      <c r="U423" s="776"/>
      <c r="V423" s="776"/>
      <c r="W423" s="776"/>
    </row>
    <row r="424" spans="1:23" s="342" customFormat="1">
      <c r="A424" s="13"/>
      <c r="B424" s="13"/>
      <c r="C424" s="13"/>
      <c r="D424" s="13"/>
      <c r="E424" s="13"/>
      <c r="F424" s="13"/>
      <c r="G424" s="13"/>
      <c r="H424" s="172"/>
      <c r="I424" s="52"/>
      <c r="J424" s="52"/>
      <c r="K424" s="52"/>
      <c r="L424" s="52"/>
      <c r="M424" s="52"/>
      <c r="N424" s="52"/>
      <c r="O424" s="52"/>
      <c r="P424" s="776"/>
      <c r="Q424" s="776"/>
      <c r="R424" s="776"/>
      <c r="S424" s="776"/>
      <c r="T424" s="776"/>
      <c r="U424" s="776"/>
      <c r="V424" s="776"/>
      <c r="W424" s="776"/>
    </row>
    <row r="425" spans="1:23" s="342" customFormat="1">
      <c r="A425" s="13"/>
      <c r="B425" s="13"/>
      <c r="C425" s="13"/>
      <c r="D425" s="13"/>
      <c r="E425" s="13"/>
      <c r="F425" s="13"/>
      <c r="G425" s="13"/>
      <c r="H425" s="172"/>
      <c r="I425" s="52"/>
      <c r="J425" s="52"/>
      <c r="K425" s="52"/>
      <c r="L425" s="52"/>
      <c r="M425" s="52"/>
      <c r="N425" s="52"/>
      <c r="O425" s="52"/>
      <c r="P425" s="776"/>
      <c r="Q425" s="776"/>
      <c r="R425" s="776"/>
      <c r="S425" s="776"/>
      <c r="T425" s="776"/>
      <c r="U425" s="776"/>
      <c r="V425" s="776"/>
      <c r="W425" s="776"/>
    </row>
    <row r="426" spans="1:23" s="342" customFormat="1">
      <c r="A426" s="13"/>
      <c r="B426" s="13"/>
      <c r="C426" s="13"/>
      <c r="D426" s="13"/>
      <c r="E426" s="13"/>
      <c r="F426" s="13"/>
      <c r="G426" s="13"/>
      <c r="H426" s="172"/>
      <c r="I426" s="52"/>
      <c r="J426" s="52"/>
      <c r="K426" s="52"/>
      <c r="L426" s="52"/>
      <c r="M426" s="52"/>
      <c r="N426" s="52"/>
      <c r="O426" s="506">
        <v>42790</v>
      </c>
      <c r="P426" s="776"/>
      <c r="Q426" s="776"/>
      <c r="R426" s="776"/>
      <c r="S426" s="776"/>
      <c r="T426" s="776"/>
      <c r="U426" s="776"/>
      <c r="V426" s="776"/>
      <c r="W426" s="776"/>
    </row>
    <row r="427" spans="1:23" s="342" customFormat="1">
      <c r="A427" s="13"/>
      <c r="B427" s="13"/>
      <c r="C427" s="13"/>
      <c r="D427" s="13"/>
      <c r="E427" s="13"/>
      <c r="F427" s="13"/>
      <c r="G427" s="13"/>
      <c r="H427" s="776"/>
      <c r="I427" s="776"/>
      <c r="J427" s="776"/>
      <c r="K427" s="52"/>
      <c r="L427" s="52"/>
      <c r="M427" s="776"/>
      <c r="N427" s="776"/>
      <c r="O427" s="776"/>
      <c r="P427" s="776"/>
      <c r="Q427" s="776"/>
      <c r="R427" s="776"/>
      <c r="S427" s="776"/>
      <c r="T427" s="776"/>
      <c r="U427" s="776"/>
      <c r="V427" s="776"/>
      <c r="W427" s="776"/>
    </row>
    <row r="428" spans="1:23" s="342" customFormat="1">
      <c r="A428" s="13"/>
      <c r="B428" s="13"/>
      <c r="C428" s="172"/>
      <c r="D428" s="242"/>
      <c r="E428" s="242"/>
      <c r="F428" s="242"/>
      <c r="G428" s="242"/>
      <c r="H428" s="52"/>
      <c r="I428" s="52"/>
      <c r="J428" s="52"/>
      <c r="K428" s="52"/>
      <c r="L428" s="52"/>
      <c r="M428" s="776"/>
      <c r="N428" s="776"/>
      <c r="O428" s="776"/>
      <c r="P428" s="776"/>
      <c r="Q428" s="776"/>
      <c r="R428" s="776"/>
      <c r="S428" s="776"/>
      <c r="T428" s="776"/>
      <c r="U428" s="776"/>
      <c r="V428" s="776"/>
      <c r="W428" s="776"/>
    </row>
    <row r="429" spans="1:23" s="342" customFormat="1" ht="13.5">
      <c r="A429" s="13"/>
      <c r="B429" s="13"/>
      <c r="C429" s="13"/>
      <c r="D429" s="13"/>
      <c r="E429" s="13"/>
      <c r="F429" s="13"/>
      <c r="G429" s="496"/>
      <c r="H429" s="422"/>
      <c r="I429" s="488"/>
      <c r="J429" s="488"/>
      <c r="K429" s="488"/>
      <c r="L429" s="488"/>
      <c r="M429" s="488"/>
      <c r="N429" s="488"/>
      <c r="O429" s="488"/>
      <c r="P429" s="488"/>
      <c r="Q429" s="488"/>
      <c r="R429" s="624"/>
      <c r="S429" s="776"/>
      <c r="T429" s="776"/>
      <c r="U429" s="776"/>
      <c r="V429" s="776"/>
      <c r="W429" s="776"/>
    </row>
    <row r="430" spans="1:23" s="342" customFormat="1">
      <c r="A430" s="13"/>
      <c r="B430" s="13"/>
      <c r="C430" s="13"/>
      <c r="D430" s="13"/>
      <c r="E430" s="13"/>
      <c r="F430" s="13"/>
      <c r="G430" s="776"/>
      <c r="H430" s="776"/>
      <c r="I430" s="776"/>
      <c r="J430" s="776"/>
      <c r="K430" s="776"/>
      <c r="L430" s="776"/>
      <c r="M430" s="776"/>
      <c r="N430" s="776"/>
      <c r="O430" s="776"/>
      <c r="P430" s="776"/>
      <c r="Q430" s="776"/>
      <c r="R430" s="776"/>
      <c r="S430" s="776"/>
      <c r="T430" s="776"/>
      <c r="U430" s="776"/>
      <c r="V430" s="776"/>
      <c r="W430" s="776"/>
    </row>
    <row r="431" spans="1:23" s="342" customFormat="1" ht="16.5">
      <c r="A431" s="13"/>
      <c r="B431" s="1" t="s">
        <v>975</v>
      </c>
      <c r="C431" s="422"/>
      <c r="D431" s="486">
        <v>2008</v>
      </c>
      <c r="E431" s="486">
        <f t="shared" ref="E431:L431" si="36">D431+1</f>
        <v>2009</v>
      </c>
      <c r="F431" s="486">
        <f t="shared" si="36"/>
        <v>2010</v>
      </c>
      <c r="G431" s="486">
        <f t="shared" si="36"/>
        <v>2011</v>
      </c>
      <c r="H431" s="486">
        <f t="shared" si="36"/>
        <v>2012</v>
      </c>
      <c r="I431" s="486">
        <f t="shared" si="36"/>
        <v>2013</v>
      </c>
      <c r="J431" s="486">
        <f t="shared" si="36"/>
        <v>2014</v>
      </c>
      <c r="K431" s="486">
        <f t="shared" si="36"/>
        <v>2015</v>
      </c>
      <c r="L431" s="486">
        <f t="shared" si="36"/>
        <v>2016</v>
      </c>
      <c r="M431" s="497">
        <v>2017</v>
      </c>
      <c r="N431" s="776"/>
      <c r="O431" s="776"/>
      <c r="P431" s="776"/>
      <c r="Q431" s="776"/>
      <c r="R431" s="776"/>
      <c r="S431" s="776"/>
      <c r="T431" s="776"/>
      <c r="U431" s="776"/>
      <c r="V431" s="776"/>
      <c r="W431" s="776"/>
    </row>
    <row r="432" spans="1:23" s="342" customFormat="1" ht="13.5">
      <c r="A432" s="13"/>
      <c r="B432" s="485" t="s">
        <v>976</v>
      </c>
      <c r="C432" s="422"/>
      <c r="D432" s="498">
        <f>'18 Data for Charts'!O32</f>
        <v>0</v>
      </c>
      <c r="E432" s="498" t="e">
        <f>'18 Data for Charts'!P32</f>
        <v>#REF!</v>
      </c>
      <c r="F432" s="498" t="e">
        <f>'18 Data for Charts'!Q32</f>
        <v>#REF!</v>
      </c>
      <c r="G432" s="498" t="e">
        <f>'18 Data for Charts'!R32</f>
        <v>#REF!</v>
      </c>
      <c r="H432" s="498" t="e">
        <f>'18 Data for Charts'!S32</f>
        <v>#REF!</v>
      </c>
      <c r="I432" s="498" t="e">
        <f>'18 Data for Charts'!T32</f>
        <v>#REF!</v>
      </c>
      <c r="J432" s="498" t="e">
        <f>'18 Data for Charts'!#REF!</f>
        <v>#REF!</v>
      </c>
      <c r="K432" s="498" t="e">
        <f>'18 Data for Charts'!#REF!</f>
        <v>#REF!</v>
      </c>
      <c r="L432" s="498" t="e">
        <f>'18 Data for Charts'!#REF!</f>
        <v>#REF!</v>
      </c>
      <c r="M432" s="564"/>
      <c r="N432" s="776"/>
      <c r="O432" s="776"/>
      <c r="P432" s="776"/>
      <c r="Q432" s="776"/>
      <c r="R432" s="776"/>
      <c r="S432" s="776"/>
      <c r="T432" s="776"/>
      <c r="U432" s="776"/>
      <c r="V432" s="776"/>
      <c r="W432" s="776"/>
    </row>
    <row r="433" spans="1:23" s="342" customFormat="1" ht="13.5">
      <c r="A433" s="13"/>
      <c r="B433" s="485" t="s">
        <v>765</v>
      </c>
      <c r="C433" s="422"/>
      <c r="D433" s="498">
        <f>'18 Data for Charts'!O33</f>
        <v>0</v>
      </c>
      <c r="E433" s="498" t="e">
        <f>'18 Data for Charts'!P33</f>
        <v>#REF!</v>
      </c>
      <c r="F433" s="498" t="e">
        <f>'18 Data for Charts'!Q33</f>
        <v>#REF!</v>
      </c>
      <c r="G433" s="498" t="e">
        <f>'18 Data for Charts'!R33</f>
        <v>#REF!</v>
      </c>
      <c r="H433" s="498" t="e">
        <f>'18 Data for Charts'!S33</f>
        <v>#REF!</v>
      </c>
      <c r="I433" s="498" t="e">
        <f>'18 Data for Charts'!T33</f>
        <v>#REF!</v>
      </c>
      <c r="J433" s="498" t="e">
        <f>'18 Data for Charts'!#REF!</f>
        <v>#REF!</v>
      </c>
      <c r="K433" s="498" t="e">
        <f>'18 Data for Charts'!#REF!</f>
        <v>#REF!</v>
      </c>
      <c r="L433" s="498" t="e">
        <f>'18 Data for Charts'!#REF!</f>
        <v>#REF!</v>
      </c>
      <c r="M433" s="564"/>
      <c r="N433" s="776"/>
      <c r="O433" s="776"/>
      <c r="P433" s="776"/>
      <c r="Q433" s="776"/>
      <c r="R433" s="776"/>
      <c r="S433" s="776"/>
      <c r="T433" s="776"/>
      <c r="U433" s="776"/>
      <c r="V433" s="776"/>
      <c r="W433" s="776"/>
    </row>
    <row r="434" spans="1:23" s="342" customFormat="1" ht="13.5">
      <c r="A434" s="13"/>
      <c r="B434" s="485" t="s">
        <v>608</v>
      </c>
      <c r="C434" s="422"/>
      <c r="D434" s="499">
        <f>'18 Data for Charts'!O34</f>
        <v>0</v>
      </c>
      <c r="E434" s="499" t="e">
        <f>'18 Data for Charts'!P34</f>
        <v>#REF!</v>
      </c>
      <c r="F434" s="499" t="e">
        <f>'18 Data for Charts'!Q34</f>
        <v>#REF!</v>
      </c>
      <c r="G434" s="499" t="e">
        <f>'18 Data for Charts'!R34</f>
        <v>#REF!</v>
      </c>
      <c r="H434" s="499" t="e">
        <f>'18 Data for Charts'!S34</f>
        <v>#REF!</v>
      </c>
      <c r="I434" s="499" t="e">
        <f>'18 Data for Charts'!T34</f>
        <v>#REF!</v>
      </c>
      <c r="J434" s="499" t="e">
        <f>'18 Data for Charts'!#REF!</f>
        <v>#REF!</v>
      </c>
      <c r="K434" s="499" t="e">
        <f>'18 Data for Charts'!#REF!</f>
        <v>#REF!</v>
      </c>
      <c r="L434" s="499" t="e">
        <f>'18 Data for Charts'!#REF!</f>
        <v>#REF!</v>
      </c>
      <c r="M434" s="565"/>
      <c r="N434" s="776"/>
      <c r="O434" s="776"/>
      <c r="P434" s="776"/>
      <c r="Q434" s="776"/>
      <c r="R434" s="776"/>
      <c r="S434" s="776"/>
      <c r="T434" s="776"/>
      <c r="U434" s="776"/>
      <c r="V434" s="776"/>
      <c r="W434" s="776"/>
    </row>
    <row r="435" spans="1:23" s="592" customFormat="1" ht="13.5">
      <c r="A435" s="13"/>
      <c r="B435" s="496" t="s">
        <v>723</v>
      </c>
      <c r="C435" s="422"/>
      <c r="D435" s="498">
        <v>1</v>
      </c>
      <c r="E435" s="498">
        <v>1</v>
      </c>
      <c r="F435" s="498">
        <v>0.99999999999999989</v>
      </c>
      <c r="G435" s="498">
        <v>1</v>
      </c>
      <c r="H435" s="498">
        <v>1</v>
      </c>
      <c r="I435" s="498">
        <v>1</v>
      </c>
      <c r="J435" s="498">
        <v>1</v>
      </c>
      <c r="K435" s="498">
        <v>1</v>
      </c>
      <c r="L435" s="498">
        <v>1</v>
      </c>
      <c r="M435" s="498">
        <v>1</v>
      </c>
      <c r="N435" s="776"/>
      <c r="O435" s="776"/>
      <c r="P435" s="498"/>
      <c r="Q435" s="498"/>
      <c r="R435" s="498"/>
      <c r="S435" s="776"/>
      <c r="T435" s="776"/>
      <c r="U435" s="776"/>
      <c r="V435" s="776"/>
      <c r="W435" s="776"/>
    </row>
    <row r="436" spans="1:23" s="592" customFormat="1" ht="13.5">
      <c r="A436" s="13"/>
      <c r="B436" s="13"/>
      <c r="C436" s="13"/>
      <c r="D436" s="13"/>
      <c r="E436" s="13"/>
      <c r="F436" s="13"/>
      <c r="G436" s="496"/>
      <c r="H436" s="422"/>
      <c r="I436" s="498"/>
      <c r="J436" s="498"/>
      <c r="K436" s="498"/>
      <c r="L436" s="498"/>
      <c r="M436" s="498"/>
      <c r="N436" s="498"/>
      <c r="O436" s="498"/>
      <c r="P436" s="498"/>
      <c r="Q436" s="498"/>
      <c r="R436" s="498"/>
      <c r="S436" s="776"/>
      <c r="T436" s="776"/>
      <c r="U436" s="776"/>
      <c r="V436" s="776"/>
      <c r="W436" s="776"/>
    </row>
    <row r="437" spans="1:23" s="342" customFormat="1">
      <c r="A437" s="13"/>
      <c r="B437" s="531" t="s">
        <v>977</v>
      </c>
      <c r="C437" s="44"/>
      <c r="D437" s="44"/>
      <c r="E437" s="44"/>
      <c r="F437" s="44"/>
      <c r="G437" s="44"/>
      <c r="H437" s="30"/>
      <c r="I437" s="52"/>
      <c r="J437" s="52"/>
      <c r="K437" s="52"/>
      <c r="L437" s="52"/>
      <c r="M437" s="52"/>
      <c r="N437" s="52"/>
      <c r="O437" s="52"/>
      <c r="P437" s="776"/>
      <c r="Q437" s="776"/>
      <c r="R437" s="776"/>
      <c r="S437" s="776"/>
      <c r="T437" s="776"/>
      <c r="U437" s="776"/>
      <c r="V437" s="776"/>
      <c r="W437" s="776"/>
    </row>
    <row r="438" spans="1:23" s="592" customFormat="1">
      <c r="A438" s="13"/>
      <c r="B438" s="30"/>
      <c r="C438" s="13"/>
      <c r="D438" s="13"/>
      <c r="E438" s="13"/>
      <c r="F438" s="13"/>
      <c r="G438" s="13"/>
      <c r="H438" s="30"/>
      <c r="I438" s="52"/>
      <c r="J438" s="52"/>
      <c r="K438" s="52"/>
      <c r="L438" s="52"/>
      <c r="M438" s="52"/>
      <c r="N438" s="52"/>
      <c r="O438" s="52"/>
      <c r="P438" s="776"/>
      <c r="Q438" s="776"/>
      <c r="R438" s="776"/>
      <c r="S438" s="776"/>
      <c r="T438" s="776"/>
      <c r="U438" s="776"/>
      <c r="V438" s="776"/>
      <c r="W438" s="776"/>
    </row>
    <row r="439" spans="1:23" s="342" customFormat="1" ht="19.5">
      <c r="A439" s="13"/>
      <c r="B439" s="572" t="s">
        <v>974</v>
      </c>
      <c r="C439" s="13"/>
      <c r="D439" s="13"/>
      <c r="E439" s="13"/>
      <c r="F439" s="13"/>
      <c r="G439" s="13"/>
      <c r="H439" s="30"/>
      <c r="I439" s="52"/>
      <c r="J439" s="52"/>
      <c r="K439" s="52"/>
      <c r="L439" s="52"/>
      <c r="M439" s="52"/>
      <c r="N439" s="52"/>
      <c r="O439" s="52"/>
      <c r="P439" s="776"/>
      <c r="Q439" s="776"/>
      <c r="R439" s="776"/>
      <c r="S439" s="776"/>
      <c r="T439" s="776"/>
      <c r="U439" s="776"/>
      <c r="V439" s="776"/>
      <c r="W439" s="776"/>
    </row>
    <row r="440" spans="1:23" s="342" customFormat="1">
      <c r="A440" s="13"/>
      <c r="B440" s="13"/>
      <c r="C440" s="13"/>
      <c r="D440" s="13"/>
      <c r="E440" s="13"/>
      <c r="F440" s="13"/>
      <c r="G440" s="13"/>
      <c r="H440" s="776"/>
      <c r="I440" s="776"/>
      <c r="J440" s="776"/>
      <c r="K440" s="776"/>
      <c r="L440" s="776"/>
      <c r="M440" s="776"/>
      <c r="N440" s="776"/>
      <c r="O440" s="776"/>
      <c r="P440" s="776"/>
      <c r="Q440" s="776"/>
      <c r="R440" s="776"/>
      <c r="S440" s="776"/>
      <c r="T440" s="776"/>
      <c r="U440" s="776"/>
      <c r="V440" s="776"/>
      <c r="W440" s="776"/>
    </row>
    <row r="441" spans="1:23" s="342" customFormat="1">
      <c r="A441" s="13"/>
      <c r="B441" s="13"/>
      <c r="C441" s="13"/>
      <c r="D441" s="13"/>
      <c r="E441" s="13"/>
      <c r="F441" s="13"/>
      <c r="G441" s="13"/>
      <c r="H441" s="776"/>
      <c r="I441" s="776"/>
      <c r="J441" s="776"/>
      <c r="K441" s="776"/>
      <c r="L441" s="776"/>
      <c r="M441" s="776"/>
      <c r="N441" s="776"/>
      <c r="O441" s="776"/>
      <c r="P441" s="776"/>
      <c r="Q441" s="776"/>
      <c r="R441" s="776"/>
      <c r="S441" s="776"/>
      <c r="T441" s="776"/>
      <c r="U441" s="776"/>
      <c r="V441" s="776"/>
      <c r="W441" s="776"/>
    </row>
    <row r="442" spans="1:23" s="342" customFormat="1">
      <c r="A442" s="13"/>
      <c r="B442" s="13"/>
      <c r="C442" s="13"/>
      <c r="D442" s="13"/>
      <c r="E442" s="13"/>
      <c r="F442" s="13"/>
      <c r="G442" s="13"/>
      <c r="H442" s="776"/>
      <c r="I442" s="776"/>
      <c r="J442" s="776"/>
      <c r="K442" s="776"/>
      <c r="L442" s="776"/>
      <c r="M442" s="776"/>
      <c r="N442" s="776"/>
      <c r="O442" s="776"/>
      <c r="P442" s="776"/>
      <c r="Q442" s="776"/>
      <c r="R442" s="776"/>
      <c r="S442" s="776"/>
      <c r="T442" s="776"/>
      <c r="U442" s="776"/>
      <c r="V442" s="776"/>
      <c r="W442" s="776"/>
    </row>
    <row r="443" spans="1:23" s="342" customFormat="1">
      <c r="A443" s="13"/>
      <c r="B443" s="13"/>
      <c r="C443" s="13"/>
      <c r="D443" s="13"/>
      <c r="E443" s="13"/>
      <c r="F443" s="13"/>
      <c r="G443" s="13"/>
      <c r="H443" s="776"/>
      <c r="I443" s="776"/>
      <c r="J443" s="776"/>
      <c r="K443" s="776"/>
      <c r="L443" s="776"/>
      <c r="M443" s="776"/>
      <c r="N443" s="776"/>
      <c r="O443" s="776"/>
      <c r="P443" s="776"/>
      <c r="Q443" s="776"/>
      <c r="R443" s="776"/>
      <c r="S443" s="776"/>
      <c r="T443" s="776"/>
      <c r="U443" s="776"/>
      <c r="V443" s="776"/>
      <c r="W443" s="776"/>
    </row>
    <row r="444" spans="1:23" s="342" customFormat="1">
      <c r="A444" s="13"/>
      <c r="B444" s="13"/>
      <c r="C444" s="13"/>
      <c r="D444" s="13"/>
      <c r="E444" s="13"/>
      <c r="F444" s="13"/>
      <c r="G444" s="13"/>
      <c r="H444" s="776"/>
      <c r="I444" s="776"/>
      <c r="J444" s="776"/>
      <c r="K444" s="776"/>
      <c r="L444" s="776"/>
      <c r="M444" s="776"/>
      <c r="N444" s="776"/>
      <c r="O444" s="776"/>
      <c r="P444" s="80"/>
      <c r="Q444" s="776"/>
      <c r="R444" s="776"/>
      <c r="S444" s="776"/>
      <c r="T444" s="776"/>
      <c r="U444" s="776"/>
      <c r="V444" s="776"/>
      <c r="W444" s="776"/>
    </row>
    <row r="445" spans="1:23" s="342" customFormat="1">
      <c r="A445" s="13"/>
      <c r="B445" s="13"/>
      <c r="C445" s="13"/>
      <c r="D445" s="13"/>
      <c r="E445" s="13"/>
      <c r="F445" s="13"/>
      <c r="G445" s="13"/>
      <c r="H445" s="776"/>
      <c r="I445" s="776"/>
      <c r="J445" s="776"/>
      <c r="K445" s="776"/>
      <c r="L445" s="776"/>
      <c r="M445" s="776"/>
      <c r="N445" s="776"/>
      <c r="O445" s="776"/>
      <c r="P445" s="80"/>
      <c r="Q445" s="776"/>
      <c r="R445" s="776"/>
      <c r="S445" s="776"/>
      <c r="T445" s="776"/>
      <c r="U445" s="776"/>
      <c r="V445" s="776"/>
      <c r="W445" s="776"/>
    </row>
    <row r="446" spans="1:23" s="342" customFormat="1">
      <c r="A446" s="13"/>
      <c r="B446" s="13"/>
      <c r="C446" s="13"/>
      <c r="D446" s="13"/>
      <c r="E446" s="13"/>
      <c r="F446" s="13"/>
      <c r="G446" s="13"/>
      <c r="H446" s="172"/>
      <c r="I446" s="346"/>
      <c r="J446" s="346"/>
      <c r="K446" s="346"/>
      <c r="L446" s="346"/>
      <c r="M446" s="346"/>
      <c r="N446" s="346"/>
      <c r="O446" s="346"/>
      <c r="P446" s="80"/>
      <c r="Q446" s="776"/>
      <c r="R446" s="776"/>
      <c r="S446" s="776"/>
      <c r="T446" s="776"/>
      <c r="U446" s="776"/>
      <c r="V446" s="776"/>
      <c r="W446" s="776"/>
    </row>
    <row r="447" spans="1:23" s="342" customFormat="1">
      <c r="A447" s="13"/>
      <c r="B447" s="13"/>
      <c r="C447" s="13"/>
      <c r="D447" s="13"/>
      <c r="E447" s="13"/>
      <c r="F447" s="13"/>
      <c r="G447" s="13"/>
      <c r="H447" s="172"/>
      <c r="I447" s="346"/>
      <c r="J447" s="346"/>
      <c r="K447" s="346"/>
      <c r="L447" s="346"/>
      <c r="M447" s="346"/>
      <c r="N447" s="346"/>
      <c r="O447" s="346"/>
      <c r="P447" s="80"/>
      <c r="Q447" s="776"/>
      <c r="R447" s="776"/>
      <c r="S447" s="776"/>
      <c r="T447" s="776"/>
      <c r="U447" s="776"/>
      <c r="V447" s="776"/>
      <c r="W447" s="776"/>
    </row>
    <row r="448" spans="1:23" s="342" customFormat="1">
      <c r="A448" s="13"/>
      <c r="B448" s="13"/>
      <c r="C448" s="13"/>
      <c r="D448" s="13"/>
      <c r="E448" s="13"/>
      <c r="F448" s="13"/>
      <c r="G448" s="13"/>
      <c r="H448" s="172"/>
      <c r="I448" s="346"/>
      <c r="J448" s="346"/>
      <c r="K448" s="346"/>
      <c r="L448" s="346"/>
      <c r="M448" s="346"/>
      <c r="N448" s="346"/>
      <c r="O448" s="346"/>
      <c r="P448" s="80"/>
      <c r="Q448" s="776"/>
      <c r="R448" s="776"/>
      <c r="S448" s="776"/>
      <c r="T448" s="776"/>
      <c r="U448" s="776"/>
      <c r="V448" s="776"/>
      <c r="W448" s="776"/>
    </row>
    <row r="449" spans="1:31" s="342" customFormat="1" ht="14.25">
      <c r="A449" s="13"/>
      <c r="B449" s="13"/>
      <c r="C449" s="13"/>
      <c r="D449" s="13"/>
      <c r="E449" s="13"/>
      <c r="F449" s="13"/>
      <c r="G449" s="13"/>
      <c r="H449" s="172"/>
      <c r="I449" s="346"/>
      <c r="J449" s="346"/>
      <c r="K449" s="346"/>
      <c r="L449" s="346"/>
      <c r="M449" s="346"/>
      <c r="N449" s="346"/>
      <c r="O449" s="346"/>
      <c r="P449" s="19"/>
      <c r="Q449" s="776"/>
      <c r="R449" s="776"/>
      <c r="S449" s="776"/>
      <c r="T449" s="776"/>
      <c r="U449" s="776"/>
      <c r="V449" s="776"/>
      <c r="W449" s="776"/>
      <c r="X449" s="776"/>
      <c r="Y449" s="776"/>
      <c r="Z449" s="776"/>
      <c r="AA449" s="776"/>
      <c r="AB449" s="776"/>
      <c r="AC449" s="776"/>
      <c r="AD449" s="776"/>
      <c r="AE449" s="776"/>
    </row>
    <row r="450" spans="1:31" s="342" customFormat="1">
      <c r="A450" s="13"/>
      <c r="B450" s="13"/>
      <c r="C450" s="13"/>
      <c r="D450" s="13"/>
      <c r="E450" s="13"/>
      <c r="F450" s="13"/>
      <c r="G450" s="13"/>
      <c r="H450" s="172"/>
      <c r="I450" s="346"/>
      <c r="J450" s="346"/>
      <c r="K450" s="346"/>
      <c r="L450" s="346"/>
      <c r="M450" s="346"/>
      <c r="N450" s="346"/>
      <c r="O450" s="346"/>
      <c r="P450" s="80"/>
      <c r="Q450" s="776"/>
      <c r="R450" s="776"/>
      <c r="S450" s="776"/>
      <c r="T450" s="776"/>
      <c r="U450" s="776"/>
      <c r="V450" s="776"/>
      <c r="W450" s="776"/>
      <c r="X450" s="776"/>
      <c r="Y450" s="776"/>
      <c r="Z450" s="776"/>
      <c r="AA450" s="776"/>
      <c r="AB450" s="776"/>
      <c r="AC450" s="776"/>
      <c r="AD450" s="776"/>
      <c r="AE450" s="776"/>
    </row>
    <row r="451" spans="1:31" s="342" customFormat="1">
      <c r="A451" s="13"/>
      <c r="B451" s="13"/>
      <c r="C451" s="13"/>
      <c r="D451" s="13"/>
      <c r="E451" s="13"/>
      <c r="F451" s="13"/>
      <c r="G451" s="13"/>
      <c r="H451" s="172"/>
      <c r="I451" s="346"/>
      <c r="J451" s="346"/>
      <c r="K451" s="346"/>
      <c r="L451" s="346"/>
      <c r="M451" s="346"/>
      <c r="N451" s="346"/>
      <c r="O451" s="346"/>
      <c r="P451" s="80"/>
      <c r="Q451" s="776"/>
      <c r="R451" s="776"/>
      <c r="S451" s="776"/>
      <c r="T451" s="776"/>
      <c r="U451" s="776"/>
      <c r="V451" s="776"/>
      <c r="W451" s="776"/>
      <c r="X451" s="776"/>
      <c r="Y451" s="776"/>
      <c r="Z451" s="776"/>
      <c r="AA451" s="776"/>
      <c r="AB451" s="776"/>
      <c r="AC451" s="776"/>
      <c r="AD451" s="776"/>
      <c r="AE451" s="776"/>
    </row>
    <row r="452" spans="1:31" s="342" customFormat="1">
      <c r="A452" s="13"/>
      <c r="B452" s="13"/>
      <c r="C452" s="13"/>
      <c r="D452" s="13"/>
      <c r="E452" s="13"/>
      <c r="F452" s="13"/>
      <c r="G452" s="13"/>
      <c r="H452" s="172"/>
      <c r="I452" s="346"/>
      <c r="J452" s="346"/>
      <c r="K452" s="346"/>
      <c r="L452" s="346"/>
      <c r="M452" s="346"/>
      <c r="N452" s="346"/>
      <c r="O452" s="346"/>
      <c r="P452" s="80"/>
      <c r="Q452" s="776"/>
      <c r="R452" s="776"/>
      <c r="S452" s="776"/>
      <c r="T452" s="776"/>
      <c r="U452" s="776"/>
      <c r="V452" s="776"/>
      <c r="W452" s="776"/>
      <c r="X452" s="776"/>
      <c r="Y452" s="776"/>
      <c r="Z452" s="776"/>
      <c r="AA452" s="776"/>
      <c r="AB452" s="776"/>
      <c r="AC452" s="776"/>
      <c r="AD452" s="776"/>
      <c r="AE452" s="776"/>
    </row>
    <row r="453" spans="1:31" s="342" customFormat="1">
      <c r="A453" s="13"/>
      <c r="B453" s="13"/>
      <c r="C453" s="13"/>
      <c r="D453" s="13"/>
      <c r="E453" s="13"/>
      <c r="F453" s="13"/>
      <c r="G453" s="13"/>
      <c r="H453" s="172"/>
      <c r="I453" s="346"/>
      <c r="J453" s="346"/>
      <c r="K453" s="346"/>
      <c r="L453" s="346"/>
      <c r="M453" s="346"/>
      <c r="N453" s="346"/>
      <c r="O453" s="506">
        <v>42790</v>
      </c>
      <c r="P453" s="80"/>
      <c r="Q453" s="776"/>
      <c r="R453" s="776"/>
      <c r="S453" s="776"/>
      <c r="T453" s="776"/>
      <c r="U453" s="776"/>
      <c r="V453" s="776"/>
      <c r="W453" s="776"/>
      <c r="X453" s="776"/>
      <c r="Y453" s="776"/>
      <c r="Z453" s="776"/>
      <c r="AA453" s="776"/>
      <c r="AB453" s="776"/>
      <c r="AC453" s="776"/>
      <c r="AD453" s="776"/>
      <c r="AE453" s="776"/>
    </row>
    <row r="454" spans="1:31" s="342" customFormat="1">
      <c r="A454" s="13"/>
      <c r="B454" s="13"/>
      <c r="C454" s="13"/>
      <c r="D454" s="13"/>
      <c r="E454" s="13"/>
      <c r="F454" s="13"/>
      <c r="G454" s="13"/>
      <c r="H454" s="172"/>
      <c r="I454" s="346"/>
      <c r="J454" s="346"/>
      <c r="K454" s="346"/>
      <c r="L454" s="346"/>
      <c r="M454" s="346"/>
      <c r="N454" s="346"/>
      <c r="O454" s="346"/>
      <c r="P454" s="80"/>
      <c r="Q454" s="776"/>
      <c r="R454" s="776"/>
      <c r="S454" s="776"/>
      <c r="T454" s="776"/>
      <c r="U454" s="776"/>
      <c r="V454" s="776"/>
      <c r="W454" s="776"/>
      <c r="X454" s="776"/>
      <c r="Y454" s="776"/>
      <c r="Z454" s="776"/>
      <c r="AA454" s="776"/>
      <c r="AB454" s="776"/>
      <c r="AC454" s="776"/>
      <c r="AD454" s="776"/>
      <c r="AE454" s="776"/>
    </row>
    <row r="455" spans="1:31" s="342" customFormat="1">
      <c r="A455" s="13"/>
      <c r="B455" s="13"/>
      <c r="C455" s="13"/>
      <c r="D455" s="13"/>
      <c r="E455" s="13"/>
      <c r="F455" s="13"/>
      <c r="G455" s="13"/>
      <c r="H455" s="172"/>
      <c r="I455" s="346"/>
      <c r="J455" s="346"/>
      <c r="K455" s="346"/>
      <c r="L455" s="346"/>
      <c r="M455" s="346"/>
      <c r="N455" s="346"/>
      <c r="O455" s="346"/>
      <c r="P455" s="80"/>
      <c r="Q455" s="776"/>
      <c r="R455" s="776"/>
      <c r="S455" s="776"/>
      <c r="T455" s="776"/>
      <c r="U455" s="776"/>
      <c r="V455" s="776"/>
      <c r="W455" s="776"/>
      <c r="X455" s="776"/>
      <c r="Y455" s="776"/>
      <c r="Z455" s="776"/>
      <c r="AA455" s="776"/>
      <c r="AB455" s="776"/>
      <c r="AC455" s="776"/>
      <c r="AD455" s="776"/>
      <c r="AE455" s="776"/>
    </row>
    <row r="456" spans="1:31" s="592" customFormat="1">
      <c r="A456" s="13"/>
      <c r="B456" s="13"/>
      <c r="C456" s="13"/>
      <c r="D456" s="13"/>
      <c r="E456" s="13"/>
      <c r="F456" s="13"/>
      <c r="G456" s="13"/>
      <c r="H456" s="172"/>
      <c r="I456" s="346"/>
      <c r="J456" s="346"/>
      <c r="K456" s="346"/>
      <c r="L456" s="346"/>
      <c r="M456" s="346"/>
      <c r="N456" s="346"/>
      <c r="O456" s="346"/>
      <c r="P456" s="80"/>
      <c r="Q456" s="776"/>
      <c r="R456" s="776"/>
      <c r="S456" s="776"/>
      <c r="T456" s="776"/>
      <c r="U456" s="776"/>
      <c r="V456" s="776"/>
      <c r="W456" s="776"/>
      <c r="X456" s="776"/>
      <c r="Y456" s="776"/>
      <c r="Z456" s="776"/>
      <c r="AA456" s="776"/>
      <c r="AB456" s="776"/>
      <c r="AC456" s="776"/>
      <c r="AD456" s="776"/>
      <c r="AE456" s="776"/>
    </row>
    <row r="457" spans="1:31" s="342" customFormat="1" ht="13.5">
      <c r="A457" s="13"/>
      <c r="B457" s="13"/>
      <c r="C457" s="13"/>
      <c r="D457" s="13"/>
      <c r="E457" s="13"/>
      <c r="F457" s="13"/>
      <c r="G457" s="496"/>
      <c r="H457" s="422"/>
      <c r="I457" s="488"/>
      <c r="J457" s="488"/>
      <c r="K457" s="488"/>
      <c r="L457" s="488"/>
      <c r="M457" s="488"/>
      <c r="N457" s="488"/>
      <c r="O457" s="488"/>
      <c r="P457" s="488"/>
      <c r="Q457" s="488"/>
      <c r="R457" s="624"/>
      <c r="S457" s="776"/>
      <c r="T457" s="776"/>
      <c r="U457" s="776"/>
      <c r="V457" s="776"/>
      <c r="W457" s="776"/>
      <c r="X457" s="776"/>
      <c r="Y457" s="776"/>
      <c r="Z457" s="776"/>
      <c r="AA457" s="776"/>
      <c r="AB457" s="776"/>
      <c r="AC457" s="776"/>
      <c r="AD457" s="776"/>
      <c r="AE457" s="776"/>
    </row>
    <row r="458" spans="1:31" s="342" customFormat="1" ht="16.5">
      <c r="A458" s="13"/>
      <c r="B458" s="1" t="s">
        <v>978</v>
      </c>
      <c r="C458" s="422"/>
      <c r="D458" s="486">
        <v>2008</v>
      </c>
      <c r="E458" s="486">
        <f t="shared" ref="E458:L458" si="37">D458+1</f>
        <v>2009</v>
      </c>
      <c r="F458" s="486">
        <f t="shared" si="37"/>
        <v>2010</v>
      </c>
      <c r="G458" s="486">
        <f t="shared" si="37"/>
        <v>2011</v>
      </c>
      <c r="H458" s="486">
        <f t="shared" si="37"/>
        <v>2012</v>
      </c>
      <c r="I458" s="486">
        <f t="shared" si="37"/>
        <v>2013</v>
      </c>
      <c r="J458" s="486">
        <f t="shared" si="37"/>
        <v>2014</v>
      </c>
      <c r="K458" s="486">
        <f t="shared" si="37"/>
        <v>2015</v>
      </c>
      <c r="L458" s="486">
        <f t="shared" si="37"/>
        <v>2016</v>
      </c>
      <c r="M458" s="500">
        <v>2017</v>
      </c>
      <c r="N458" s="776"/>
      <c r="O458" s="776"/>
      <c r="P458" s="776"/>
      <c r="Q458" s="776"/>
      <c r="R458" s="776"/>
      <c r="S458" s="776"/>
      <c r="T458" s="776"/>
      <c r="U458" s="776"/>
      <c r="V458" s="776"/>
      <c r="W458" s="776"/>
      <c r="X458" s="776"/>
      <c r="Y458" s="776"/>
      <c r="Z458" s="776"/>
      <c r="AA458" s="776"/>
      <c r="AB458" s="776"/>
      <c r="AC458" s="776"/>
      <c r="AD458" s="776"/>
      <c r="AE458" s="776"/>
    </row>
    <row r="459" spans="1:31" s="342" customFormat="1" ht="13.5">
      <c r="A459" s="13"/>
      <c r="B459" s="485" t="s">
        <v>976</v>
      </c>
      <c r="C459" s="422"/>
      <c r="D459" s="498" t="e">
        <f>'Mark-Expect'!#REF!</f>
        <v>#REF!</v>
      </c>
      <c r="E459" s="498" t="e">
        <f>'Mark-Expect'!#REF!</f>
        <v>#REF!</v>
      </c>
      <c r="F459" s="498" t="e">
        <f>'Mark-Expect'!#REF!</f>
        <v>#REF!</v>
      </c>
      <c r="G459" s="498">
        <f>'Mark-Expect'!N43</f>
        <v>0</v>
      </c>
      <c r="H459" s="498">
        <f>'Mark-Expect'!O43</f>
        <v>0</v>
      </c>
      <c r="I459" s="498" t="e">
        <f>'Mark-Expect'!P43</f>
        <v>#REF!</v>
      </c>
      <c r="J459" s="498" t="e">
        <f>'Mark-Expect'!Q43</f>
        <v>#REF!</v>
      </c>
      <c r="K459" s="498" t="e">
        <f>'Mark-Expect'!R43</f>
        <v>#REF!</v>
      </c>
      <c r="L459" s="498" t="e">
        <f>'Mark-Expect'!S43</f>
        <v>#REF!</v>
      </c>
      <c r="M459" s="564" t="e">
        <f>'Mark-Expect'!#REF!</f>
        <v>#REF!</v>
      </c>
      <c r="N459" s="776"/>
      <c r="O459" s="776"/>
      <c r="P459" s="776"/>
      <c r="Q459" s="776"/>
      <c r="R459" s="776"/>
      <c r="S459" s="776"/>
      <c r="T459" s="776"/>
      <c r="U459" s="776"/>
      <c r="V459" s="776"/>
      <c r="W459" s="776"/>
      <c r="X459" s="776"/>
      <c r="Y459" s="776"/>
      <c r="Z459" s="776"/>
      <c r="AA459" s="776"/>
      <c r="AB459" s="776"/>
      <c r="AC459" s="776"/>
      <c r="AD459" s="776"/>
      <c r="AE459" s="776"/>
    </row>
    <row r="460" spans="1:31" s="342" customFormat="1" ht="13.5">
      <c r="A460" s="13"/>
      <c r="B460" s="485" t="s">
        <v>765</v>
      </c>
      <c r="C460" s="422"/>
      <c r="D460" s="498" t="e">
        <f>'Mark-Expect'!#REF!</f>
        <v>#REF!</v>
      </c>
      <c r="E460" s="498" t="e">
        <f>'Mark-Expect'!#REF!</f>
        <v>#REF!</v>
      </c>
      <c r="F460" s="498" t="e">
        <f>'Mark-Expect'!#REF!</f>
        <v>#REF!</v>
      </c>
      <c r="G460" s="498">
        <f>'Mark-Expect'!N44</f>
        <v>0</v>
      </c>
      <c r="H460" s="498">
        <f>'Mark-Expect'!O44</f>
        <v>0</v>
      </c>
      <c r="I460" s="498" t="e">
        <f>'Mark-Expect'!P44</f>
        <v>#REF!</v>
      </c>
      <c r="J460" s="498" t="e">
        <f>'Mark-Expect'!Q44</f>
        <v>#REF!</v>
      </c>
      <c r="K460" s="498" t="e">
        <f>'Mark-Expect'!R44</f>
        <v>#REF!</v>
      </c>
      <c r="L460" s="498" t="e">
        <f>'Mark-Expect'!S44</f>
        <v>#REF!</v>
      </c>
      <c r="M460" s="564" t="e">
        <f>'Mark-Expect'!#REF!</f>
        <v>#REF!</v>
      </c>
      <c r="N460" s="776"/>
      <c r="O460" s="776"/>
      <c r="P460" s="776"/>
      <c r="Q460" s="776"/>
      <c r="R460" s="776"/>
      <c r="S460" s="776"/>
      <c r="T460" s="776"/>
      <c r="U460" s="776"/>
      <c r="V460" s="776"/>
      <c r="W460" s="776"/>
      <c r="X460" s="776"/>
      <c r="Y460" s="776"/>
      <c r="Z460" s="776"/>
      <c r="AA460" s="776"/>
      <c r="AB460" s="776"/>
      <c r="AC460" s="776"/>
      <c r="AD460" s="776"/>
      <c r="AE460" s="776"/>
    </row>
    <row r="461" spans="1:31" s="342" customFormat="1" ht="13.5">
      <c r="A461" s="13"/>
      <c r="B461" s="485" t="s">
        <v>608</v>
      </c>
      <c r="C461" s="422"/>
      <c r="D461" s="499" t="e">
        <f>'Mark-Expect'!#REF!</f>
        <v>#REF!</v>
      </c>
      <c r="E461" s="499" t="e">
        <f>'Mark-Expect'!#REF!</f>
        <v>#REF!</v>
      </c>
      <c r="F461" s="499" t="e">
        <f>'Mark-Expect'!#REF!</f>
        <v>#REF!</v>
      </c>
      <c r="G461" s="499">
        <f>'Mark-Expect'!N45</f>
        <v>0</v>
      </c>
      <c r="H461" s="499">
        <f>'Mark-Expect'!O45</f>
        <v>0</v>
      </c>
      <c r="I461" s="499" t="e">
        <f>'Mark-Expect'!P45</f>
        <v>#REF!</v>
      </c>
      <c r="J461" s="499" t="e">
        <f>'Mark-Expect'!Q45</f>
        <v>#REF!</v>
      </c>
      <c r="K461" s="499" t="e">
        <f>'Mark-Expect'!R45</f>
        <v>#REF!</v>
      </c>
      <c r="L461" s="499" t="e">
        <f>'Mark-Expect'!S45</f>
        <v>#REF!</v>
      </c>
      <c r="M461" s="565" t="e">
        <f>'Mark-Expect'!#REF!</f>
        <v>#REF!</v>
      </c>
      <c r="N461" s="776"/>
      <c r="O461" s="776"/>
      <c r="P461" s="776"/>
      <c r="Q461" s="776"/>
      <c r="R461" s="776"/>
      <c r="S461" s="776"/>
      <c r="T461" s="776"/>
      <c r="U461" s="776"/>
      <c r="V461" s="776"/>
      <c r="W461" s="776"/>
      <c r="X461" s="776"/>
      <c r="Y461" s="776"/>
      <c r="Z461" s="776"/>
      <c r="AA461" s="776"/>
      <c r="AB461" s="776"/>
      <c r="AC461" s="776"/>
      <c r="AD461" s="776"/>
      <c r="AE461" s="776"/>
    </row>
    <row r="462" spans="1:31" s="342" customFormat="1" ht="13.5">
      <c r="A462" s="13"/>
      <c r="B462" s="496" t="s">
        <v>723</v>
      </c>
      <c r="C462" s="422"/>
      <c r="D462" s="498" t="e">
        <f>SUM(D459:D461)</f>
        <v>#REF!</v>
      </c>
      <c r="E462" s="498" t="e">
        <f t="shared" ref="E462:M462" si="38">SUM(E459:E461)</f>
        <v>#REF!</v>
      </c>
      <c r="F462" s="498" t="e">
        <f t="shared" si="38"/>
        <v>#REF!</v>
      </c>
      <c r="G462" s="498">
        <f t="shared" si="38"/>
        <v>0</v>
      </c>
      <c r="H462" s="498">
        <f t="shared" si="38"/>
        <v>0</v>
      </c>
      <c r="I462" s="498" t="e">
        <f t="shared" si="38"/>
        <v>#REF!</v>
      </c>
      <c r="J462" s="498" t="e">
        <f t="shared" si="38"/>
        <v>#REF!</v>
      </c>
      <c r="K462" s="498" t="e">
        <f t="shared" si="38"/>
        <v>#REF!</v>
      </c>
      <c r="L462" s="498" t="e">
        <f t="shared" si="38"/>
        <v>#REF!</v>
      </c>
      <c r="M462" s="564" t="e">
        <f t="shared" si="38"/>
        <v>#REF!</v>
      </c>
      <c r="N462" s="776"/>
      <c r="O462" s="776"/>
      <c r="P462" s="776"/>
      <c r="Q462" s="776"/>
      <c r="R462" s="776"/>
      <c r="S462" s="776"/>
      <c r="T462" s="776"/>
      <c r="U462" s="776"/>
      <c r="V462" s="776"/>
      <c r="W462" s="776"/>
      <c r="X462" s="776"/>
      <c r="Y462" s="776"/>
      <c r="Z462" s="776"/>
      <c r="AA462" s="776"/>
      <c r="AB462" s="776"/>
      <c r="AC462" s="776"/>
      <c r="AD462" s="776"/>
      <c r="AE462" s="776"/>
    </row>
    <row r="463" spans="1:31" s="342" customFormat="1">
      <c r="A463" s="13"/>
      <c r="B463" s="172"/>
      <c r="C463" s="13"/>
      <c r="D463" s="400"/>
      <c r="E463" s="400"/>
      <c r="F463" s="400"/>
      <c r="G463" s="400"/>
      <c r="H463" s="346"/>
      <c r="I463" s="346"/>
      <c r="J463" s="346"/>
      <c r="K463" s="346"/>
      <c r="L463" s="346"/>
      <c r="M463" s="400"/>
      <c r="N463" s="37"/>
      <c r="O463" s="80"/>
      <c r="P463" s="80"/>
      <c r="Q463" s="776"/>
      <c r="R463" s="776"/>
      <c r="S463" s="776"/>
      <c r="T463" s="776"/>
      <c r="U463" s="776"/>
      <c r="V463" s="776"/>
      <c r="W463" s="776"/>
      <c r="X463" s="776"/>
      <c r="Y463" s="776"/>
      <c r="Z463" s="776"/>
      <c r="AA463" s="776"/>
      <c r="AB463" s="776"/>
      <c r="AC463" s="776"/>
      <c r="AD463" s="776"/>
      <c r="AE463" s="776"/>
    </row>
    <row r="464" spans="1:31" s="342" customFormat="1">
      <c r="A464" s="776"/>
      <c r="B464" s="531" t="s">
        <v>979</v>
      </c>
      <c r="C464" s="44"/>
      <c r="D464" s="44"/>
      <c r="E464" s="44"/>
      <c r="F464" s="44"/>
      <c r="G464" s="44"/>
      <c r="H464" s="776"/>
      <c r="I464" s="776"/>
      <c r="J464" s="776"/>
      <c r="K464" s="776"/>
      <c r="L464" s="776"/>
      <c r="M464" s="776"/>
      <c r="N464" s="776"/>
      <c r="O464" s="776"/>
      <c r="P464" s="776"/>
      <c r="Q464" s="776"/>
      <c r="R464" s="776"/>
      <c r="S464" s="776"/>
      <c r="T464" s="776"/>
      <c r="U464" s="776"/>
      <c r="V464" s="776"/>
      <c r="W464" s="30"/>
      <c r="X464" s="10"/>
      <c r="Y464" s="346"/>
      <c r="Z464" s="346"/>
      <c r="AA464" s="346"/>
      <c r="AB464" s="776"/>
      <c r="AC464" s="776"/>
      <c r="AD464" s="397"/>
      <c r="AE464" s="776"/>
    </row>
    <row r="465" spans="1:35" s="592" customFormat="1">
      <c r="A465" s="776"/>
      <c r="B465" s="30"/>
      <c r="C465" s="13"/>
      <c r="D465" s="13"/>
      <c r="E465" s="13"/>
      <c r="F465" s="13"/>
      <c r="G465" s="13"/>
      <c r="H465" s="776"/>
      <c r="I465" s="776"/>
      <c r="J465" s="776"/>
      <c r="K465" s="776"/>
      <c r="L465" s="776"/>
      <c r="M465" s="776"/>
      <c r="N465" s="776"/>
      <c r="O465" s="776"/>
      <c r="P465" s="776"/>
      <c r="Q465" s="776"/>
      <c r="R465" s="776"/>
      <c r="S465" s="776"/>
      <c r="T465" s="776"/>
      <c r="U465" s="776"/>
      <c r="V465" s="776"/>
      <c r="W465" s="30"/>
      <c r="X465" s="10"/>
      <c r="Y465" s="346"/>
      <c r="Z465" s="346"/>
      <c r="AA465" s="346"/>
      <c r="AB465" s="776"/>
      <c r="AC465" s="776"/>
      <c r="AD465" s="397"/>
      <c r="AE465" s="776"/>
      <c r="AF465" s="776"/>
      <c r="AG465" s="776"/>
      <c r="AH465" s="776"/>
      <c r="AI465" s="776"/>
    </row>
    <row r="466" spans="1:35" s="342" customFormat="1" ht="19.5">
      <c r="A466" s="776"/>
      <c r="B466" s="572" t="s">
        <v>980</v>
      </c>
      <c r="C466" s="13"/>
      <c r="D466" s="13"/>
      <c r="E466" s="13"/>
      <c r="F466" s="776"/>
      <c r="G466" s="776"/>
      <c r="H466" s="776"/>
      <c r="I466" s="776"/>
      <c r="J466" s="776"/>
      <c r="K466" s="776"/>
      <c r="L466" s="776"/>
      <c r="M466" s="776"/>
      <c r="N466" s="776"/>
      <c r="O466" s="776"/>
      <c r="P466" s="776"/>
      <c r="Q466" s="776"/>
      <c r="R466" s="776"/>
      <c r="S466" s="776"/>
      <c r="T466" s="776"/>
      <c r="U466" s="776"/>
      <c r="V466" s="776"/>
      <c r="W466" s="30"/>
      <c r="X466" s="10"/>
      <c r="Y466" s="346"/>
      <c r="Z466" s="346"/>
      <c r="AA466" s="346"/>
      <c r="AB466" s="776"/>
      <c r="AC466" s="776"/>
      <c r="AD466" s="397"/>
      <c r="AE466" s="776"/>
      <c r="AF466" s="776"/>
      <c r="AG466" s="776"/>
      <c r="AH466" s="776"/>
      <c r="AI466" s="776"/>
    </row>
    <row r="467" spans="1:35" s="342" customFormat="1">
      <c r="A467" s="776"/>
      <c r="B467" s="776"/>
      <c r="C467" s="776"/>
      <c r="D467" s="776"/>
      <c r="E467" s="776"/>
      <c r="F467" s="776"/>
      <c r="G467" s="776"/>
      <c r="H467" s="776"/>
      <c r="I467" s="776"/>
      <c r="J467" s="776"/>
      <c r="K467" s="776"/>
      <c r="L467" s="776"/>
      <c r="M467" s="776"/>
      <c r="N467" s="776"/>
      <c r="O467" s="776"/>
      <c r="P467" s="776"/>
      <c r="Q467" s="776"/>
      <c r="R467" s="776"/>
      <c r="S467" s="776"/>
      <c r="T467" s="776"/>
      <c r="U467" s="776"/>
      <c r="V467" s="776"/>
      <c r="W467" s="30"/>
      <c r="X467" s="10"/>
      <c r="Y467" s="346"/>
      <c r="Z467" s="346"/>
      <c r="AA467" s="346"/>
      <c r="AB467" s="776"/>
      <c r="AC467" s="776"/>
      <c r="AD467" s="397"/>
      <c r="AE467" s="776"/>
      <c r="AF467" s="776"/>
      <c r="AG467" s="776"/>
      <c r="AH467" s="776"/>
      <c r="AI467" s="776"/>
    </row>
    <row r="468" spans="1:35" s="342" customFormat="1" ht="15">
      <c r="A468" s="776"/>
      <c r="B468" s="538" t="s">
        <v>981</v>
      </c>
      <c r="C468" s="539"/>
      <c r="D468" s="539"/>
      <c r="E468" s="539"/>
      <c r="F468" s="540"/>
      <c r="G468" s="541"/>
      <c r="H468" s="776"/>
      <c r="I468" s="538" t="s">
        <v>981</v>
      </c>
      <c r="J468" s="127"/>
      <c r="K468" s="127"/>
      <c r="L468" s="127"/>
      <c r="M468" s="127"/>
      <c r="N468" s="127"/>
      <c r="O468" s="776"/>
      <c r="P468" s="776"/>
      <c r="Q468" s="776"/>
      <c r="R468" s="776"/>
      <c r="S468" s="776"/>
      <c r="T468" s="776"/>
      <c r="U468" s="776"/>
      <c r="V468" s="776"/>
      <c r="W468" s="776"/>
      <c r="X468" s="776"/>
      <c r="Y468" s="776"/>
      <c r="Z468" s="776"/>
      <c r="AA468" s="776"/>
      <c r="AB468" s="776"/>
      <c r="AC468" s="776"/>
      <c r="AD468" s="776"/>
      <c r="AE468" s="776"/>
      <c r="AF468" s="776"/>
      <c r="AG468" s="776"/>
      <c r="AH468" s="776"/>
      <c r="AI468" s="776"/>
    </row>
    <row r="469" spans="1:35" s="342" customFormat="1">
      <c r="A469" s="776"/>
      <c r="B469" s="138"/>
      <c r="C469" s="539"/>
      <c r="D469" s="539"/>
      <c r="E469" s="539"/>
      <c r="F469" s="540"/>
      <c r="G469" s="541"/>
      <c r="H469" s="776"/>
      <c r="I469" s="127"/>
      <c r="J469" s="127"/>
      <c r="K469" s="127"/>
      <c r="L469" s="127"/>
      <c r="M469" s="127"/>
      <c r="N469" s="127"/>
      <c r="O469" s="776"/>
      <c r="P469" s="776"/>
      <c r="Q469" s="776"/>
      <c r="R469" s="776"/>
      <c r="S469" s="776"/>
      <c r="T469" s="776"/>
      <c r="U469" s="776"/>
      <c r="V469" s="776"/>
      <c r="W469" s="776"/>
      <c r="X469" s="346"/>
      <c r="Y469" s="346"/>
      <c r="Z469" s="346"/>
      <c r="AA469" s="346"/>
      <c r="AB469" s="10"/>
      <c r="AC469" s="10"/>
      <c r="AD469" s="346"/>
      <c r="AE469" s="346"/>
      <c r="AF469" s="346"/>
      <c r="AG469" s="346"/>
      <c r="AH469" s="346"/>
      <c r="AI469" s="346"/>
    </row>
    <row r="470" spans="1:35" s="342" customFormat="1" ht="15">
      <c r="A470" s="776"/>
      <c r="B470" s="542"/>
      <c r="C470" s="542"/>
      <c r="D470" s="542"/>
      <c r="E470" s="543">
        <v>2015</v>
      </c>
      <c r="F470" s="543">
        <f>E470+1</f>
        <v>2016</v>
      </c>
      <c r="G470" s="544">
        <f>F470+1</f>
        <v>2017</v>
      </c>
      <c r="H470" s="776"/>
      <c r="I470" s="398"/>
      <c r="J470" s="127"/>
      <c r="K470" s="127"/>
      <c r="L470" s="543">
        <v>2015</v>
      </c>
      <c r="M470" s="543">
        <f>L470+1</f>
        <v>2016</v>
      </c>
      <c r="N470" s="544">
        <f>M470+1</f>
        <v>2017</v>
      </c>
      <c r="O470" s="776"/>
      <c r="P470" s="776"/>
      <c r="Q470" s="776"/>
      <c r="R470" s="776"/>
      <c r="S470" s="776"/>
      <c r="T470" s="776"/>
      <c r="U470" s="776"/>
      <c r="V470" s="776"/>
      <c r="W470" s="776"/>
      <c r="X470" s="346"/>
      <c r="Y470" s="346"/>
      <c r="Z470" s="346"/>
      <c r="AA470" s="346"/>
      <c r="AB470" s="10"/>
      <c r="AC470" s="10"/>
      <c r="AD470" s="346"/>
      <c r="AE470" s="346"/>
      <c r="AF470" s="346"/>
      <c r="AG470" s="346"/>
      <c r="AH470" s="346"/>
      <c r="AI470" s="346"/>
    </row>
    <row r="471" spans="1:35" s="342" customFormat="1" ht="13.5">
      <c r="A471" s="776"/>
      <c r="B471" s="539"/>
      <c r="C471" s="545"/>
      <c r="D471" s="546" t="s">
        <v>32</v>
      </c>
      <c r="E471" s="127"/>
      <c r="F471" s="127"/>
      <c r="G471" s="566">
        <f>'X-Chart Basics'!D24</f>
        <v>42790</v>
      </c>
      <c r="H471" s="776"/>
      <c r="I471" s="398"/>
      <c r="J471" s="127"/>
      <c r="K471" s="546" t="s">
        <v>32</v>
      </c>
      <c r="L471" s="127"/>
      <c r="M471" s="558"/>
      <c r="N471" s="566">
        <f>'X-Chart Basics'!D24</f>
        <v>42790</v>
      </c>
      <c r="O471" s="776"/>
      <c r="P471" s="776"/>
      <c r="Q471" s="776"/>
      <c r="R471" s="776"/>
      <c r="S471" s="776"/>
      <c r="T471" s="776"/>
      <c r="U471" s="776"/>
      <c r="V471" s="776"/>
      <c r="W471" s="776"/>
      <c r="X471" s="346"/>
      <c r="Y471" s="346"/>
      <c r="Z471" s="346"/>
      <c r="AA471" s="346"/>
      <c r="AB471" s="10"/>
      <c r="AC471" s="10"/>
      <c r="AD471" s="346"/>
      <c r="AE471" s="346"/>
      <c r="AF471" s="346"/>
      <c r="AG471" s="346"/>
      <c r="AH471" s="346"/>
      <c r="AI471" s="346"/>
    </row>
    <row r="472" spans="1:35" s="342" customFormat="1">
      <c r="A472" s="776"/>
      <c r="B472" s="547" t="s">
        <v>840</v>
      </c>
      <c r="C472" s="548"/>
      <c r="D472" s="546"/>
      <c r="E472" s="127"/>
      <c r="F472" s="127"/>
      <c r="G472" s="549" t="s">
        <v>944</v>
      </c>
      <c r="H472" s="776"/>
      <c r="I472" s="559" t="s">
        <v>839</v>
      </c>
      <c r="J472" s="560"/>
      <c r="K472" s="127"/>
      <c r="L472" s="127"/>
      <c r="M472" s="127"/>
      <c r="N472" s="549" t="s">
        <v>944</v>
      </c>
      <c r="O472" s="776"/>
      <c r="P472" s="776"/>
      <c r="Q472" s="776"/>
      <c r="R472" s="776"/>
      <c r="S472" s="776"/>
      <c r="T472" s="776"/>
      <c r="U472" s="776"/>
      <c r="V472" s="776"/>
      <c r="W472" s="776"/>
      <c r="X472" s="346"/>
      <c r="Y472" s="346"/>
      <c r="Z472" s="346"/>
      <c r="AA472" s="346"/>
      <c r="AB472" s="10"/>
      <c r="AC472" s="10"/>
      <c r="AD472" s="346"/>
      <c r="AE472" s="346"/>
      <c r="AF472" s="346"/>
      <c r="AG472" s="346"/>
      <c r="AH472" s="346"/>
      <c r="AI472" s="346"/>
    </row>
    <row r="473" spans="1:35" s="342" customFormat="1">
      <c r="A473" s="776"/>
      <c r="B473" s="550" t="s">
        <v>723</v>
      </c>
      <c r="C473" s="551"/>
      <c r="D473" s="127"/>
      <c r="E473" s="552" t="e">
        <f t="shared" ref="E473:G475" si="39">K252</f>
        <v>#REF!</v>
      </c>
      <c r="F473" s="552" t="e">
        <f t="shared" si="39"/>
        <v>#REF!</v>
      </c>
      <c r="G473" s="553">
        <f t="shared" si="39"/>
        <v>1869.4580000000001</v>
      </c>
      <c r="H473" s="776"/>
      <c r="I473" s="561" t="s">
        <v>723</v>
      </c>
      <c r="J473" s="127"/>
      <c r="K473" s="562"/>
      <c r="L473" s="552" t="e">
        <f t="shared" ref="L473:N475" si="40">K257</f>
        <v>#REF!</v>
      </c>
      <c r="M473" s="552" t="e">
        <f t="shared" si="40"/>
        <v>#REF!</v>
      </c>
      <c r="N473" s="563" t="e">
        <f t="shared" si="40"/>
        <v>#REF!</v>
      </c>
      <c r="O473" s="776"/>
      <c r="P473" s="776"/>
      <c r="Q473" s="776"/>
      <c r="R473" s="776"/>
      <c r="S473" s="776"/>
      <c r="T473" s="776"/>
      <c r="U473" s="776"/>
      <c r="V473" s="776"/>
      <c r="W473" s="776"/>
      <c r="X473" s="346"/>
      <c r="Y473" s="346"/>
      <c r="Z473" s="346"/>
      <c r="AA473" s="346"/>
      <c r="AB473" s="10"/>
      <c r="AC473" s="10"/>
      <c r="AD473" s="346"/>
      <c r="AE473" s="346"/>
      <c r="AF473" s="346"/>
      <c r="AG473" s="346"/>
      <c r="AH473" s="346"/>
      <c r="AI473" s="346"/>
    </row>
    <row r="474" spans="1:35" s="342" customFormat="1">
      <c r="A474" s="776"/>
      <c r="B474" s="550" t="s">
        <v>608</v>
      </c>
      <c r="C474" s="554"/>
      <c r="D474" s="127"/>
      <c r="E474" s="555" t="e">
        <f t="shared" si="39"/>
        <v>#REF!</v>
      </c>
      <c r="F474" s="555" t="e">
        <f t="shared" si="39"/>
        <v>#REF!</v>
      </c>
      <c r="G474" s="501" t="e">
        <f t="shared" si="39"/>
        <v>#REF!</v>
      </c>
      <c r="H474" s="776"/>
      <c r="I474" s="561" t="s">
        <v>608</v>
      </c>
      <c r="J474" s="127"/>
      <c r="K474" s="562"/>
      <c r="L474" s="555" t="e">
        <f t="shared" si="40"/>
        <v>#REF!</v>
      </c>
      <c r="M474" s="555" t="e">
        <f t="shared" si="40"/>
        <v>#REF!</v>
      </c>
      <c r="N474" s="503" t="e">
        <f t="shared" si="40"/>
        <v>#REF!</v>
      </c>
      <c r="O474" s="776"/>
      <c r="P474" s="776"/>
      <c r="Q474" s="776"/>
      <c r="R474" s="776"/>
      <c r="S474" s="776"/>
      <c r="T474" s="776"/>
      <c r="U474" s="776"/>
      <c r="V474" s="776"/>
      <c r="W474" s="776"/>
      <c r="X474" s="346"/>
      <c r="Y474" s="346"/>
      <c r="Z474" s="346"/>
      <c r="AA474" s="346"/>
      <c r="AB474" s="10"/>
      <c r="AC474" s="10"/>
      <c r="AD474" s="346"/>
      <c r="AE474" s="346"/>
      <c r="AF474" s="346"/>
      <c r="AG474" s="346"/>
      <c r="AH474" s="346"/>
      <c r="AI474" s="346"/>
    </row>
    <row r="475" spans="1:35" s="342" customFormat="1">
      <c r="A475" s="776"/>
      <c r="B475" s="550" t="s">
        <v>754</v>
      </c>
      <c r="C475" s="554"/>
      <c r="D475" s="127"/>
      <c r="E475" s="552" t="e">
        <f t="shared" si="39"/>
        <v>#REF!</v>
      </c>
      <c r="F475" s="552" t="e">
        <f t="shared" si="39"/>
        <v>#REF!</v>
      </c>
      <c r="G475" s="502" t="e">
        <f t="shared" si="39"/>
        <v>#REF!</v>
      </c>
      <c r="H475" s="776"/>
      <c r="I475" s="561" t="s">
        <v>754</v>
      </c>
      <c r="J475" s="127"/>
      <c r="K475" s="562"/>
      <c r="L475" s="552" t="e">
        <f t="shared" si="40"/>
        <v>#REF!</v>
      </c>
      <c r="M475" s="552" t="e">
        <f t="shared" si="40"/>
        <v>#REF!</v>
      </c>
      <c r="N475" s="563" t="e">
        <f t="shared" si="40"/>
        <v>#REF!</v>
      </c>
      <c r="O475" s="776"/>
      <c r="P475" s="776"/>
      <c r="Q475" s="776"/>
      <c r="R475" s="776"/>
      <c r="S475" s="776"/>
      <c r="T475" s="776"/>
      <c r="U475" s="776"/>
      <c r="V475" s="776"/>
      <c r="W475" s="776"/>
      <c r="X475" s="346"/>
      <c r="Y475" s="346"/>
      <c r="Z475" s="346"/>
      <c r="AA475" s="346"/>
      <c r="AB475" s="10"/>
      <c r="AC475" s="10"/>
      <c r="AD475" s="346"/>
      <c r="AE475" s="346"/>
      <c r="AF475" s="346"/>
      <c r="AG475" s="346"/>
      <c r="AH475" s="346"/>
      <c r="AI475" s="346"/>
    </row>
    <row r="476" spans="1:35" s="342" customFormat="1" ht="16.5">
      <c r="A476" s="776"/>
      <c r="B476" s="398"/>
      <c r="C476" s="127"/>
      <c r="D476" s="127"/>
      <c r="E476" s="552"/>
      <c r="F476" s="552"/>
      <c r="G476" s="556"/>
      <c r="H476" s="776"/>
      <c r="I476" s="557"/>
      <c r="J476" s="127"/>
      <c r="K476" s="127"/>
      <c r="L476" s="413"/>
      <c r="M476" s="413"/>
      <c r="N476" s="413"/>
      <c r="O476" s="776"/>
      <c r="P476" s="776"/>
      <c r="Q476" s="776"/>
      <c r="R476" s="776"/>
      <c r="S476" s="776"/>
      <c r="T476" s="776"/>
      <c r="U476" s="776"/>
      <c r="V476" s="776"/>
      <c r="W476" s="776"/>
      <c r="X476" s="346"/>
      <c r="Y476" s="346"/>
      <c r="Z476" s="346"/>
      <c r="AA476" s="346"/>
      <c r="AB476" s="10"/>
      <c r="AC476" s="10"/>
      <c r="AD476" s="346"/>
      <c r="AE476" s="346"/>
      <c r="AF476" s="346"/>
      <c r="AG476" s="346"/>
      <c r="AH476" s="346"/>
      <c r="AI476" s="346"/>
    </row>
    <row r="477" spans="1:35" s="342" customFormat="1">
      <c r="A477" s="776"/>
      <c r="B477" s="398" t="s">
        <v>982</v>
      </c>
      <c r="C477" s="127"/>
      <c r="D477" s="127"/>
      <c r="E477" s="537" t="e">
        <f>E475/E474</f>
        <v>#REF!</v>
      </c>
      <c r="F477" s="537" t="e">
        <f>F475/F474</f>
        <v>#REF!</v>
      </c>
      <c r="G477" s="537" t="e">
        <f>G475/G474</f>
        <v>#REF!</v>
      </c>
      <c r="H477" s="776"/>
      <c r="I477" s="557" t="s">
        <v>982</v>
      </c>
      <c r="J477" s="127"/>
      <c r="K477" s="127"/>
      <c r="L477" s="537" t="e">
        <f>L475/L474</f>
        <v>#REF!</v>
      </c>
      <c r="M477" s="537" t="e">
        <f>M475/M474</f>
        <v>#REF!</v>
      </c>
      <c r="N477" s="537" t="e">
        <f>N475/N474</f>
        <v>#REF!</v>
      </c>
      <c r="O477" s="776"/>
      <c r="P477" s="776"/>
      <c r="Q477" s="776"/>
      <c r="R477" s="776"/>
      <c r="S477" s="776"/>
      <c r="T477" s="776"/>
      <c r="U477" s="776"/>
      <c r="V477" s="776"/>
      <c r="W477" s="776"/>
      <c r="X477" s="776"/>
      <c r="Y477" s="776"/>
      <c r="Z477" s="776"/>
      <c r="AA477" s="776"/>
      <c r="AB477" s="10"/>
      <c r="AC477" s="10"/>
      <c r="AD477" s="346"/>
      <c r="AE477" s="346"/>
      <c r="AF477" s="346"/>
      <c r="AG477" s="346"/>
      <c r="AH477" s="346"/>
      <c r="AI477" s="346"/>
    </row>
    <row r="478" spans="1:35" s="592" customFormat="1">
      <c r="A478" s="776"/>
      <c r="B478" s="398"/>
      <c r="C478" s="127"/>
      <c r="D478" s="127"/>
      <c r="E478" s="537"/>
      <c r="F478" s="537"/>
      <c r="G478" s="537"/>
      <c r="H478" s="776"/>
      <c r="I478" s="557"/>
      <c r="J478" s="127"/>
      <c r="K478" s="127"/>
      <c r="L478" s="537"/>
      <c r="M478" s="537"/>
      <c r="N478" s="537"/>
      <c r="O478" s="776"/>
      <c r="P478" s="776"/>
      <c r="Q478" s="776"/>
      <c r="R478" s="776"/>
      <c r="S478" s="776"/>
      <c r="T478" s="776"/>
      <c r="U478" s="776"/>
      <c r="V478" s="776"/>
      <c r="W478" s="776"/>
      <c r="X478" s="776"/>
      <c r="Y478" s="776"/>
      <c r="Z478" s="776"/>
      <c r="AA478" s="776"/>
      <c r="AB478" s="10"/>
      <c r="AC478" s="10"/>
      <c r="AD478" s="346"/>
      <c r="AE478" s="346"/>
      <c r="AF478" s="346"/>
      <c r="AG478" s="346"/>
      <c r="AH478" s="346"/>
      <c r="AI478" s="346"/>
    </row>
    <row r="479" spans="1:35" s="592" customFormat="1">
      <c r="A479" s="776"/>
      <c r="B479" s="557" t="s">
        <v>983</v>
      </c>
      <c r="C479" s="127"/>
      <c r="D479" s="127"/>
      <c r="E479" s="537" t="e">
        <f>'18 Data for Charts'!#REF!</f>
        <v>#REF!</v>
      </c>
      <c r="F479" s="537" t="e">
        <f>'18 Data for Charts'!#REF!</f>
        <v>#REF!</v>
      </c>
      <c r="G479" s="537"/>
      <c r="H479" s="776"/>
      <c r="I479" s="557" t="s">
        <v>983</v>
      </c>
      <c r="J479" s="127"/>
      <c r="K479" s="127"/>
      <c r="L479" s="537" t="e">
        <f>'Econ-Perf 2'!#REF!</f>
        <v>#REF!</v>
      </c>
      <c r="M479" s="537" t="e">
        <f>'Econ-Perf 2'!#REF!</f>
        <v>#REF!</v>
      </c>
      <c r="N479" s="537">
        <f>'Econ-Perf 2'!U88</f>
        <v>0</v>
      </c>
      <c r="O479" s="13"/>
      <c r="P479" s="13"/>
      <c r="Q479" s="625"/>
      <c r="R479" s="625"/>
      <c r="S479" s="625"/>
      <c r="T479" s="776"/>
      <c r="U479" s="776"/>
      <c r="V479" s="776"/>
      <c r="W479" s="776"/>
      <c r="X479" s="776"/>
      <c r="Y479" s="776"/>
      <c r="Z479" s="776"/>
      <c r="AA479" s="776"/>
      <c r="AB479" s="10"/>
      <c r="AC479" s="10"/>
      <c r="AD479" s="346"/>
      <c r="AE479" s="346"/>
      <c r="AF479" s="346"/>
      <c r="AG479" s="346"/>
      <c r="AH479" s="346"/>
      <c r="AI479" s="346"/>
    </row>
    <row r="480" spans="1:35" s="592" customFormat="1">
      <c r="A480" s="776"/>
      <c r="B480" s="557"/>
      <c r="C480" s="127"/>
      <c r="D480" s="127"/>
      <c r="E480" s="537"/>
      <c r="F480" s="537"/>
      <c r="G480" s="537"/>
      <c r="H480" s="776"/>
      <c r="I480" s="557"/>
      <c r="J480" s="127"/>
      <c r="K480" s="127"/>
      <c r="L480" s="537"/>
      <c r="M480" s="537"/>
      <c r="N480" s="537"/>
      <c r="O480" s="13"/>
      <c r="P480" s="13"/>
      <c r="Q480" s="625"/>
      <c r="R480" s="625"/>
      <c r="S480" s="625"/>
      <c r="T480" s="776"/>
      <c r="U480" s="776"/>
      <c r="V480" s="776"/>
      <c r="W480" s="776"/>
      <c r="X480" s="776"/>
      <c r="Y480" s="776"/>
      <c r="Z480" s="776"/>
      <c r="AA480" s="776"/>
      <c r="AB480" s="10"/>
      <c r="AC480" s="10"/>
      <c r="AD480" s="346"/>
      <c r="AE480" s="346"/>
      <c r="AF480" s="346"/>
      <c r="AG480" s="346"/>
      <c r="AH480" s="346"/>
      <c r="AI480" s="346"/>
    </row>
    <row r="481" spans="1:35" s="342" customFormat="1">
      <c r="A481" s="776"/>
      <c r="B481" s="776"/>
      <c r="C481" s="776"/>
      <c r="D481" s="776"/>
      <c r="E481" s="776"/>
      <c r="F481" s="776"/>
      <c r="G481" s="10"/>
      <c r="H481" s="10"/>
      <c r="I481" s="10"/>
      <c r="J481" s="10"/>
      <c r="K481" s="10"/>
      <c r="L481" s="267"/>
      <c r="M481" s="10"/>
      <c r="N481" s="10"/>
      <c r="O481" s="10"/>
      <c r="P481" s="10"/>
      <c r="Q481" s="10"/>
      <c r="R481" s="10"/>
      <c r="S481" s="126"/>
      <c r="T481" s="776"/>
      <c r="U481" s="776"/>
      <c r="V481" s="776"/>
      <c r="W481" s="776"/>
      <c r="X481" s="776"/>
      <c r="Y481" s="776"/>
      <c r="Z481" s="776"/>
      <c r="AA481" s="776"/>
      <c r="AB481" s="10"/>
      <c r="AC481" s="10"/>
      <c r="AD481" s="346"/>
      <c r="AE481" s="346"/>
      <c r="AF481" s="346"/>
      <c r="AG481" s="346"/>
      <c r="AH481" s="346"/>
      <c r="AI481" s="346"/>
    </row>
    <row r="482" spans="1:35" s="574" customFormat="1">
      <c r="A482" s="776"/>
      <c r="B482" s="531" t="s">
        <v>984</v>
      </c>
      <c r="C482" s="44"/>
      <c r="D482" s="44"/>
      <c r="E482" s="44"/>
      <c r="F482" s="44"/>
      <c r="G482" s="335"/>
      <c r="H482" s="10"/>
      <c r="I482" s="10"/>
      <c r="J482" s="10"/>
      <c r="K482" s="10"/>
      <c r="L482" s="267"/>
      <c r="M482" s="10"/>
      <c r="N482" s="10"/>
      <c r="O482" s="10"/>
      <c r="P482" s="10"/>
      <c r="Q482" s="10"/>
      <c r="R482" s="10"/>
      <c r="S482" s="126"/>
      <c r="T482" s="776"/>
      <c r="U482" s="776"/>
      <c r="V482" s="776"/>
      <c r="W482" s="776"/>
      <c r="X482" s="776"/>
      <c r="Y482" s="776"/>
      <c r="Z482" s="776"/>
      <c r="AA482" s="776"/>
      <c r="AB482" s="10"/>
      <c r="AC482" s="10"/>
      <c r="AD482" s="346"/>
      <c r="AE482" s="346"/>
      <c r="AF482" s="346"/>
      <c r="AG482" s="346"/>
      <c r="AH482" s="346"/>
      <c r="AI482" s="346"/>
    </row>
    <row r="483" spans="1:35" s="592" customFormat="1">
      <c r="A483" s="776"/>
      <c r="B483" s="30"/>
      <c r="C483" s="13"/>
      <c r="D483" s="13"/>
      <c r="E483" s="13"/>
      <c r="F483" s="13"/>
      <c r="G483" s="23"/>
      <c r="H483" s="10"/>
      <c r="I483" s="10"/>
      <c r="J483" s="10"/>
      <c r="K483" s="10"/>
      <c r="L483" s="267"/>
      <c r="M483" s="10"/>
      <c r="N483" s="10"/>
      <c r="O483" s="10"/>
      <c r="P483" s="10"/>
      <c r="Q483" s="10"/>
      <c r="R483" s="10"/>
      <c r="S483" s="126"/>
      <c r="T483" s="776"/>
      <c r="U483" s="776"/>
      <c r="V483" s="776"/>
      <c r="W483" s="776"/>
      <c r="X483" s="776"/>
      <c r="Y483" s="776"/>
      <c r="Z483" s="776"/>
      <c r="AA483" s="776"/>
      <c r="AB483" s="10"/>
      <c r="AC483" s="10"/>
      <c r="AD483" s="346"/>
      <c r="AE483" s="346"/>
      <c r="AF483" s="346"/>
      <c r="AG483" s="346"/>
      <c r="AH483" s="346"/>
      <c r="AI483" s="346"/>
    </row>
    <row r="484" spans="1:35" s="574" customFormat="1" ht="19.5">
      <c r="A484" s="776"/>
      <c r="B484" s="572" t="s">
        <v>985</v>
      </c>
      <c r="C484" s="776"/>
      <c r="D484" s="776"/>
      <c r="E484" s="776"/>
      <c r="F484" s="776"/>
      <c r="G484" s="10"/>
      <c r="H484" s="10"/>
      <c r="I484" s="10"/>
      <c r="J484" s="10"/>
      <c r="K484" s="10"/>
      <c r="L484" s="267"/>
      <c r="M484" s="10"/>
      <c r="N484" s="10"/>
      <c r="O484" s="10"/>
      <c r="P484" s="10"/>
      <c r="Q484" s="10"/>
      <c r="R484" s="10"/>
      <c r="S484" s="126"/>
      <c r="T484" s="776"/>
      <c r="U484" s="776"/>
      <c r="V484" s="776"/>
      <c r="W484" s="776"/>
      <c r="X484" s="776"/>
      <c r="Y484" s="776"/>
      <c r="Z484" s="776"/>
      <c r="AA484" s="776"/>
      <c r="AB484" s="10"/>
      <c r="AC484" s="10"/>
      <c r="AD484" s="346"/>
      <c r="AE484" s="346"/>
      <c r="AF484" s="346"/>
      <c r="AG484" s="346"/>
      <c r="AH484" s="346"/>
      <c r="AI484" s="346"/>
    </row>
    <row r="485" spans="1:35" s="574" customFormat="1">
      <c r="A485" s="776"/>
      <c r="B485" s="776"/>
      <c r="C485" s="776"/>
      <c r="D485" s="776"/>
      <c r="E485" s="776"/>
      <c r="F485" s="776"/>
      <c r="G485" s="10"/>
      <c r="H485" s="10"/>
      <c r="I485" s="10"/>
      <c r="J485" s="10"/>
      <c r="K485" s="10"/>
      <c r="L485" s="267"/>
      <c r="M485" s="10"/>
      <c r="N485" s="10"/>
      <c r="O485" s="10"/>
      <c r="P485" s="10"/>
      <c r="Q485" s="10"/>
      <c r="R485" s="10"/>
      <c r="S485" s="126"/>
      <c r="T485" s="776"/>
      <c r="U485" s="776"/>
      <c r="V485" s="776"/>
      <c r="W485" s="776"/>
      <c r="X485" s="776"/>
      <c r="Y485" s="776"/>
      <c r="Z485" s="776"/>
      <c r="AA485" s="776"/>
      <c r="AB485" s="10"/>
      <c r="AC485" s="10"/>
      <c r="AD485" s="346"/>
      <c r="AE485" s="346"/>
      <c r="AF485" s="346"/>
      <c r="AG485" s="346"/>
      <c r="AH485" s="346"/>
      <c r="AI485" s="346"/>
    </row>
    <row r="486" spans="1:35" s="574" customFormat="1">
      <c r="A486" s="776"/>
      <c r="B486" s="776"/>
      <c r="C486" s="776"/>
      <c r="D486" s="776"/>
      <c r="E486" s="776"/>
      <c r="F486" s="776"/>
      <c r="G486" s="10"/>
      <c r="H486" s="10"/>
      <c r="I486" s="10"/>
      <c r="J486" s="10"/>
      <c r="K486" s="10"/>
      <c r="L486" s="267"/>
      <c r="M486" s="10"/>
      <c r="N486" s="10"/>
      <c r="O486" s="10"/>
      <c r="P486" s="10"/>
      <c r="Q486" s="10"/>
      <c r="R486" s="10"/>
      <c r="S486" s="126"/>
      <c r="T486" s="776"/>
      <c r="U486" s="776"/>
      <c r="V486" s="776"/>
      <c r="W486" s="776"/>
      <c r="X486" s="776"/>
      <c r="Y486" s="776"/>
      <c r="Z486" s="776"/>
      <c r="AA486" s="776"/>
      <c r="AB486" s="10"/>
      <c r="AC486" s="10"/>
      <c r="AD486" s="346"/>
      <c r="AE486" s="346"/>
      <c r="AF486" s="346"/>
      <c r="AG486" s="346"/>
      <c r="AH486" s="346"/>
      <c r="AI486" s="346"/>
    </row>
    <row r="487" spans="1:35" s="574" customFormat="1">
      <c r="A487" s="776"/>
      <c r="B487" s="776"/>
      <c r="C487" s="776"/>
      <c r="D487" s="776"/>
      <c r="E487" s="776"/>
      <c r="F487" s="776"/>
      <c r="G487" s="10"/>
      <c r="H487" s="10"/>
      <c r="I487" s="10"/>
      <c r="J487" s="10"/>
      <c r="K487" s="10"/>
      <c r="L487" s="267"/>
      <c r="M487" s="10"/>
      <c r="N487" s="10"/>
      <c r="O487" s="10"/>
      <c r="P487" s="10"/>
      <c r="Q487" s="10"/>
      <c r="R487" s="10"/>
      <c r="S487" s="126"/>
      <c r="T487" s="776"/>
      <c r="U487" s="776"/>
      <c r="V487" s="776"/>
      <c r="W487" s="776"/>
      <c r="X487" s="776"/>
      <c r="Y487" s="776"/>
      <c r="Z487" s="776"/>
      <c r="AA487" s="776"/>
      <c r="AB487" s="10"/>
      <c r="AC487" s="10"/>
      <c r="AD487" s="346"/>
      <c r="AE487" s="346"/>
      <c r="AF487" s="346"/>
      <c r="AG487" s="346"/>
      <c r="AH487" s="346"/>
      <c r="AI487" s="346"/>
    </row>
    <row r="488" spans="1:35" s="574" customFormat="1">
      <c r="A488" s="776"/>
      <c r="B488" s="776"/>
      <c r="C488" s="776"/>
      <c r="D488" s="776"/>
      <c r="E488" s="776"/>
      <c r="F488" s="776"/>
      <c r="G488" s="10"/>
      <c r="H488" s="10"/>
      <c r="I488" s="10"/>
      <c r="J488" s="10"/>
      <c r="K488" s="10"/>
      <c r="L488" s="267"/>
      <c r="M488" s="10"/>
      <c r="N488" s="10"/>
      <c r="O488" s="10"/>
      <c r="P488" s="10"/>
      <c r="Q488" s="10"/>
      <c r="R488" s="10"/>
      <c r="S488" s="126"/>
      <c r="T488" s="776"/>
      <c r="U488" s="776"/>
      <c r="V488" s="776"/>
      <c r="W488" s="776"/>
      <c r="X488" s="776"/>
      <c r="Y488" s="776"/>
      <c r="Z488" s="776"/>
      <c r="AA488" s="776"/>
      <c r="AB488" s="10"/>
      <c r="AC488" s="10"/>
      <c r="AD488" s="346"/>
      <c r="AE488" s="346"/>
      <c r="AF488" s="346"/>
      <c r="AG488" s="346"/>
      <c r="AH488" s="346"/>
      <c r="AI488" s="346"/>
    </row>
    <row r="489" spans="1:35" s="574" customFormat="1">
      <c r="A489" s="776"/>
      <c r="B489" s="776"/>
      <c r="C489" s="776"/>
      <c r="D489" s="776"/>
      <c r="E489" s="776"/>
      <c r="F489" s="776"/>
      <c r="G489" s="10"/>
      <c r="H489" s="10"/>
      <c r="I489" s="10"/>
      <c r="J489" s="10"/>
      <c r="K489" s="10"/>
      <c r="L489" s="267"/>
      <c r="M489" s="10"/>
      <c r="N489" s="10"/>
      <c r="O489" s="10"/>
      <c r="P489" s="10"/>
      <c r="Q489" s="10"/>
      <c r="R489" s="10"/>
      <c r="S489" s="126"/>
      <c r="T489" s="776"/>
      <c r="U489" s="776"/>
      <c r="V489" s="776"/>
      <c r="W489" s="776"/>
      <c r="X489" s="776"/>
      <c r="Y489" s="776"/>
      <c r="Z489" s="776"/>
      <c r="AA489" s="776"/>
      <c r="AB489" s="10"/>
      <c r="AC489" s="10"/>
      <c r="AD489" s="346"/>
      <c r="AE489" s="346"/>
      <c r="AF489" s="346"/>
      <c r="AG489" s="346"/>
      <c r="AH489" s="346"/>
      <c r="AI489" s="346"/>
    </row>
    <row r="490" spans="1:35" s="574" customFormat="1">
      <c r="A490" s="776"/>
      <c r="B490" s="776"/>
      <c r="C490" s="776"/>
      <c r="D490" s="776"/>
      <c r="E490" s="776"/>
      <c r="F490" s="776"/>
      <c r="G490" s="10"/>
      <c r="H490" s="10"/>
      <c r="I490" s="10"/>
      <c r="J490" s="10"/>
      <c r="K490" s="10"/>
      <c r="L490" s="267"/>
      <c r="M490" s="10"/>
      <c r="N490" s="10"/>
      <c r="O490" s="10"/>
      <c r="P490" s="10"/>
      <c r="Q490" s="10"/>
      <c r="R490" s="10"/>
      <c r="S490" s="126"/>
      <c r="T490" s="776"/>
      <c r="U490" s="776"/>
      <c r="V490" s="776"/>
      <c r="W490" s="776"/>
      <c r="X490" s="776"/>
      <c r="Y490" s="776"/>
      <c r="Z490" s="776"/>
      <c r="AA490" s="776"/>
      <c r="AB490" s="10"/>
      <c r="AC490" s="10"/>
      <c r="AD490" s="346"/>
      <c r="AE490" s="346"/>
      <c r="AF490" s="346"/>
      <c r="AG490" s="346"/>
      <c r="AH490" s="346"/>
      <c r="AI490" s="346"/>
    </row>
    <row r="491" spans="1:35" s="574" customFormat="1">
      <c r="A491" s="776"/>
      <c r="B491" s="776"/>
      <c r="C491" s="776"/>
      <c r="D491" s="776"/>
      <c r="E491" s="776"/>
      <c r="F491" s="776"/>
      <c r="G491" s="10"/>
      <c r="H491" s="10"/>
      <c r="I491" s="10"/>
      <c r="J491" s="10"/>
      <c r="K491" s="10"/>
      <c r="L491" s="267"/>
      <c r="M491" s="10"/>
      <c r="N491" s="10"/>
      <c r="O491" s="10"/>
      <c r="P491" s="10"/>
      <c r="Q491" s="10"/>
      <c r="R491" s="10"/>
      <c r="S491" s="126"/>
      <c r="T491" s="776"/>
      <c r="U491" s="776"/>
      <c r="V491" s="776"/>
      <c r="W491" s="776"/>
      <c r="X491" s="776"/>
      <c r="Y491" s="776"/>
      <c r="Z491" s="776"/>
      <c r="AA491" s="776"/>
      <c r="AB491" s="10"/>
      <c r="AC491" s="10"/>
      <c r="AD491" s="346"/>
      <c r="AE491" s="346"/>
      <c r="AF491" s="346"/>
      <c r="AG491" s="346"/>
      <c r="AH491" s="346"/>
      <c r="AI491" s="346"/>
    </row>
    <row r="492" spans="1:35" s="574" customFormat="1">
      <c r="A492" s="776"/>
      <c r="B492" s="776"/>
      <c r="C492" s="776"/>
      <c r="D492" s="776"/>
      <c r="E492" s="776"/>
      <c r="F492" s="776"/>
      <c r="G492" s="10"/>
      <c r="H492" s="10"/>
      <c r="I492" s="10"/>
      <c r="J492" s="10"/>
      <c r="K492" s="10"/>
      <c r="L492" s="267"/>
      <c r="M492" s="10"/>
      <c r="N492" s="10"/>
      <c r="O492" s="10"/>
      <c r="P492" s="10"/>
      <c r="Q492" s="10"/>
      <c r="R492" s="10"/>
      <c r="S492" s="126"/>
      <c r="T492" s="776"/>
      <c r="U492" s="776"/>
      <c r="V492" s="776"/>
      <c r="W492" s="776"/>
      <c r="X492" s="776"/>
      <c r="Y492" s="776"/>
      <c r="Z492" s="776"/>
      <c r="AA492" s="776"/>
      <c r="AB492" s="10"/>
      <c r="AC492" s="10"/>
      <c r="AD492" s="346"/>
      <c r="AE492" s="346"/>
      <c r="AF492" s="346"/>
      <c r="AG492" s="346"/>
      <c r="AH492" s="346"/>
      <c r="AI492" s="346"/>
    </row>
    <row r="493" spans="1:35" s="574" customFormat="1">
      <c r="A493" s="776"/>
      <c r="B493" s="776"/>
      <c r="C493" s="776"/>
      <c r="D493" s="776"/>
      <c r="E493" s="776"/>
      <c r="F493" s="776"/>
      <c r="G493" s="10"/>
      <c r="H493" s="10"/>
      <c r="I493" s="10"/>
      <c r="J493" s="10"/>
      <c r="K493" s="10"/>
      <c r="L493" s="267"/>
      <c r="M493" s="10"/>
      <c r="N493" s="10"/>
      <c r="O493" s="10"/>
      <c r="P493" s="10"/>
      <c r="Q493" s="10"/>
      <c r="R493" s="10"/>
      <c r="S493" s="126"/>
      <c r="T493" s="776"/>
      <c r="U493" s="776"/>
      <c r="V493" s="776"/>
      <c r="W493" s="776"/>
      <c r="X493" s="776"/>
      <c r="Y493" s="776"/>
      <c r="Z493" s="776"/>
      <c r="AA493" s="776"/>
      <c r="AB493" s="10"/>
      <c r="AC493" s="10"/>
      <c r="AD493" s="346"/>
      <c r="AE493" s="346"/>
      <c r="AF493" s="346"/>
      <c r="AG493" s="346"/>
      <c r="AH493" s="346"/>
      <c r="AI493" s="346"/>
    </row>
    <row r="494" spans="1:35" s="574" customFormat="1">
      <c r="A494" s="776"/>
      <c r="B494" s="776"/>
      <c r="C494" s="776"/>
      <c r="D494" s="776"/>
      <c r="E494" s="776"/>
      <c r="F494" s="776"/>
      <c r="G494" s="10"/>
      <c r="H494" s="10"/>
      <c r="I494" s="10"/>
      <c r="J494" s="10"/>
      <c r="K494" s="10"/>
      <c r="L494" s="267"/>
      <c r="M494" s="10"/>
      <c r="N494" s="10"/>
      <c r="O494" s="10"/>
      <c r="P494" s="10"/>
      <c r="Q494" s="10"/>
      <c r="R494" s="10"/>
      <c r="S494" s="126"/>
      <c r="T494" s="776"/>
      <c r="U494" s="776"/>
      <c r="V494" s="776"/>
      <c r="W494" s="776"/>
      <c r="X494" s="776"/>
      <c r="Y494" s="776"/>
      <c r="Z494" s="776"/>
      <c r="AA494" s="776"/>
      <c r="AB494" s="10"/>
      <c r="AC494" s="10"/>
      <c r="AD494" s="346"/>
      <c r="AE494" s="346"/>
      <c r="AF494" s="346"/>
      <c r="AG494" s="346"/>
      <c r="AH494" s="346"/>
      <c r="AI494" s="346"/>
    </row>
    <row r="495" spans="1:35" s="574" customFormat="1">
      <c r="A495" s="776"/>
      <c r="B495" s="776"/>
      <c r="C495" s="776"/>
      <c r="D495" s="776"/>
      <c r="E495" s="776"/>
      <c r="F495" s="776"/>
      <c r="G495" s="10"/>
      <c r="H495" s="10"/>
      <c r="I495" s="10"/>
      <c r="J495" s="10"/>
      <c r="K495" s="10"/>
      <c r="L495" s="267"/>
      <c r="M495" s="10"/>
      <c r="N495" s="10"/>
      <c r="O495" s="10"/>
      <c r="P495" s="10"/>
      <c r="Q495" s="10"/>
      <c r="R495" s="10"/>
      <c r="S495" s="126"/>
      <c r="T495" s="776"/>
      <c r="U495" s="776"/>
      <c r="V495" s="776"/>
      <c r="W495" s="776"/>
      <c r="X495" s="776"/>
      <c r="Y495" s="776"/>
      <c r="Z495" s="776"/>
      <c r="AA495" s="776"/>
      <c r="AB495" s="10"/>
      <c r="AC495" s="10"/>
      <c r="AD495" s="346"/>
      <c r="AE495" s="346"/>
      <c r="AF495" s="346"/>
      <c r="AG495" s="346"/>
      <c r="AH495" s="346"/>
      <c r="AI495" s="346"/>
    </row>
    <row r="496" spans="1:35" s="574" customFormat="1">
      <c r="A496" s="776"/>
      <c r="B496" s="776"/>
      <c r="C496" s="776"/>
      <c r="D496" s="776"/>
      <c r="E496" s="776"/>
      <c r="F496" s="776"/>
      <c r="G496" s="10"/>
      <c r="H496" s="10"/>
      <c r="I496" s="10"/>
      <c r="J496" s="10"/>
      <c r="K496" s="10"/>
      <c r="L496" s="267"/>
      <c r="M496" s="10"/>
      <c r="N496" s="10"/>
      <c r="O496" s="10"/>
      <c r="P496" s="10"/>
      <c r="Q496" s="10"/>
      <c r="R496" s="10"/>
      <c r="S496" s="126"/>
      <c r="T496" s="776"/>
      <c r="U496" s="776"/>
      <c r="V496" s="776"/>
      <c r="W496" s="776"/>
      <c r="X496" s="776"/>
      <c r="Y496" s="776"/>
      <c r="Z496" s="776"/>
      <c r="AA496" s="776"/>
      <c r="AB496" s="10"/>
      <c r="AC496" s="10"/>
      <c r="AD496" s="346"/>
      <c r="AE496" s="346"/>
      <c r="AF496" s="346"/>
      <c r="AG496" s="346"/>
      <c r="AH496" s="346"/>
      <c r="AI496" s="346"/>
    </row>
    <row r="497" spans="2:35" s="574" customFormat="1">
      <c r="B497" s="776"/>
      <c r="C497" s="776"/>
      <c r="D497" s="776"/>
      <c r="E497" s="776"/>
      <c r="F497" s="776"/>
      <c r="G497" s="10"/>
      <c r="H497" s="10"/>
      <c r="I497" s="10"/>
      <c r="J497" s="10"/>
      <c r="K497" s="10"/>
      <c r="L497" s="267"/>
      <c r="M497" s="10"/>
      <c r="N497" s="10"/>
      <c r="O497" s="10"/>
      <c r="P497" s="10"/>
      <c r="Q497" s="10"/>
      <c r="R497" s="10"/>
      <c r="S497" s="126"/>
      <c r="T497" s="776"/>
      <c r="U497" s="776"/>
      <c r="V497" s="776"/>
      <c r="W497" s="776"/>
      <c r="X497" s="776"/>
      <c r="Y497" s="776"/>
      <c r="Z497" s="776"/>
      <c r="AA497" s="776"/>
      <c r="AB497" s="10"/>
      <c r="AC497" s="10"/>
      <c r="AD497" s="346"/>
      <c r="AE497" s="346"/>
      <c r="AF497" s="346"/>
      <c r="AG497" s="346"/>
      <c r="AH497" s="346"/>
      <c r="AI497" s="346"/>
    </row>
    <row r="498" spans="2:35" s="574" customFormat="1">
      <c r="B498" s="776"/>
      <c r="C498" s="776"/>
      <c r="D498" s="776"/>
      <c r="E498" s="776"/>
      <c r="F498" s="776"/>
      <c r="G498" s="10"/>
      <c r="H498" s="10"/>
      <c r="I498" s="10"/>
      <c r="J498" s="10"/>
      <c r="K498" s="10"/>
      <c r="L498" s="267"/>
      <c r="M498" s="10"/>
      <c r="N498" s="10"/>
      <c r="O498" s="10"/>
      <c r="P498" s="10"/>
      <c r="Q498" s="10"/>
      <c r="R498" s="10"/>
      <c r="S498" s="126"/>
      <c r="T498" s="776"/>
      <c r="U498" s="776"/>
      <c r="V498" s="776"/>
      <c r="W498" s="776"/>
      <c r="X498" s="776"/>
      <c r="Y498" s="776"/>
      <c r="Z498" s="776"/>
      <c r="AA498" s="776"/>
      <c r="AB498" s="10"/>
      <c r="AC498" s="10"/>
      <c r="AD498" s="346"/>
      <c r="AE498" s="346"/>
      <c r="AF498" s="346"/>
      <c r="AG498" s="346"/>
      <c r="AH498" s="346"/>
      <c r="AI498" s="346"/>
    </row>
    <row r="499" spans="2:35" s="574" customFormat="1">
      <c r="B499" s="776"/>
      <c r="C499" s="776"/>
      <c r="D499" s="776"/>
      <c r="E499" s="776"/>
      <c r="F499" s="776"/>
      <c r="G499" s="10"/>
      <c r="H499" s="10"/>
      <c r="I499" s="10"/>
      <c r="J499" s="10"/>
      <c r="K499" s="10"/>
      <c r="L499" s="267"/>
      <c r="M499" s="10"/>
      <c r="N499" s="10"/>
      <c r="O499" s="10"/>
      <c r="P499" s="10"/>
      <c r="Q499" s="10"/>
      <c r="R499" s="10"/>
      <c r="S499" s="126"/>
      <c r="T499" s="776"/>
      <c r="U499" s="776"/>
      <c r="V499" s="776"/>
      <c r="W499" s="776"/>
      <c r="X499" s="776"/>
      <c r="Y499" s="776"/>
      <c r="Z499" s="776"/>
      <c r="AA499" s="776"/>
      <c r="AB499" s="10"/>
      <c r="AC499" s="10"/>
      <c r="AD499" s="346"/>
      <c r="AE499" s="346"/>
      <c r="AF499" s="346"/>
      <c r="AG499" s="346"/>
      <c r="AH499" s="346"/>
      <c r="AI499" s="346"/>
    </row>
    <row r="500" spans="2:35" s="574" customFormat="1">
      <c r="B500" s="776"/>
      <c r="C500" s="776"/>
      <c r="D500" s="776"/>
      <c r="E500" s="776"/>
      <c r="F500" s="776"/>
      <c r="G500" s="10"/>
      <c r="H500" s="10"/>
      <c r="I500" s="10"/>
      <c r="J500" s="10"/>
      <c r="K500" s="10"/>
      <c r="L500" s="267"/>
      <c r="M500" s="10"/>
      <c r="N500" s="10"/>
      <c r="O500" s="10"/>
      <c r="P500" s="10"/>
      <c r="Q500" s="10"/>
      <c r="R500" s="10"/>
      <c r="S500" s="126"/>
      <c r="T500" s="776"/>
      <c r="U500" s="776"/>
      <c r="V500" s="776"/>
      <c r="W500" s="776"/>
      <c r="X500" s="776"/>
      <c r="Y500" s="776"/>
      <c r="Z500" s="776"/>
      <c r="AA500" s="776"/>
      <c r="AB500" s="10"/>
      <c r="AC500" s="10"/>
      <c r="AD500" s="346"/>
      <c r="AE500" s="346"/>
      <c r="AF500" s="346"/>
      <c r="AG500" s="346"/>
      <c r="AH500" s="346"/>
      <c r="AI500" s="346"/>
    </row>
    <row r="501" spans="2:35" s="574" customFormat="1">
      <c r="B501" s="776"/>
      <c r="C501" s="776"/>
      <c r="D501" s="776"/>
      <c r="E501" s="776"/>
      <c r="F501" s="776"/>
      <c r="G501" s="10"/>
      <c r="H501" s="10"/>
      <c r="I501" s="10"/>
      <c r="J501" s="10"/>
      <c r="K501" s="10"/>
      <c r="L501" s="267"/>
      <c r="M501" s="10"/>
      <c r="N501" s="10"/>
      <c r="O501" s="10"/>
      <c r="P501" s="10"/>
      <c r="Q501" s="10"/>
      <c r="R501" s="10"/>
      <c r="S501" s="126"/>
      <c r="T501" s="776"/>
      <c r="U501" s="776"/>
      <c r="V501" s="776"/>
      <c r="W501" s="776"/>
      <c r="X501" s="776"/>
      <c r="Y501" s="776"/>
      <c r="Z501" s="776"/>
      <c r="AA501" s="776"/>
      <c r="AB501" s="10"/>
      <c r="AC501" s="10"/>
      <c r="AD501" s="346"/>
      <c r="AE501" s="346"/>
      <c r="AF501" s="346"/>
      <c r="AG501" s="346"/>
      <c r="AH501" s="346"/>
      <c r="AI501" s="346"/>
    </row>
    <row r="502" spans="2:35" s="574" customFormat="1">
      <c r="B502" s="776"/>
      <c r="C502" s="776"/>
      <c r="D502" s="776"/>
      <c r="E502" s="776"/>
      <c r="F502" s="776"/>
      <c r="G502" s="10"/>
      <c r="H502" s="10"/>
      <c r="I502" s="10"/>
      <c r="J502" s="10"/>
      <c r="K502" s="10"/>
      <c r="L502" s="267"/>
      <c r="M502" s="10"/>
      <c r="N502" s="10"/>
      <c r="O502" s="10"/>
      <c r="P502" s="10"/>
      <c r="Q502" s="10"/>
      <c r="R502" s="10"/>
      <c r="S502" s="126"/>
      <c r="T502" s="776"/>
      <c r="U502" s="776"/>
      <c r="V502" s="776"/>
      <c r="W502" s="776"/>
      <c r="X502" s="776"/>
      <c r="Y502" s="776"/>
      <c r="Z502" s="776"/>
      <c r="AA502" s="776"/>
      <c r="AB502" s="10"/>
      <c r="AC502" s="10"/>
      <c r="AD502" s="346"/>
      <c r="AE502" s="346"/>
      <c r="AF502" s="346"/>
      <c r="AG502" s="346"/>
      <c r="AH502" s="346"/>
      <c r="AI502" s="346"/>
    </row>
    <row r="503" spans="2:35" s="574" customFormat="1">
      <c r="B503" s="776"/>
      <c r="C503" s="776"/>
      <c r="D503" s="776"/>
      <c r="E503" s="776"/>
      <c r="F503" s="776"/>
      <c r="G503" s="10"/>
      <c r="H503" s="10"/>
      <c r="I503" s="10"/>
      <c r="J503" s="10"/>
      <c r="K503" s="10"/>
      <c r="L503" s="267"/>
      <c r="M503" s="10"/>
      <c r="N503" s="10"/>
      <c r="O503" s="10"/>
      <c r="P503" s="10"/>
      <c r="Q503" s="10"/>
      <c r="R503" s="10"/>
      <c r="S503" s="126"/>
      <c r="T503" s="776"/>
      <c r="U503" s="776"/>
      <c r="V503" s="776"/>
      <c r="W503" s="776"/>
      <c r="X503" s="776"/>
      <c r="Y503" s="776"/>
      <c r="Z503" s="776"/>
      <c r="AA503" s="776"/>
      <c r="AB503" s="10"/>
      <c r="AC503" s="10"/>
      <c r="AD503" s="346"/>
      <c r="AE503" s="346"/>
      <c r="AF503" s="346"/>
      <c r="AG503" s="346"/>
      <c r="AH503" s="346"/>
      <c r="AI503" s="346"/>
    </row>
    <row r="504" spans="2:35" s="574" customFormat="1">
      <c r="B504" s="16" t="s">
        <v>986</v>
      </c>
      <c r="C504" s="4"/>
      <c r="D504" s="4"/>
      <c r="E504" s="4"/>
      <c r="F504" s="4"/>
      <c r="G504" s="4"/>
      <c r="H504" s="4"/>
      <c r="I504" s="4"/>
      <c r="J504" s="4"/>
      <c r="K504" s="4"/>
      <c r="L504" s="583"/>
      <c r="M504" s="4"/>
      <c r="N504" s="776"/>
      <c r="O504" s="776"/>
      <c r="P504" s="776"/>
      <c r="Q504" s="776"/>
      <c r="R504" s="776"/>
      <c r="S504" s="126"/>
      <c r="T504" s="776"/>
      <c r="U504" s="776"/>
      <c r="V504" s="776"/>
      <c r="W504" s="776"/>
      <c r="X504" s="776"/>
      <c r="Y504" s="776"/>
      <c r="Z504" s="776"/>
      <c r="AA504" s="776"/>
      <c r="AB504" s="10"/>
      <c r="AC504" s="10"/>
      <c r="AD504" s="346"/>
      <c r="AE504" s="346"/>
      <c r="AF504" s="346"/>
      <c r="AG504" s="346"/>
      <c r="AH504" s="346"/>
      <c r="AI504" s="346"/>
    </row>
    <row r="505" spans="2:35" s="574" customFormat="1" ht="13.5">
      <c r="B505" s="584"/>
      <c r="C505" s="585"/>
      <c r="D505" s="585"/>
      <c r="E505" s="585"/>
      <c r="F505" s="585"/>
      <c r="G505" s="585"/>
      <c r="H505" s="585"/>
      <c r="I505" s="585"/>
      <c r="J505" s="585"/>
      <c r="K505" s="585"/>
      <c r="L505" s="586"/>
      <c r="M505" s="533">
        <f>'X-Chart Basics'!D24</f>
        <v>42790</v>
      </c>
      <c r="N505" s="776"/>
      <c r="O505" s="776"/>
      <c r="P505" s="776"/>
      <c r="Q505" s="776"/>
      <c r="R505" s="776"/>
      <c r="S505" s="126"/>
      <c r="T505" s="776"/>
      <c r="U505" s="776"/>
      <c r="V505" s="776"/>
      <c r="W505" s="776"/>
      <c r="X505" s="776"/>
      <c r="Y505" s="776"/>
      <c r="Z505" s="776"/>
      <c r="AA505" s="776"/>
      <c r="AB505" s="10"/>
      <c r="AC505" s="10"/>
      <c r="AD505" s="346"/>
      <c r="AE505" s="346"/>
      <c r="AF505" s="346"/>
      <c r="AG505" s="346"/>
      <c r="AH505" s="346"/>
      <c r="AI505" s="346"/>
    </row>
    <row r="506" spans="2:35" s="574" customFormat="1" ht="15">
      <c r="B506" s="332"/>
      <c r="C506" s="514" t="s">
        <v>554</v>
      </c>
      <c r="D506" s="336">
        <v>2008</v>
      </c>
      <c r="E506" s="336">
        <f t="shared" ref="E506:L506" si="41">D506+1</f>
        <v>2009</v>
      </c>
      <c r="F506" s="336">
        <f t="shared" si="41"/>
        <v>2010</v>
      </c>
      <c r="G506" s="336">
        <f t="shared" si="41"/>
        <v>2011</v>
      </c>
      <c r="H506" s="336">
        <f t="shared" si="41"/>
        <v>2012</v>
      </c>
      <c r="I506" s="336">
        <f t="shared" si="41"/>
        <v>2013</v>
      </c>
      <c r="J506" s="336">
        <f t="shared" si="41"/>
        <v>2014</v>
      </c>
      <c r="K506" s="336">
        <f t="shared" si="41"/>
        <v>2015</v>
      </c>
      <c r="L506" s="336">
        <f t="shared" si="41"/>
        <v>2016</v>
      </c>
      <c r="M506" s="388">
        <v>2017</v>
      </c>
      <c r="N506" s="776"/>
      <c r="O506" s="776"/>
      <c r="P506" s="776"/>
      <c r="Q506" s="776"/>
      <c r="R506" s="776"/>
      <c r="S506" s="126"/>
      <c r="T506" s="776"/>
      <c r="U506" s="776"/>
      <c r="V506" s="776"/>
      <c r="W506" s="776"/>
      <c r="X506" s="776"/>
      <c r="Y506" s="776"/>
      <c r="Z506" s="776"/>
      <c r="AA506" s="776"/>
      <c r="AB506" s="10"/>
      <c r="AC506" s="10"/>
      <c r="AD506" s="346"/>
      <c r="AE506" s="346"/>
      <c r="AF506" s="346"/>
      <c r="AG506" s="346"/>
      <c r="AH506" s="346"/>
      <c r="AI506" s="346"/>
    </row>
    <row r="507" spans="2:35" s="574" customFormat="1">
      <c r="B507" s="332" t="s">
        <v>635</v>
      </c>
      <c r="C507" s="10"/>
      <c r="D507" s="11" t="e">
        <f>'18 Data for Charts'!O28/1000</f>
        <v>#REF!</v>
      </c>
      <c r="E507" s="11" t="e">
        <f>'18 Data for Charts'!P28/1000</f>
        <v>#REF!</v>
      </c>
      <c r="F507" s="11" t="e">
        <f>'18 Data for Charts'!Q28/1000</f>
        <v>#REF!</v>
      </c>
      <c r="G507" s="11" t="e">
        <f>'18 Data for Charts'!R28/1000</f>
        <v>#REF!</v>
      </c>
      <c r="H507" s="11" t="e">
        <f>'18 Data for Charts'!S28/1000</f>
        <v>#REF!</v>
      </c>
      <c r="I507" s="11" t="e">
        <f>'18 Data for Charts'!T28/1000</f>
        <v>#REF!</v>
      </c>
      <c r="J507" s="11" t="e">
        <f>'18 Data for Charts'!#REF!/1000</f>
        <v>#REF!</v>
      </c>
      <c r="K507" s="11" t="e">
        <f>'18 Data for Charts'!#REF!/1000</f>
        <v>#REF!</v>
      </c>
      <c r="L507" s="11" t="e">
        <f>'18 Data for Charts'!#REF!/1000</f>
        <v>#REF!</v>
      </c>
      <c r="M507" s="587"/>
      <c r="N507" s="776"/>
      <c r="O507" s="776"/>
      <c r="P507" s="776"/>
      <c r="Q507" s="776"/>
      <c r="R507" s="776"/>
      <c r="S507" s="126"/>
      <c r="T507" s="776"/>
      <c r="U507" s="776"/>
      <c r="V507" s="776"/>
      <c r="W507" s="776"/>
      <c r="X507" s="776"/>
      <c r="Y507" s="776"/>
      <c r="Z507" s="776"/>
      <c r="AA507" s="776"/>
      <c r="AB507" s="10"/>
      <c r="AC507" s="10"/>
      <c r="AD507" s="346"/>
      <c r="AE507" s="346"/>
      <c r="AF507" s="346"/>
      <c r="AG507" s="346"/>
      <c r="AH507" s="346"/>
      <c r="AI507" s="346"/>
    </row>
    <row r="508" spans="2:35" s="574" customFormat="1">
      <c r="B508" s="387" t="s">
        <v>608</v>
      </c>
      <c r="C508" s="4"/>
      <c r="D508" s="12" t="e">
        <f>'18 Data for Charts'!O29/1000</f>
        <v>#REF!</v>
      </c>
      <c r="E508" s="12" t="e">
        <f>'18 Data for Charts'!P29/1000</f>
        <v>#REF!</v>
      </c>
      <c r="F508" s="12" t="e">
        <f>'18 Data for Charts'!Q29/1000</f>
        <v>#REF!</v>
      </c>
      <c r="G508" s="12" t="e">
        <f>'18 Data for Charts'!R29/1000</f>
        <v>#REF!</v>
      </c>
      <c r="H508" s="12" t="e">
        <f>'18 Data for Charts'!S29/1000</f>
        <v>#REF!</v>
      </c>
      <c r="I508" s="12" t="e">
        <f>'18 Data for Charts'!T29/1000</f>
        <v>#REF!</v>
      </c>
      <c r="J508" s="12" t="e">
        <f>'18 Data for Charts'!#REF!/1000</f>
        <v>#REF!</v>
      </c>
      <c r="K508" s="12" t="e">
        <f>'18 Data for Charts'!#REF!/1000</f>
        <v>#REF!</v>
      </c>
      <c r="L508" s="12" t="e">
        <f>'18 Data for Charts'!#REF!/1000</f>
        <v>#REF!</v>
      </c>
      <c r="M508" s="484"/>
      <c r="N508" s="776"/>
      <c r="O508" s="776"/>
      <c r="P508" s="776"/>
      <c r="Q508" s="776"/>
      <c r="R508" s="776"/>
      <c r="S508" s="126"/>
      <c r="T508" s="776"/>
      <c r="U508" s="776"/>
      <c r="V508" s="776"/>
      <c r="W508" s="776"/>
      <c r="X508" s="776"/>
      <c r="Y508" s="776"/>
      <c r="Z508" s="776"/>
      <c r="AA508" s="776"/>
      <c r="AB508" s="10"/>
      <c r="AC508" s="10"/>
      <c r="AD508" s="346"/>
      <c r="AE508" s="346"/>
      <c r="AF508" s="346"/>
      <c r="AG508" s="346"/>
      <c r="AH508" s="346"/>
      <c r="AI508" s="346"/>
    </row>
    <row r="509" spans="2:35" s="574" customFormat="1">
      <c r="B509" s="776"/>
      <c r="C509" s="776"/>
      <c r="D509" s="776"/>
      <c r="E509" s="776"/>
      <c r="F509" s="776"/>
      <c r="G509" s="10"/>
      <c r="H509" s="10"/>
      <c r="I509" s="10"/>
      <c r="J509" s="10"/>
      <c r="K509" s="10"/>
      <c r="L509" s="267"/>
      <c r="M509" s="10"/>
      <c r="N509" s="10"/>
      <c r="O509" s="10"/>
      <c r="P509" s="10"/>
      <c r="Q509" s="10"/>
      <c r="R509" s="10"/>
      <c r="S509" s="126"/>
      <c r="T509" s="776"/>
      <c r="U509" s="776"/>
      <c r="V509" s="776"/>
      <c r="W509" s="776"/>
      <c r="X509" s="776"/>
      <c r="Y509" s="776"/>
      <c r="Z509" s="776"/>
      <c r="AA509" s="776"/>
      <c r="AB509" s="10"/>
      <c r="AC509" s="10"/>
      <c r="AD509" s="346"/>
      <c r="AE509" s="346"/>
      <c r="AF509" s="346"/>
      <c r="AG509" s="346"/>
      <c r="AH509" s="346"/>
      <c r="AI509" s="346"/>
    </row>
    <row r="510" spans="2:35">
      <c r="B510" s="531" t="s">
        <v>987</v>
      </c>
      <c r="C510" s="44"/>
      <c r="D510" s="44"/>
      <c r="E510" s="44"/>
      <c r="F510" s="44"/>
      <c r="G510" s="44"/>
      <c r="H510" s="776"/>
      <c r="I510" s="776"/>
      <c r="J510" s="776"/>
      <c r="K510" s="776"/>
      <c r="L510" s="776"/>
      <c r="M510" s="776"/>
      <c r="N510" s="776"/>
      <c r="O510" s="776"/>
      <c r="P510" s="776"/>
      <c r="Q510" s="776"/>
      <c r="R510" s="776"/>
      <c r="S510" s="776"/>
      <c r="T510" s="776"/>
      <c r="U510" s="776"/>
      <c r="V510" s="776"/>
      <c r="W510" s="776"/>
      <c r="X510" s="776"/>
      <c r="Y510" s="776"/>
      <c r="Z510" s="776"/>
      <c r="AA510" s="776"/>
      <c r="AB510" s="776"/>
      <c r="AC510" s="776"/>
      <c r="AD510" s="776"/>
      <c r="AE510" s="776"/>
      <c r="AF510" s="776"/>
      <c r="AG510" s="776"/>
      <c r="AH510" s="776"/>
      <c r="AI510" s="776"/>
    </row>
    <row r="511" spans="2:35" ht="19.5">
      <c r="B511" s="776"/>
      <c r="C511" s="776"/>
      <c r="D511" s="776"/>
      <c r="E511" s="776"/>
      <c r="F511" s="776"/>
      <c r="G511" s="776"/>
      <c r="H511" s="776"/>
      <c r="I511" s="776"/>
      <c r="J511" s="776"/>
      <c r="K511" s="776"/>
      <c r="L511" s="776"/>
      <c r="M511" s="776"/>
      <c r="N511" s="776"/>
      <c r="O511" s="776"/>
      <c r="P511" s="776"/>
      <c r="Q511" s="572" t="s">
        <v>985</v>
      </c>
      <c r="R511" s="776"/>
      <c r="S511" s="776"/>
      <c r="T511" s="776"/>
      <c r="U511" s="776"/>
      <c r="V511" s="776"/>
      <c r="W511" s="776"/>
      <c r="X511" s="776"/>
      <c r="Y511" s="776"/>
      <c r="Z511" s="776"/>
      <c r="AA511" s="776"/>
      <c r="AB511" s="776"/>
      <c r="AC511" s="776"/>
      <c r="AD511" s="776"/>
      <c r="AE511" s="776"/>
      <c r="AF511" s="776"/>
      <c r="AG511" s="776"/>
      <c r="AH511" s="776"/>
      <c r="AI511" s="776"/>
    </row>
    <row r="512" spans="2:35" ht="15">
      <c r="B512" s="440"/>
      <c r="C512" s="776"/>
      <c r="D512" s="776"/>
      <c r="E512" s="776"/>
      <c r="F512" s="776"/>
      <c r="G512" s="776"/>
      <c r="H512" s="776"/>
      <c r="I512" s="776"/>
      <c r="J512" s="776"/>
      <c r="K512" s="776"/>
      <c r="L512" s="776"/>
      <c r="M512" s="776"/>
      <c r="N512" s="776"/>
      <c r="O512" s="776"/>
      <c r="P512" s="776"/>
      <c r="Q512" s="776"/>
      <c r="R512" s="776"/>
      <c r="S512" s="776"/>
      <c r="T512" s="776"/>
      <c r="U512" s="776"/>
      <c r="V512" s="776"/>
      <c r="W512" s="776"/>
      <c r="X512" s="776"/>
      <c r="Y512" s="776"/>
      <c r="Z512" s="776"/>
      <c r="AA512" s="776"/>
      <c r="AB512" s="776"/>
      <c r="AC512" s="776"/>
      <c r="AD512" s="776"/>
      <c r="AE512" s="776"/>
      <c r="AF512" s="776"/>
      <c r="AG512" s="776"/>
      <c r="AH512" s="776"/>
      <c r="AI512" s="776"/>
    </row>
    <row r="524" spans="2:18">
      <c r="B524" s="331"/>
      <c r="C524" s="10"/>
      <c r="D524" s="10"/>
      <c r="E524" s="10"/>
      <c r="F524" s="10"/>
      <c r="G524" s="10"/>
      <c r="H524" s="10"/>
      <c r="I524" s="776"/>
      <c r="J524" s="394"/>
      <c r="K524" s="346"/>
      <c r="L524" s="10"/>
      <c r="M524" s="10"/>
      <c r="N524" s="346"/>
      <c r="O524" s="346"/>
      <c r="P524" s="267"/>
      <c r="Q524" s="346"/>
      <c r="R524" s="346"/>
    </row>
    <row r="525" spans="2:18">
      <c r="B525" s="331"/>
      <c r="C525" s="10"/>
      <c r="D525" s="10"/>
      <c r="E525" s="10"/>
      <c r="F525" s="10"/>
      <c r="G525" s="10"/>
      <c r="H525" s="10"/>
      <c r="I525" s="776"/>
      <c r="J525" s="394"/>
      <c r="K525" s="346"/>
      <c r="L525" s="10"/>
      <c r="M525" s="10"/>
      <c r="N525" s="346"/>
      <c r="O525" s="346"/>
      <c r="P525" s="346"/>
      <c r="Q525" s="346"/>
      <c r="R525" s="346"/>
    </row>
    <row r="526" spans="2:18">
      <c r="B526" s="776"/>
      <c r="C526" s="776"/>
      <c r="D526" s="776"/>
      <c r="E526" s="776"/>
      <c r="F526" s="776"/>
      <c r="G526" s="776"/>
      <c r="H526" s="776"/>
      <c r="I526" s="776"/>
      <c r="J526" s="776"/>
      <c r="K526" s="776"/>
      <c r="L526" s="776"/>
      <c r="M526" s="776"/>
      <c r="N526" s="776"/>
      <c r="O526" s="776"/>
      <c r="P526" s="776"/>
      <c r="Q526" s="776"/>
      <c r="R526" s="10"/>
    </row>
    <row r="527" spans="2:18">
      <c r="B527" s="776"/>
      <c r="C527" s="776"/>
      <c r="D527" s="776"/>
      <c r="E527" s="776"/>
      <c r="F527" s="776"/>
      <c r="G527" s="776"/>
      <c r="H527" s="776"/>
      <c r="I527" s="776"/>
      <c r="J527" s="776"/>
      <c r="K527" s="776"/>
      <c r="L527" s="776"/>
      <c r="M527" s="776"/>
      <c r="N527" s="776"/>
      <c r="O527" s="776"/>
      <c r="P527" s="776"/>
      <c r="Q527" s="776"/>
      <c r="R527" s="395"/>
    </row>
    <row r="528" spans="2:18">
      <c r="B528" s="776"/>
      <c r="C528" s="776"/>
      <c r="D528" s="776"/>
      <c r="E528" s="776"/>
      <c r="F528" s="776"/>
      <c r="G528" s="776"/>
      <c r="H528" s="776"/>
      <c r="I528" s="776"/>
      <c r="J528" s="776"/>
      <c r="K528" s="776"/>
      <c r="L528" s="776"/>
      <c r="M528" s="776"/>
      <c r="N528" s="776"/>
      <c r="O528" s="776"/>
      <c r="P528" s="776"/>
      <c r="Q528" s="776"/>
      <c r="R528" s="10"/>
    </row>
    <row r="529" spans="2:18" s="592" customFormat="1">
      <c r="B529" s="776"/>
      <c r="C529" s="776"/>
      <c r="D529" s="776"/>
      <c r="E529" s="776"/>
      <c r="F529" s="776"/>
      <c r="G529" s="776"/>
      <c r="H529" s="776"/>
      <c r="I529" s="776"/>
      <c r="J529" s="776"/>
      <c r="K529" s="776"/>
      <c r="L529" s="776"/>
      <c r="M529" s="776"/>
      <c r="N529" s="776"/>
      <c r="O529" s="776"/>
      <c r="P529" s="776"/>
      <c r="Q529" s="776"/>
      <c r="R529" s="10"/>
    </row>
    <row r="530" spans="2:18" s="592" customFormat="1">
      <c r="B530" s="776"/>
      <c r="C530" s="776"/>
      <c r="D530" s="776"/>
      <c r="E530" s="776"/>
      <c r="F530" s="776"/>
      <c r="G530" s="776"/>
      <c r="H530" s="776"/>
      <c r="I530" s="776"/>
      <c r="J530" s="776"/>
      <c r="K530" s="776"/>
      <c r="L530" s="776"/>
      <c r="M530" s="776"/>
      <c r="N530" s="776"/>
      <c r="O530" s="776"/>
      <c r="P530" s="776"/>
      <c r="Q530" s="776"/>
      <c r="R530" s="10"/>
    </row>
    <row r="531" spans="2:18" s="592" customFormat="1">
      <c r="B531" s="776"/>
      <c r="C531" s="776"/>
      <c r="D531" s="776"/>
      <c r="E531" s="776"/>
      <c r="F531" s="776"/>
      <c r="G531" s="776"/>
      <c r="H531" s="776"/>
      <c r="I531" s="776"/>
      <c r="J531" s="776"/>
      <c r="K531" s="776"/>
      <c r="L531" s="776"/>
      <c r="M531" s="776"/>
      <c r="N531" s="776"/>
      <c r="O531" s="776"/>
      <c r="P531" s="776"/>
      <c r="Q531" s="776"/>
      <c r="R531" s="10"/>
    </row>
    <row r="532" spans="2:18" s="570" customFormat="1">
      <c r="B532" s="16" t="s">
        <v>988</v>
      </c>
      <c r="C532" s="4"/>
      <c r="D532" s="4"/>
      <c r="E532" s="4"/>
      <c r="F532" s="4"/>
      <c r="G532" s="4"/>
      <c r="H532" s="4"/>
      <c r="I532" s="4"/>
      <c r="J532" s="4"/>
      <c r="K532" s="4"/>
      <c r="L532" s="583"/>
      <c r="M532" s="4"/>
      <c r="N532" s="776"/>
      <c r="O532" s="776"/>
      <c r="P532" s="776"/>
      <c r="Q532" s="776"/>
      <c r="R532" s="776"/>
    </row>
    <row r="533" spans="2:18" s="574" customFormat="1" ht="13.5">
      <c r="B533" s="584"/>
      <c r="C533" s="585"/>
      <c r="D533" s="585"/>
      <c r="E533" s="585"/>
      <c r="F533" s="585"/>
      <c r="G533" s="585"/>
      <c r="H533" s="585"/>
      <c r="I533" s="585"/>
      <c r="J533" s="585"/>
      <c r="K533" s="585"/>
      <c r="L533" s="586"/>
      <c r="M533" s="533">
        <f>'X-Chart Basics'!D24</f>
        <v>42790</v>
      </c>
      <c r="N533" s="776"/>
      <c r="O533" s="776"/>
      <c r="P533" s="776"/>
      <c r="Q533" s="776"/>
      <c r="R533" s="776"/>
    </row>
    <row r="534" spans="2:18" s="570" customFormat="1" ht="15">
      <c r="B534" s="332"/>
      <c r="C534" s="514" t="s">
        <v>554</v>
      </c>
      <c r="D534" s="336">
        <v>2008</v>
      </c>
      <c r="E534" s="336">
        <f t="shared" ref="E534:L534" si="42">D534+1</f>
        <v>2009</v>
      </c>
      <c r="F534" s="336">
        <f t="shared" si="42"/>
        <v>2010</v>
      </c>
      <c r="G534" s="336">
        <f t="shared" si="42"/>
        <v>2011</v>
      </c>
      <c r="H534" s="336">
        <f t="shared" si="42"/>
        <v>2012</v>
      </c>
      <c r="I534" s="336">
        <f t="shared" si="42"/>
        <v>2013</v>
      </c>
      <c r="J534" s="336">
        <f t="shared" si="42"/>
        <v>2014</v>
      </c>
      <c r="K534" s="336">
        <f t="shared" si="42"/>
        <v>2015</v>
      </c>
      <c r="L534" s="336">
        <f t="shared" si="42"/>
        <v>2016</v>
      </c>
      <c r="M534" s="388">
        <v>2017</v>
      </c>
      <c r="N534" s="776"/>
      <c r="O534" s="776"/>
      <c r="P534" s="776"/>
      <c r="Q534" s="776"/>
      <c r="R534" s="776"/>
    </row>
    <row r="535" spans="2:18" s="570" customFormat="1">
      <c r="B535" s="332" t="s">
        <v>635</v>
      </c>
      <c r="C535" s="10"/>
      <c r="D535" s="11">
        <f t="shared" ref="D535:M535" si="43">D257</f>
        <v>0</v>
      </c>
      <c r="E535" s="11" t="e">
        <f t="shared" si="43"/>
        <v>#REF!</v>
      </c>
      <c r="F535" s="11" t="e">
        <f t="shared" si="43"/>
        <v>#REF!</v>
      </c>
      <c r="G535" s="11" t="e">
        <f t="shared" si="43"/>
        <v>#REF!</v>
      </c>
      <c r="H535" s="11" t="e">
        <f t="shared" si="43"/>
        <v>#REF!</v>
      </c>
      <c r="I535" s="11" t="e">
        <f t="shared" si="43"/>
        <v>#REF!</v>
      </c>
      <c r="J535" s="11" t="e">
        <f t="shared" si="43"/>
        <v>#REF!</v>
      </c>
      <c r="K535" s="11" t="e">
        <f t="shared" si="43"/>
        <v>#REF!</v>
      </c>
      <c r="L535" s="11" t="e">
        <f t="shared" si="43"/>
        <v>#REF!</v>
      </c>
      <c r="M535" s="587" t="e">
        <f t="shared" si="43"/>
        <v>#REF!</v>
      </c>
      <c r="N535" s="776"/>
      <c r="O535" s="776"/>
      <c r="P535" s="776"/>
      <c r="Q535" s="776"/>
      <c r="R535" s="776"/>
    </row>
    <row r="536" spans="2:18" s="570" customFormat="1">
      <c r="B536" s="387" t="s">
        <v>608</v>
      </c>
      <c r="C536" s="4"/>
      <c r="D536" s="12">
        <f t="shared" ref="D536:M536" si="44">D258</f>
        <v>0</v>
      </c>
      <c r="E536" s="12" t="e">
        <f t="shared" si="44"/>
        <v>#REF!</v>
      </c>
      <c r="F536" s="12" t="e">
        <f t="shared" si="44"/>
        <v>#REF!</v>
      </c>
      <c r="G536" s="12" t="e">
        <f t="shared" si="44"/>
        <v>#REF!</v>
      </c>
      <c r="H536" s="12" t="e">
        <f t="shared" si="44"/>
        <v>#REF!</v>
      </c>
      <c r="I536" s="12" t="e">
        <f t="shared" si="44"/>
        <v>#REF!</v>
      </c>
      <c r="J536" s="12" t="e">
        <f t="shared" si="44"/>
        <v>#REF!</v>
      </c>
      <c r="K536" s="12" t="e">
        <f t="shared" si="44"/>
        <v>#REF!</v>
      </c>
      <c r="L536" s="12" t="e">
        <f t="shared" si="44"/>
        <v>#REF!</v>
      </c>
      <c r="M536" s="484" t="e">
        <f t="shared" si="44"/>
        <v>#REF!</v>
      </c>
      <c r="N536" s="776"/>
      <c r="O536" s="776"/>
      <c r="P536" s="776"/>
      <c r="Q536" s="776"/>
      <c r="R536" s="776"/>
    </row>
    <row r="537" spans="2:18" s="592" customFormat="1">
      <c r="B537" s="776"/>
      <c r="C537" s="776"/>
      <c r="D537" s="776"/>
      <c r="E537" s="776"/>
      <c r="F537" s="776"/>
      <c r="G537" s="10"/>
      <c r="H537" s="10"/>
      <c r="I537" s="11"/>
      <c r="J537" s="11"/>
      <c r="K537" s="11"/>
      <c r="L537" s="11"/>
      <c r="M537" s="11"/>
      <c r="N537" s="11"/>
      <c r="O537" s="11"/>
      <c r="P537" s="11"/>
      <c r="Q537" s="11"/>
      <c r="R537" s="110"/>
    </row>
    <row r="538" spans="2:18">
      <c r="B538" s="623" t="s">
        <v>989</v>
      </c>
      <c r="C538" s="44"/>
      <c r="D538" s="44"/>
      <c r="E538" s="44"/>
      <c r="F538" s="44"/>
      <c r="G538" s="44"/>
      <c r="H538" s="776"/>
      <c r="I538" s="776"/>
      <c r="J538" s="776"/>
      <c r="K538" s="776"/>
      <c r="L538" s="776"/>
      <c r="M538" s="776"/>
      <c r="N538" s="776"/>
      <c r="O538" s="776"/>
      <c r="P538" s="776"/>
      <c r="Q538" s="776"/>
      <c r="R538" s="776"/>
    </row>
    <row r="539" spans="2:18" s="592" customFormat="1" ht="16.5">
      <c r="B539" s="619"/>
      <c r="C539" s="13"/>
      <c r="D539" s="13"/>
      <c r="E539" s="13"/>
      <c r="F539" s="13"/>
      <c r="G539" s="13"/>
      <c r="H539" s="776"/>
      <c r="I539" s="776"/>
      <c r="J539" s="776"/>
      <c r="K539" s="776"/>
      <c r="L539" s="776"/>
      <c r="M539" s="776"/>
      <c r="N539" s="776"/>
      <c r="O539" s="776"/>
      <c r="P539" s="776"/>
      <c r="Q539" s="776"/>
      <c r="R539" s="776"/>
    </row>
    <row r="540" spans="2:18">
      <c r="B540" s="1" t="s">
        <v>990</v>
      </c>
      <c r="C540" s="776"/>
      <c r="D540" s="776"/>
      <c r="E540" s="776"/>
      <c r="F540" s="776"/>
      <c r="G540" s="776"/>
      <c r="H540" s="776"/>
      <c r="I540" s="776"/>
      <c r="J540" s="776"/>
      <c r="K540" s="776"/>
      <c r="L540" s="50"/>
      <c r="M540" s="776"/>
      <c r="N540" s="776"/>
      <c r="O540" s="776"/>
      <c r="P540" s="776"/>
      <c r="Q540" s="776"/>
      <c r="R540" s="776"/>
    </row>
    <row r="541" spans="2:18" ht="19.5">
      <c r="B541" s="389"/>
      <c r="C541" s="38"/>
      <c r="D541" s="390"/>
      <c r="E541" s="390"/>
      <c r="F541" s="390"/>
      <c r="G541" s="390"/>
      <c r="H541" s="390"/>
      <c r="I541" s="390"/>
      <c r="J541" s="390"/>
      <c r="K541" s="390"/>
      <c r="L541" s="390"/>
      <c r="M541" s="533">
        <f>'X-Chart Basics'!D24</f>
        <v>42790</v>
      </c>
      <c r="N541" s="776"/>
      <c r="O541" s="572" t="s">
        <v>991</v>
      </c>
      <c r="P541" s="776"/>
      <c r="Q541" s="776"/>
      <c r="R541" s="776"/>
    </row>
    <row r="542" spans="2:18" ht="15">
      <c r="B542" s="391"/>
      <c r="C542" s="1266"/>
      <c r="D542" s="336">
        <v>2008</v>
      </c>
      <c r="E542" s="336">
        <f t="shared" ref="E542:L542" si="45">D542+1</f>
        <v>2009</v>
      </c>
      <c r="F542" s="336">
        <f t="shared" si="45"/>
        <v>2010</v>
      </c>
      <c r="G542" s="336">
        <f t="shared" si="45"/>
        <v>2011</v>
      </c>
      <c r="H542" s="336">
        <f t="shared" si="45"/>
        <v>2012</v>
      </c>
      <c r="I542" s="336">
        <f t="shared" si="45"/>
        <v>2013</v>
      </c>
      <c r="J542" s="336">
        <f t="shared" si="45"/>
        <v>2014</v>
      </c>
      <c r="K542" s="336">
        <f t="shared" si="45"/>
        <v>2015</v>
      </c>
      <c r="L542" s="336">
        <f t="shared" si="45"/>
        <v>2016</v>
      </c>
      <c r="M542" s="388">
        <v>2017</v>
      </c>
      <c r="N542" s="776"/>
      <c r="O542" s="422" t="s">
        <v>744</v>
      </c>
      <c r="P542" s="776"/>
      <c r="Q542" s="776"/>
      <c r="R542" s="776"/>
    </row>
    <row r="543" spans="2:18">
      <c r="B543" s="332" t="s">
        <v>804</v>
      </c>
      <c r="C543" s="10"/>
      <c r="D543" s="35" t="e">
        <f>'18 Data for Charts'!O70</f>
        <v>#REF!</v>
      </c>
      <c r="E543" s="35" t="e">
        <f>'18 Data for Charts'!P70</f>
        <v>#REF!</v>
      </c>
      <c r="F543" s="35" t="e">
        <f>'18 Data for Charts'!Q70</f>
        <v>#REF!</v>
      </c>
      <c r="G543" s="35" t="e">
        <f>'18 Data for Charts'!R70</f>
        <v>#REF!</v>
      </c>
      <c r="H543" s="35" t="e">
        <f>'18 Data for Charts'!S70</f>
        <v>#REF!</v>
      </c>
      <c r="I543" s="35" t="e">
        <f>'18 Data for Charts'!T70</f>
        <v>#REF!</v>
      </c>
      <c r="J543" s="35" t="e">
        <f>'18 Data for Charts'!#REF!</f>
        <v>#REF!</v>
      </c>
      <c r="K543" s="35" t="e">
        <f>'18 Data for Charts'!#REF!</f>
        <v>#REF!</v>
      </c>
      <c r="L543" s="35" t="e">
        <f>'18 Data for Charts'!#REF!</f>
        <v>#REF!</v>
      </c>
      <c r="M543" s="534">
        <f>'15c-Charts Stores'!R144</f>
        <v>0</v>
      </c>
      <c r="N543" s="776"/>
      <c r="O543" s="571" t="e">
        <f>'18 Data for Charts'!#REF!</f>
        <v>#REF!</v>
      </c>
      <c r="P543" s="776"/>
      <c r="Q543" s="776"/>
      <c r="R543" s="776"/>
    </row>
    <row r="544" spans="2:18">
      <c r="B544" s="387" t="s">
        <v>992</v>
      </c>
      <c r="C544" s="4"/>
      <c r="D544" s="76" t="e">
        <f>'Mark-Expect'!#REF!</f>
        <v>#REF!</v>
      </c>
      <c r="E544" s="76" t="e">
        <f>'Mark-Expect'!#REF!</f>
        <v>#REF!</v>
      </c>
      <c r="F544" s="76" t="e">
        <f>'Mark-Expect'!#REF!</f>
        <v>#REF!</v>
      </c>
      <c r="G544" s="76">
        <f>'Mark-Expect'!N59</f>
        <v>0</v>
      </c>
      <c r="H544" s="76">
        <f>'Mark-Expect'!O59</f>
        <v>0</v>
      </c>
      <c r="I544" s="76" t="e">
        <f>'Mark-Expect'!P59</f>
        <v>#REF!</v>
      </c>
      <c r="J544" s="76" t="e">
        <f>'Mark-Expect'!Q59</f>
        <v>#REF!</v>
      </c>
      <c r="K544" s="76" t="e">
        <f>'Mark-Expect'!R59</f>
        <v>#REF!</v>
      </c>
      <c r="L544" s="76" t="e">
        <f>'Mark-Expect'!S59</f>
        <v>#REF!</v>
      </c>
      <c r="M544" s="76" t="e">
        <f>'Mark-Expect'!T59</f>
        <v>#REF!</v>
      </c>
      <c r="N544" s="776"/>
      <c r="O544" s="776"/>
      <c r="P544" s="776"/>
      <c r="Q544" s="776"/>
      <c r="R544" s="776"/>
    </row>
    <row r="545" spans="2:18" s="592" customFormat="1">
      <c r="B545" s="422"/>
      <c r="C545" s="776"/>
      <c r="D545" s="776"/>
      <c r="E545" s="776"/>
      <c r="F545" s="776"/>
      <c r="G545" s="10"/>
      <c r="H545" s="10"/>
      <c r="I545" s="28"/>
      <c r="J545" s="28"/>
      <c r="K545" s="28"/>
      <c r="L545" s="28"/>
      <c r="M545" s="28"/>
      <c r="N545" s="28"/>
      <c r="O545" s="28"/>
      <c r="P545" s="28"/>
      <c r="Q545" s="28"/>
      <c r="R545" s="28"/>
    </row>
    <row r="546" spans="2:18">
      <c r="B546" s="623" t="s">
        <v>993</v>
      </c>
      <c r="C546" s="44"/>
      <c r="D546" s="44"/>
      <c r="E546" s="44"/>
      <c r="F546" s="44"/>
      <c r="G546" s="44"/>
      <c r="H546" s="776"/>
      <c r="I546" s="776"/>
      <c r="J546" s="776"/>
      <c r="K546" s="776"/>
      <c r="L546" s="776"/>
      <c r="M546" s="776"/>
      <c r="N546" s="776"/>
      <c r="O546" s="776"/>
      <c r="P546" s="776"/>
      <c r="Q546" s="776"/>
      <c r="R546" s="776"/>
    </row>
    <row r="547" spans="2:18" s="592" customFormat="1" ht="16.5">
      <c r="B547" s="619"/>
      <c r="C547" s="13"/>
      <c r="D547" s="13"/>
      <c r="E547" s="13"/>
      <c r="F547" s="13"/>
      <c r="G547" s="13"/>
      <c r="H547" s="776"/>
      <c r="I547" s="776"/>
      <c r="J547" s="776"/>
      <c r="K547" s="776"/>
      <c r="L547" s="776"/>
      <c r="M547" s="776"/>
      <c r="N547" s="776"/>
      <c r="O547" s="776"/>
      <c r="P547" s="776"/>
      <c r="Q547" s="776"/>
      <c r="R547" s="776"/>
    </row>
    <row r="548" spans="2:18" ht="19.5">
      <c r="B548" s="572" t="s">
        <v>994</v>
      </c>
      <c r="C548" s="776"/>
      <c r="D548" s="776"/>
      <c r="E548" s="776"/>
      <c r="F548" s="776"/>
      <c r="G548" s="776"/>
      <c r="H548" s="776"/>
      <c r="I548" s="776"/>
      <c r="J548" s="776"/>
      <c r="K548" s="776"/>
      <c r="L548" s="776"/>
      <c r="M548" s="776"/>
      <c r="N548" s="776"/>
      <c r="O548" s="776"/>
      <c r="P548" s="776"/>
      <c r="Q548" s="776"/>
      <c r="R548" s="776"/>
    </row>
    <row r="549" spans="2:18">
      <c r="B549" s="422"/>
      <c r="C549" s="776"/>
      <c r="D549" s="776"/>
      <c r="E549" s="776"/>
      <c r="F549" s="776"/>
      <c r="G549" s="776"/>
      <c r="H549" s="776"/>
      <c r="I549" s="776"/>
      <c r="J549" s="776"/>
      <c r="K549" s="776"/>
      <c r="L549" s="776"/>
      <c r="M549" s="776"/>
      <c r="N549" s="776"/>
      <c r="O549" s="776"/>
      <c r="P549" s="776"/>
      <c r="Q549" s="776"/>
      <c r="R549" s="776"/>
    </row>
    <row r="550" spans="2:18">
      <c r="B550" s="1" t="s">
        <v>995</v>
      </c>
      <c r="C550" s="776"/>
      <c r="D550" s="776"/>
      <c r="E550" s="776"/>
      <c r="F550" s="776"/>
      <c r="G550" s="776"/>
      <c r="H550" s="776"/>
      <c r="I550" s="776"/>
      <c r="J550" s="776"/>
      <c r="K550" s="776"/>
      <c r="L550" s="50"/>
      <c r="M550" s="776"/>
      <c r="N550" s="776"/>
      <c r="O550" s="776"/>
      <c r="P550" s="776"/>
      <c r="Q550" s="776"/>
      <c r="R550" s="776"/>
    </row>
    <row r="551" spans="2:18" ht="13.5">
      <c r="B551" s="389"/>
      <c r="C551" s="38"/>
      <c r="D551" s="390"/>
      <c r="E551" s="390"/>
      <c r="F551" s="390"/>
      <c r="G551" s="390"/>
      <c r="H551" s="390"/>
      <c r="I551" s="390"/>
      <c r="J551" s="390"/>
      <c r="K551" s="390"/>
      <c r="L551" s="390"/>
      <c r="M551" s="533">
        <f>'X-Chart Basics'!D24</f>
        <v>42790</v>
      </c>
      <c r="N551" s="776"/>
      <c r="O551" s="776"/>
      <c r="P551" s="776"/>
      <c r="Q551" s="776"/>
      <c r="R551" s="776"/>
    </row>
    <row r="552" spans="2:18" ht="15">
      <c r="B552" s="391"/>
      <c r="C552" s="1266"/>
      <c r="D552" s="336">
        <v>2008</v>
      </c>
      <c r="E552" s="336">
        <f t="shared" ref="E552:L552" si="46">D552+1</f>
        <v>2009</v>
      </c>
      <c r="F552" s="336">
        <f t="shared" si="46"/>
        <v>2010</v>
      </c>
      <c r="G552" s="336">
        <f t="shared" si="46"/>
        <v>2011</v>
      </c>
      <c r="H552" s="336">
        <f t="shared" si="46"/>
        <v>2012</v>
      </c>
      <c r="I552" s="336">
        <f t="shared" si="46"/>
        <v>2013</v>
      </c>
      <c r="J552" s="336">
        <f t="shared" si="46"/>
        <v>2014</v>
      </c>
      <c r="K552" s="336">
        <f t="shared" si="46"/>
        <v>2015</v>
      </c>
      <c r="L552" s="336">
        <f t="shared" si="46"/>
        <v>2016</v>
      </c>
      <c r="M552" s="388">
        <v>2017</v>
      </c>
      <c r="N552" s="776"/>
      <c r="O552" s="776"/>
      <c r="P552" s="776"/>
      <c r="Q552" s="776"/>
      <c r="R552" s="13"/>
    </row>
    <row r="553" spans="2:18" s="592" customFormat="1">
      <c r="B553" s="332" t="s">
        <v>804</v>
      </c>
      <c r="C553" s="10"/>
      <c r="D553" s="35">
        <f>'18 Data for Charts'!O65</f>
        <v>0</v>
      </c>
      <c r="E553" s="35">
        <f>'18 Data for Charts'!P65</f>
        <v>0</v>
      </c>
      <c r="F553" s="35">
        <f>'18 Data for Charts'!Q65</f>
        <v>0</v>
      </c>
      <c r="G553" s="35">
        <f>'18 Data for Charts'!R65</f>
        <v>0</v>
      </c>
      <c r="H553" s="35">
        <f>'18 Data for Charts'!S65</f>
        <v>0</v>
      </c>
      <c r="I553" s="35">
        <f>'18 Data for Charts'!T65</f>
        <v>0</v>
      </c>
      <c r="J553" s="35" t="e">
        <f>'18 Data for Charts'!#REF!</f>
        <v>#REF!</v>
      </c>
      <c r="K553" s="35" t="e">
        <f>'18 Data for Charts'!#REF!</f>
        <v>#REF!</v>
      </c>
      <c r="L553" s="35" t="e">
        <f>'18 Data for Charts'!#REF!</f>
        <v>#REF!</v>
      </c>
      <c r="M553" s="534">
        <f>R513</f>
        <v>0</v>
      </c>
      <c r="N553" s="28"/>
      <c r="O553" s="28"/>
      <c r="P553" s="28"/>
      <c r="Q553" s="28"/>
      <c r="R553" s="33"/>
    </row>
    <row r="554" spans="2:18" s="592" customFormat="1">
      <c r="B554" s="387" t="s">
        <v>992</v>
      </c>
      <c r="C554" s="4"/>
      <c r="D554" s="76">
        <f>'Econ-Perf 2'!N78</f>
        <v>0</v>
      </c>
      <c r="E554" s="76">
        <f>'Econ-Perf 2'!O78</f>
        <v>0</v>
      </c>
      <c r="F554" s="76">
        <f>'Econ-Perf 2'!P78</f>
        <v>0</v>
      </c>
      <c r="G554" s="76">
        <f>'Econ-Perf 2'!Q78</f>
        <v>0</v>
      </c>
      <c r="H554" s="76">
        <f>'Econ-Perf 2'!R78</f>
        <v>0</v>
      </c>
      <c r="I554" s="76">
        <f>'Econ-Perf 2'!S78</f>
        <v>0</v>
      </c>
      <c r="J554" s="76">
        <f>'Econ-Perf 2'!T78</f>
        <v>0</v>
      </c>
      <c r="K554" s="76" t="e">
        <f>'Econ-Perf 2'!#REF!</f>
        <v>#REF!</v>
      </c>
      <c r="L554" s="76" t="e">
        <f>'Econ-Perf 2'!#REF!</f>
        <v>#REF!</v>
      </c>
      <c r="M554" s="529"/>
      <c r="N554" s="28"/>
      <c r="O554" s="28"/>
      <c r="P554" s="28"/>
      <c r="Q554" s="28"/>
      <c r="R554" s="33"/>
    </row>
    <row r="555" spans="2:18" s="592" customFormat="1">
      <c r="B555" s="10"/>
      <c r="C555" s="10"/>
      <c r="D555" s="28"/>
      <c r="E555" s="28"/>
      <c r="F555" s="28"/>
      <c r="G555" s="28"/>
      <c r="H555" s="28"/>
      <c r="I555" s="28"/>
      <c r="J555" s="28"/>
      <c r="K555" s="28"/>
      <c r="L555" s="28"/>
      <c r="M555" s="620"/>
      <c r="N555" s="28"/>
      <c r="O555" s="28"/>
      <c r="P555" s="28"/>
      <c r="Q555" s="28"/>
      <c r="R555" s="33"/>
    </row>
    <row r="556" spans="2:18">
      <c r="B556" s="623" t="s">
        <v>996</v>
      </c>
      <c r="C556" s="44"/>
      <c r="D556" s="44"/>
      <c r="E556" s="44"/>
      <c r="F556" s="44"/>
      <c r="G556" s="44"/>
      <c r="H556" s="776"/>
      <c r="I556" s="776"/>
      <c r="J556" s="776"/>
      <c r="K556" s="776"/>
      <c r="L556" s="776"/>
      <c r="M556" s="776"/>
      <c r="N556" s="776"/>
      <c r="O556" s="776"/>
      <c r="P556" s="776"/>
      <c r="Q556" s="776"/>
      <c r="R556" s="776"/>
    </row>
    <row r="557" spans="2:18" s="592" customFormat="1" ht="16.5">
      <c r="B557" s="619"/>
      <c r="C557" s="13"/>
      <c r="D557" s="13"/>
      <c r="E557" s="13"/>
      <c r="F557" s="13"/>
      <c r="G557" s="13"/>
      <c r="H557" s="776"/>
      <c r="I557" s="776"/>
      <c r="J557" s="776"/>
      <c r="K557" s="776"/>
      <c r="L557" s="776"/>
      <c r="M557" s="776"/>
      <c r="N557" s="776"/>
      <c r="O557" s="776"/>
      <c r="P557" s="776"/>
      <c r="Q557" s="776"/>
      <c r="R557" s="776"/>
    </row>
    <row r="558" spans="2:18" ht="19.5">
      <c r="B558" s="572" t="s">
        <v>997</v>
      </c>
      <c r="C558" s="776"/>
      <c r="D558" s="776"/>
      <c r="E558" s="776"/>
      <c r="F558" s="776"/>
      <c r="G558" s="776"/>
      <c r="H558" s="776"/>
      <c r="I558" s="776"/>
      <c r="J558" s="776"/>
      <c r="K558" s="776"/>
      <c r="L558" s="776"/>
      <c r="M558" s="776"/>
      <c r="N558" s="776"/>
      <c r="O558" s="776"/>
      <c r="P558" s="776"/>
      <c r="Q558" s="776"/>
      <c r="R558" s="776"/>
    </row>
    <row r="559" spans="2:18">
      <c r="B559" s="422"/>
      <c r="C559" s="776"/>
      <c r="D559" s="776"/>
      <c r="E559" s="776"/>
      <c r="F559" s="776"/>
      <c r="G559" s="776"/>
      <c r="H559" s="776"/>
      <c r="I559" s="776"/>
      <c r="J559" s="776"/>
      <c r="K559" s="776"/>
      <c r="L559" s="776"/>
      <c r="M559" s="776"/>
      <c r="N559" s="776"/>
      <c r="O559" s="776"/>
      <c r="P559" s="776"/>
      <c r="Q559" s="776"/>
      <c r="R559" s="776"/>
    </row>
    <row r="560" spans="2:18">
      <c r="B560" s="1" t="s">
        <v>998</v>
      </c>
      <c r="C560" s="776"/>
      <c r="D560" s="776"/>
      <c r="E560" s="776"/>
      <c r="F560" s="776"/>
      <c r="G560" s="776"/>
      <c r="H560" s="776"/>
      <c r="I560" s="776"/>
      <c r="J560" s="776"/>
      <c r="K560" s="776"/>
      <c r="L560" s="50"/>
      <c r="M560" s="776"/>
      <c r="N560" s="776"/>
      <c r="O560" s="776"/>
      <c r="P560" s="776"/>
      <c r="Q560" s="776"/>
      <c r="R560" s="776"/>
    </row>
    <row r="561" spans="2:18" ht="13.5">
      <c r="B561" s="389"/>
      <c r="C561" s="38"/>
      <c r="D561" s="390"/>
      <c r="E561" s="390"/>
      <c r="F561" s="390"/>
      <c r="G561" s="390"/>
      <c r="H561" s="390"/>
      <c r="I561" s="390"/>
      <c r="J561" s="390"/>
      <c r="K561" s="390"/>
      <c r="L561" s="390"/>
      <c r="M561" s="533">
        <f>'X-Chart Basics'!D24</f>
        <v>42790</v>
      </c>
      <c r="N561" s="776"/>
      <c r="O561" s="776"/>
      <c r="P561" s="776"/>
      <c r="Q561" s="776"/>
      <c r="R561" s="776"/>
    </row>
    <row r="562" spans="2:18" ht="15">
      <c r="B562" s="391">
        <v>1000</v>
      </c>
      <c r="C562" s="1266" t="s">
        <v>32</v>
      </c>
      <c r="D562" s="336">
        <v>2008</v>
      </c>
      <c r="E562" s="336">
        <f t="shared" ref="E562:L562" si="47">D562+1</f>
        <v>2009</v>
      </c>
      <c r="F562" s="336">
        <f t="shared" si="47"/>
        <v>2010</v>
      </c>
      <c r="G562" s="336">
        <f t="shared" si="47"/>
        <v>2011</v>
      </c>
      <c r="H562" s="336">
        <f t="shared" si="47"/>
        <v>2012</v>
      </c>
      <c r="I562" s="336">
        <f t="shared" si="47"/>
        <v>2013</v>
      </c>
      <c r="J562" s="336">
        <f t="shared" si="47"/>
        <v>2014</v>
      </c>
      <c r="K562" s="336">
        <f t="shared" si="47"/>
        <v>2015</v>
      </c>
      <c r="L562" s="336">
        <f t="shared" si="47"/>
        <v>2016</v>
      </c>
      <c r="M562" s="388">
        <v>2017</v>
      </c>
      <c r="N562" s="776"/>
      <c r="O562" s="776"/>
      <c r="P562" s="776"/>
      <c r="Q562" s="776"/>
      <c r="R562" s="776"/>
    </row>
    <row r="563" spans="2:18" s="592" customFormat="1">
      <c r="B563" s="332" t="s">
        <v>804</v>
      </c>
      <c r="C563" s="10"/>
      <c r="D563" s="35" t="e">
        <f>'18 Data for Charts'!O67</f>
        <v>#REF!</v>
      </c>
      <c r="E563" s="35" t="e">
        <f>'18 Data for Charts'!P67</f>
        <v>#REF!</v>
      </c>
      <c r="F563" s="35" t="e">
        <f>'18 Data for Charts'!Q67</f>
        <v>#REF!</v>
      </c>
      <c r="G563" s="35" t="e">
        <f>'18 Data for Charts'!R67</f>
        <v>#REF!</v>
      </c>
      <c r="H563" s="35" t="e">
        <f>'18 Data for Charts'!S67</f>
        <v>#REF!</v>
      </c>
      <c r="I563" s="35" t="e">
        <f>'18 Data for Charts'!T67</f>
        <v>#REF!</v>
      </c>
      <c r="J563" s="35" t="e">
        <f>'18 Data for Charts'!#REF!</f>
        <v>#REF!</v>
      </c>
      <c r="K563" s="35" t="e">
        <f>'18 Data for Charts'!#REF!</f>
        <v>#REF!</v>
      </c>
      <c r="L563" s="35" t="e">
        <f>'18 Data for Charts'!#REF!</f>
        <v>#REF!</v>
      </c>
      <c r="M563" s="534">
        <f>R519</f>
        <v>0</v>
      </c>
      <c r="N563" s="28"/>
      <c r="O563" s="28"/>
      <c r="P563" s="28"/>
      <c r="Q563" s="28"/>
      <c r="R563" s="33"/>
    </row>
    <row r="564" spans="2:18" s="592" customFormat="1">
      <c r="B564" s="387" t="s">
        <v>992</v>
      </c>
      <c r="C564" s="4"/>
      <c r="D564" s="76">
        <f>'Econ-Perf 2'!N96</f>
        <v>0</v>
      </c>
      <c r="E564" s="76" t="e">
        <f>'Econ-Perf 2'!O96</f>
        <v>#REF!</v>
      </c>
      <c r="F564" s="76" t="e">
        <f>'Econ-Perf 2'!P96</f>
        <v>#REF!</v>
      </c>
      <c r="G564" s="76" t="e">
        <f>'Econ-Perf 2'!Q96</f>
        <v>#REF!</v>
      </c>
      <c r="H564" s="76" t="e">
        <f>'Econ-Perf 2'!R96</f>
        <v>#REF!</v>
      </c>
      <c r="I564" s="76" t="e">
        <f>'Econ-Perf 2'!S96</f>
        <v>#REF!</v>
      </c>
      <c r="J564" s="76" t="e">
        <f>'Econ-Perf 2'!T96</f>
        <v>#REF!</v>
      </c>
      <c r="K564" s="76" t="e">
        <f>'Econ-Perf 2'!#REF!</f>
        <v>#REF!</v>
      </c>
      <c r="L564" s="76" t="e">
        <f>'Econ-Perf 2'!#REF!</f>
        <v>#REF!</v>
      </c>
      <c r="M564" s="529"/>
      <c r="N564" s="28"/>
      <c r="O564" s="28"/>
      <c r="P564" s="28"/>
      <c r="Q564" s="28"/>
      <c r="R564" s="33"/>
    </row>
    <row r="565" spans="2:18" s="592" customFormat="1">
      <c r="B565" s="422"/>
      <c r="C565" s="776"/>
      <c r="D565" s="776"/>
      <c r="E565" s="776"/>
      <c r="F565" s="776"/>
      <c r="G565" s="10"/>
      <c r="H565" s="10"/>
      <c r="I565" s="28"/>
      <c r="J565" s="28"/>
      <c r="K565" s="28"/>
      <c r="L565" s="28"/>
      <c r="M565" s="28"/>
      <c r="N565" s="28"/>
      <c r="O565" s="28"/>
      <c r="P565" s="28"/>
      <c r="Q565" s="28"/>
      <c r="R565" s="33"/>
    </row>
    <row r="566" spans="2:18">
      <c r="B566" s="623" t="s">
        <v>999</v>
      </c>
      <c r="C566" s="44"/>
      <c r="D566" s="44"/>
      <c r="E566" s="44"/>
      <c r="F566" s="44"/>
      <c r="G566" s="44"/>
      <c r="H566" s="776"/>
      <c r="I566" s="776"/>
      <c r="J566" s="776"/>
      <c r="K566" s="776"/>
      <c r="L566" s="776"/>
      <c r="M566" s="776"/>
      <c r="N566" s="776"/>
      <c r="O566" s="776"/>
      <c r="P566" s="776"/>
      <c r="Q566" s="776"/>
      <c r="R566" s="13"/>
    </row>
    <row r="567" spans="2:18" s="592" customFormat="1" ht="16.5">
      <c r="B567" s="619"/>
      <c r="C567" s="13"/>
      <c r="D567" s="13"/>
      <c r="E567" s="13"/>
      <c r="F567" s="13"/>
      <c r="G567" s="13"/>
      <c r="H567" s="776"/>
      <c r="I567" s="776"/>
      <c r="J567" s="776"/>
      <c r="K567" s="776"/>
      <c r="L567" s="776"/>
      <c r="M567" s="776"/>
      <c r="N567" s="776"/>
      <c r="O567" s="776"/>
      <c r="P567" s="776"/>
      <c r="Q567" s="776"/>
      <c r="R567" s="13"/>
    </row>
    <row r="568" spans="2:18" ht="19.5">
      <c r="B568" s="572" t="s">
        <v>1000</v>
      </c>
      <c r="C568" s="776"/>
      <c r="D568" s="776"/>
      <c r="E568" s="776"/>
      <c r="F568" s="776"/>
      <c r="G568" s="776"/>
      <c r="H568" s="776"/>
      <c r="I568" s="776"/>
      <c r="J568" s="776"/>
      <c r="K568" s="776"/>
      <c r="L568" s="776"/>
      <c r="M568" s="776"/>
      <c r="N568" s="776"/>
      <c r="O568" s="776"/>
      <c r="P568" s="776"/>
      <c r="Q568" s="776"/>
      <c r="R568" s="13"/>
    </row>
    <row r="569" spans="2:18" ht="16.5">
      <c r="B569" s="568"/>
      <c r="C569" s="776"/>
      <c r="D569" s="776"/>
      <c r="E569" s="776"/>
      <c r="F569" s="776"/>
      <c r="G569" s="776"/>
      <c r="H569" s="776"/>
      <c r="I569" s="776"/>
      <c r="J569" s="776"/>
      <c r="K569" s="776"/>
      <c r="L569" s="776"/>
      <c r="M569" s="776"/>
      <c r="N569" s="776"/>
      <c r="O569" s="776"/>
      <c r="P569" s="776"/>
      <c r="Q569" s="776"/>
      <c r="R569" s="13"/>
    </row>
    <row r="570" spans="2:18">
      <c r="B570" s="1" t="s">
        <v>1001</v>
      </c>
      <c r="C570" s="776"/>
      <c r="D570" s="776"/>
      <c r="E570" s="776"/>
      <c r="F570" s="776"/>
      <c r="G570" s="776"/>
      <c r="H570" s="776"/>
      <c r="I570" s="776"/>
      <c r="J570" s="776"/>
      <c r="K570" s="776"/>
      <c r="L570" s="50"/>
      <c r="M570" s="776"/>
      <c r="N570" s="776"/>
      <c r="O570" s="776"/>
      <c r="P570" s="776"/>
      <c r="Q570" s="776"/>
      <c r="R570" s="13"/>
    </row>
    <row r="571" spans="2:18" ht="13.5">
      <c r="B571" s="389"/>
      <c r="C571" s="38"/>
      <c r="D571" s="390"/>
      <c r="E571" s="390"/>
      <c r="F571" s="390"/>
      <c r="G571" s="390"/>
      <c r="H571" s="390"/>
      <c r="I571" s="390"/>
      <c r="J571" s="390"/>
      <c r="K571" s="390"/>
      <c r="L571" s="390"/>
      <c r="M571" s="533">
        <f>'X-Chart Basics'!D24</f>
        <v>42790</v>
      </c>
      <c r="N571" s="776"/>
      <c r="O571" s="776"/>
      <c r="P571" s="776"/>
      <c r="Q571" s="776"/>
      <c r="R571" s="13"/>
    </row>
    <row r="572" spans="2:18" ht="15">
      <c r="B572" s="391">
        <v>1000</v>
      </c>
      <c r="C572" s="1266" t="s">
        <v>32</v>
      </c>
      <c r="D572" s="336">
        <v>2008</v>
      </c>
      <c r="E572" s="336">
        <f t="shared" ref="E572:L572" si="48">D572+1</f>
        <v>2009</v>
      </c>
      <c r="F572" s="336">
        <f t="shared" si="48"/>
        <v>2010</v>
      </c>
      <c r="G572" s="336">
        <f t="shared" si="48"/>
        <v>2011</v>
      </c>
      <c r="H572" s="336">
        <f t="shared" si="48"/>
        <v>2012</v>
      </c>
      <c r="I572" s="336">
        <f t="shared" si="48"/>
        <v>2013</v>
      </c>
      <c r="J572" s="336">
        <f t="shared" si="48"/>
        <v>2014</v>
      </c>
      <c r="K572" s="336">
        <f t="shared" si="48"/>
        <v>2015</v>
      </c>
      <c r="L572" s="336">
        <f t="shared" si="48"/>
        <v>2016</v>
      </c>
      <c r="M572" s="388">
        <v>2017</v>
      </c>
      <c r="N572" s="776"/>
      <c r="O572" s="776"/>
      <c r="P572" s="776"/>
      <c r="Q572" s="776"/>
      <c r="R572" s="13"/>
    </row>
    <row r="573" spans="2:18" s="592" customFormat="1">
      <c r="B573" s="332" t="s">
        <v>804</v>
      </c>
      <c r="C573" s="10"/>
      <c r="D573" s="35" t="e">
        <f>'18 Data for Charts'!O70</f>
        <v>#REF!</v>
      </c>
      <c r="E573" s="35" t="e">
        <f>'18 Data for Charts'!P70</f>
        <v>#REF!</v>
      </c>
      <c r="F573" s="35" t="e">
        <f>'18 Data for Charts'!Q70</f>
        <v>#REF!</v>
      </c>
      <c r="G573" s="35" t="e">
        <f>'18 Data for Charts'!R70</f>
        <v>#REF!</v>
      </c>
      <c r="H573" s="35" t="e">
        <f>'18 Data for Charts'!S70</f>
        <v>#REF!</v>
      </c>
      <c r="I573" s="35" t="e">
        <f>'18 Data for Charts'!T70</f>
        <v>#REF!</v>
      </c>
      <c r="J573" s="35" t="e">
        <f>'18 Data for Charts'!#REF!</f>
        <v>#REF!</v>
      </c>
      <c r="K573" s="35" t="e">
        <f>'18 Data for Charts'!#REF!</f>
        <v>#REF!</v>
      </c>
      <c r="L573" s="35" t="e">
        <f>'18 Data for Charts'!#REF!</f>
        <v>#REF!</v>
      </c>
      <c r="M573" s="534">
        <f>R525</f>
        <v>0</v>
      </c>
      <c r="N573" s="28"/>
      <c r="O573" s="28"/>
      <c r="P573" s="28"/>
      <c r="Q573" s="28"/>
      <c r="R573" s="33"/>
    </row>
    <row r="574" spans="2:18" s="592" customFormat="1">
      <c r="B574" s="387" t="s">
        <v>992</v>
      </c>
      <c r="C574" s="4"/>
      <c r="D574" s="76" t="e">
        <f>'Econ-Perf 1'!#REF!</f>
        <v>#REF!</v>
      </c>
      <c r="E574" s="76" t="e">
        <f>'Econ-Perf 1'!#REF!</f>
        <v>#REF!</v>
      </c>
      <c r="F574" s="76" t="e">
        <f>'Econ-Perf 1'!#REF!</f>
        <v>#REF!</v>
      </c>
      <c r="G574" s="76">
        <f>'Econ-Perf 1'!M53</f>
        <v>0</v>
      </c>
      <c r="H574" s="76">
        <f>'Econ-Perf 1'!N53</f>
        <v>0</v>
      </c>
      <c r="I574" s="76" t="e">
        <f>'Econ-Perf 1'!O53</f>
        <v>#REF!</v>
      </c>
      <c r="J574" s="76" t="e">
        <f>'Econ-Perf 1'!P53</f>
        <v>#REF!</v>
      </c>
      <c r="K574" s="76" t="e">
        <f>'Econ-Perf 1'!Q53</f>
        <v>#REF!</v>
      </c>
      <c r="L574" s="76" t="e">
        <f>'Econ-Perf 1'!R53</f>
        <v>#REF!</v>
      </c>
      <c r="M574" s="529"/>
      <c r="N574" s="28"/>
      <c r="O574" s="28"/>
      <c r="P574" s="28"/>
      <c r="Q574" s="28"/>
      <c r="R574" s="33"/>
    </row>
    <row r="575" spans="2:18" s="592" customFormat="1">
      <c r="B575" s="10"/>
      <c r="C575" s="10"/>
      <c r="D575" s="28"/>
      <c r="E575" s="28"/>
      <c r="F575" s="28"/>
      <c r="G575" s="28"/>
      <c r="H575" s="28"/>
      <c r="I575" s="28"/>
      <c r="J575" s="28"/>
      <c r="K575" s="28"/>
      <c r="L575" s="28"/>
      <c r="M575" s="33"/>
      <c r="N575" s="28"/>
      <c r="O575" s="28"/>
      <c r="P575" s="28"/>
      <c r="Q575" s="28"/>
      <c r="R575" s="33"/>
    </row>
    <row r="576" spans="2:18">
      <c r="B576" s="623" t="s">
        <v>1002</v>
      </c>
      <c r="C576" s="44"/>
      <c r="D576" s="44"/>
      <c r="E576" s="44"/>
      <c r="F576" s="44"/>
      <c r="G576" s="44"/>
      <c r="H576" s="776"/>
      <c r="I576" s="776"/>
      <c r="J576" s="776"/>
      <c r="K576" s="776"/>
      <c r="L576" s="776"/>
      <c r="M576" s="776"/>
      <c r="N576" s="776"/>
      <c r="O576" s="776"/>
      <c r="P576" s="776"/>
      <c r="Q576" s="776"/>
      <c r="R576" s="13"/>
    </row>
    <row r="577" spans="2:18" s="592" customFormat="1" ht="16.5">
      <c r="B577" s="619"/>
      <c r="C577" s="13"/>
      <c r="D577" s="13"/>
      <c r="E577" s="13"/>
      <c r="F577" s="13"/>
      <c r="G577" s="13"/>
      <c r="H577" s="776"/>
      <c r="I577" s="776"/>
      <c r="J577" s="776"/>
      <c r="K577" s="776"/>
      <c r="L577" s="776"/>
      <c r="M577" s="776"/>
      <c r="N577" s="776"/>
      <c r="O577" s="776"/>
      <c r="P577" s="776"/>
      <c r="Q577" s="776"/>
      <c r="R577" s="776"/>
    </row>
    <row r="578" spans="2:18" ht="19.5">
      <c r="B578" s="572" t="s">
        <v>1003</v>
      </c>
      <c r="C578" s="776"/>
      <c r="D578" s="776"/>
      <c r="E578" s="776"/>
      <c r="F578" s="776"/>
      <c r="G578" s="776"/>
      <c r="H578" s="776"/>
      <c r="I578" s="776"/>
      <c r="J578" s="776"/>
      <c r="K578" s="776"/>
      <c r="L578" s="776"/>
      <c r="M578" s="776"/>
      <c r="N578" s="776"/>
      <c r="O578" s="776"/>
      <c r="P578" s="776"/>
      <c r="Q578" s="776"/>
      <c r="R578" s="776"/>
    </row>
    <row r="579" spans="2:18" ht="16.5">
      <c r="B579" s="568"/>
      <c r="C579" s="776"/>
      <c r="D579" s="776"/>
      <c r="E579" s="776"/>
      <c r="F579" s="776"/>
      <c r="G579" s="776"/>
      <c r="H579" s="776"/>
      <c r="I579" s="776"/>
      <c r="J579" s="776"/>
      <c r="K579" s="776"/>
      <c r="L579" s="776"/>
      <c r="M579" s="776"/>
      <c r="N579" s="776"/>
      <c r="O579" s="776"/>
      <c r="P579" s="776"/>
      <c r="Q579" s="776"/>
      <c r="R579" s="776"/>
    </row>
    <row r="580" spans="2:18">
      <c r="B580" s="1" t="s">
        <v>1004</v>
      </c>
      <c r="C580" s="776"/>
      <c r="D580" s="776"/>
      <c r="E580" s="776"/>
      <c r="F580" s="776"/>
      <c r="G580" s="776"/>
      <c r="H580" s="776"/>
      <c r="I580" s="776"/>
      <c r="J580" s="776"/>
      <c r="K580" s="776"/>
      <c r="L580" s="50"/>
      <c r="M580" s="776"/>
      <c r="N580" s="776"/>
      <c r="O580" s="776"/>
      <c r="P580" s="776"/>
      <c r="Q580" s="776"/>
      <c r="R580" s="776"/>
    </row>
    <row r="581" spans="2:18" ht="13.5">
      <c r="B581" s="389"/>
      <c r="C581" s="38"/>
      <c r="D581" s="390"/>
      <c r="E581" s="390"/>
      <c r="F581" s="390"/>
      <c r="G581" s="390"/>
      <c r="H581" s="390"/>
      <c r="I581" s="390"/>
      <c r="J581" s="390"/>
      <c r="K581" s="390"/>
      <c r="L581" s="390"/>
      <c r="M581" s="533">
        <f>'X-Chart Basics'!D24</f>
        <v>42790</v>
      </c>
      <c r="N581" s="776"/>
      <c r="O581" s="776"/>
      <c r="P581" s="776"/>
      <c r="Q581" s="776"/>
      <c r="R581" s="776"/>
    </row>
    <row r="582" spans="2:18" ht="15">
      <c r="B582" s="391"/>
      <c r="C582" s="1266" t="s">
        <v>32</v>
      </c>
      <c r="D582" s="336">
        <v>2008</v>
      </c>
      <c r="E582" s="336">
        <f t="shared" ref="E582:L582" si="49">D582+1</f>
        <v>2009</v>
      </c>
      <c r="F582" s="336">
        <f t="shared" si="49"/>
        <v>2010</v>
      </c>
      <c r="G582" s="336">
        <f t="shared" si="49"/>
        <v>2011</v>
      </c>
      <c r="H582" s="336">
        <f t="shared" si="49"/>
        <v>2012</v>
      </c>
      <c r="I582" s="336">
        <f t="shared" si="49"/>
        <v>2013</v>
      </c>
      <c r="J582" s="336">
        <f t="shared" si="49"/>
        <v>2014</v>
      </c>
      <c r="K582" s="336">
        <f t="shared" si="49"/>
        <v>2015</v>
      </c>
      <c r="L582" s="336">
        <f t="shared" si="49"/>
        <v>2016</v>
      </c>
      <c r="M582" s="388">
        <v>2017</v>
      </c>
      <c r="N582" s="776"/>
      <c r="O582" s="776"/>
      <c r="P582" s="776"/>
      <c r="Q582" s="776"/>
      <c r="R582" s="13"/>
    </row>
    <row r="583" spans="2:18" s="592" customFormat="1">
      <c r="B583" s="332" t="s">
        <v>804</v>
      </c>
      <c r="C583" s="10"/>
      <c r="D583" s="35" t="e">
        <f>'18 Data for Charts'!O97</f>
        <v>#REF!</v>
      </c>
      <c r="E583" s="35" t="e">
        <f>'18 Data for Charts'!P97</f>
        <v>#REF!</v>
      </c>
      <c r="F583" s="35" t="e">
        <f>'18 Data for Charts'!Q97</f>
        <v>#REF!</v>
      </c>
      <c r="G583" s="35" t="e">
        <f>'18 Data for Charts'!R97</f>
        <v>#REF!</v>
      </c>
      <c r="H583" s="35" t="e">
        <f>'18 Data for Charts'!S97</f>
        <v>#REF!</v>
      </c>
      <c r="I583" s="35" t="e">
        <f>'18 Data for Charts'!T97</f>
        <v>#REF!</v>
      </c>
      <c r="J583" s="35" t="e">
        <f>'18 Data for Charts'!#REF!</f>
        <v>#REF!</v>
      </c>
      <c r="K583" s="35" t="e">
        <f>'18 Data for Charts'!#REF!</f>
        <v>#REF!</v>
      </c>
      <c r="L583" s="35" t="e">
        <f>'18 Data for Charts'!#REF!</f>
        <v>#REF!</v>
      </c>
      <c r="M583" s="534">
        <v>0</v>
      </c>
      <c r="N583" s="28"/>
      <c r="O583" s="28"/>
      <c r="P583" s="28"/>
      <c r="Q583" s="28"/>
      <c r="R583" s="33"/>
    </row>
    <row r="584" spans="2:18" s="592" customFormat="1">
      <c r="B584" s="387" t="s">
        <v>992</v>
      </c>
      <c r="C584" s="4"/>
      <c r="D584" s="76" t="e">
        <f>'Econ-Perf 1'!#REF!</f>
        <v>#REF!</v>
      </c>
      <c r="E584" s="76" t="e">
        <f>'Econ-Perf 1'!#REF!</f>
        <v>#REF!</v>
      </c>
      <c r="F584" s="76" t="e">
        <f>'Econ-Perf 1'!#REF!</f>
        <v>#REF!</v>
      </c>
      <c r="G584" s="76">
        <f>'Econ-Perf 1'!M55</f>
        <v>0</v>
      </c>
      <c r="H584" s="76">
        <f>'Econ-Perf 1'!N55</f>
        <v>0</v>
      </c>
      <c r="I584" s="76" t="e">
        <f>'Econ-Perf 1'!O55</f>
        <v>#REF!</v>
      </c>
      <c r="J584" s="76" t="e">
        <f>'Econ-Perf 1'!P55</f>
        <v>#REF!</v>
      </c>
      <c r="K584" s="76" t="e">
        <f>'Econ-Perf 1'!Q55</f>
        <v>#REF!</v>
      </c>
      <c r="L584" s="76" t="e">
        <f>'Econ-Perf 1'!R55</f>
        <v>#REF!</v>
      </c>
      <c r="M584" s="529"/>
      <c r="N584" s="28"/>
      <c r="O584" s="28"/>
      <c r="P584" s="28"/>
      <c r="Q584" s="28"/>
      <c r="R584" s="33"/>
    </row>
    <row r="585" spans="2:18" s="592" customFormat="1" ht="16.5">
      <c r="B585" s="568"/>
      <c r="C585" s="776"/>
      <c r="D585" s="776"/>
      <c r="E585" s="776"/>
      <c r="F585" s="776"/>
      <c r="G585" s="10"/>
      <c r="H585" s="10"/>
      <c r="I585" s="28"/>
      <c r="J585" s="28"/>
      <c r="K585" s="28"/>
      <c r="L585" s="28"/>
      <c r="M585" s="28"/>
      <c r="N585" s="28"/>
      <c r="O585" s="28"/>
      <c r="P585" s="28"/>
      <c r="Q585" s="28"/>
      <c r="R585" s="33"/>
    </row>
    <row r="586" spans="2:18">
      <c r="B586" s="623" t="s">
        <v>1005</v>
      </c>
      <c r="C586" s="44"/>
      <c r="D586" s="44"/>
      <c r="E586" s="44"/>
      <c r="F586" s="44"/>
      <c r="G586" s="44"/>
      <c r="H586" s="776"/>
      <c r="I586" s="776"/>
      <c r="J586" s="776"/>
      <c r="K586" s="776"/>
      <c r="L586" s="776"/>
      <c r="M586" s="776"/>
      <c r="N586" s="776"/>
      <c r="O586" s="776"/>
      <c r="P586" s="776"/>
      <c r="Q586" s="776"/>
      <c r="R586" s="776"/>
    </row>
    <row r="587" spans="2:18" s="592" customFormat="1" ht="16.5">
      <c r="B587" s="619"/>
      <c r="C587" s="13"/>
      <c r="D587" s="13"/>
      <c r="E587" s="13"/>
      <c r="F587" s="13"/>
      <c r="G587" s="13"/>
      <c r="H587" s="776"/>
      <c r="I587" s="776"/>
      <c r="J587" s="776"/>
      <c r="K587" s="776"/>
      <c r="L587" s="776"/>
      <c r="M587" s="776"/>
      <c r="N587" s="776"/>
      <c r="O587" s="776"/>
      <c r="P587" s="776"/>
      <c r="Q587" s="776"/>
      <c r="R587" s="776"/>
    </row>
    <row r="588" spans="2:18" ht="19.5">
      <c r="B588" s="572" t="s">
        <v>691</v>
      </c>
      <c r="C588" s="776"/>
      <c r="D588" s="776"/>
      <c r="E588" s="776"/>
      <c r="F588" s="776"/>
      <c r="G588" s="776"/>
      <c r="H588" s="776"/>
      <c r="I588" s="776"/>
      <c r="J588" s="776"/>
      <c r="K588" s="776"/>
      <c r="L588" s="776"/>
      <c r="M588" s="776"/>
      <c r="N588" s="776"/>
      <c r="O588" s="776"/>
      <c r="P588" s="776"/>
      <c r="Q588" s="776"/>
      <c r="R588" s="776"/>
    </row>
    <row r="589" spans="2:18" ht="16.5">
      <c r="B589" s="568"/>
      <c r="C589" s="776"/>
      <c r="D589" s="776"/>
      <c r="E589" s="776"/>
      <c r="F589" s="776"/>
      <c r="G589" s="776"/>
      <c r="H589" s="776"/>
      <c r="I589" s="776"/>
      <c r="J589" s="776"/>
      <c r="K589" s="776"/>
      <c r="L589" s="776"/>
      <c r="M589" s="776"/>
      <c r="N589" s="776"/>
      <c r="O589" s="776"/>
      <c r="P589" s="776"/>
      <c r="Q589" s="776"/>
      <c r="R589" s="776"/>
    </row>
    <row r="590" spans="2:18">
      <c r="B590" s="1" t="s">
        <v>1006</v>
      </c>
      <c r="C590" s="776"/>
      <c r="D590" s="776"/>
      <c r="E590" s="776"/>
      <c r="F590" s="776"/>
      <c r="G590" s="776"/>
      <c r="H590" s="776"/>
      <c r="I590" s="776"/>
      <c r="J590" s="776"/>
      <c r="K590" s="776"/>
      <c r="L590" s="50"/>
      <c r="M590" s="776"/>
      <c r="N590" s="776"/>
      <c r="O590" s="776"/>
      <c r="P590" s="776"/>
      <c r="Q590" s="776"/>
      <c r="R590" s="776"/>
    </row>
    <row r="591" spans="2:18" ht="13.5">
      <c r="B591" s="389"/>
      <c r="C591" s="38"/>
      <c r="D591" s="390"/>
      <c r="E591" s="390"/>
      <c r="F591" s="390"/>
      <c r="G591" s="390"/>
      <c r="H591" s="390"/>
      <c r="I591" s="390"/>
      <c r="J591" s="390"/>
      <c r="K591" s="390"/>
      <c r="L591" s="390"/>
      <c r="M591" s="533">
        <f>'X-Chart Basics'!D24</f>
        <v>42790</v>
      </c>
      <c r="N591" s="776"/>
      <c r="O591" s="776"/>
      <c r="P591" s="776"/>
      <c r="Q591" s="776"/>
      <c r="R591" s="776"/>
    </row>
    <row r="592" spans="2:18" ht="15">
      <c r="B592" s="391"/>
      <c r="C592" s="1266"/>
      <c r="D592" s="336">
        <v>2008</v>
      </c>
      <c r="E592" s="336">
        <f t="shared" ref="E592:L592" si="50">D592+1</f>
        <v>2009</v>
      </c>
      <c r="F592" s="336">
        <f t="shared" si="50"/>
        <v>2010</v>
      </c>
      <c r="G592" s="336">
        <f t="shared" si="50"/>
        <v>2011</v>
      </c>
      <c r="H592" s="336">
        <f t="shared" si="50"/>
        <v>2012</v>
      </c>
      <c r="I592" s="336">
        <f t="shared" si="50"/>
        <v>2013</v>
      </c>
      <c r="J592" s="336">
        <f t="shared" si="50"/>
        <v>2014</v>
      </c>
      <c r="K592" s="336">
        <f t="shared" si="50"/>
        <v>2015</v>
      </c>
      <c r="L592" s="336">
        <f t="shared" si="50"/>
        <v>2016</v>
      </c>
      <c r="M592" s="388">
        <v>2017</v>
      </c>
      <c r="N592" s="776"/>
      <c r="O592" s="776">
        <f>329021/((73507+80204)/2)</f>
        <v>4.2810338882708461</v>
      </c>
      <c r="P592" s="776"/>
      <c r="Q592" s="776"/>
      <c r="R592" s="776"/>
    </row>
    <row r="593" spans="1:20" s="592" customFormat="1">
      <c r="A593" s="776"/>
      <c r="B593" s="332" t="s">
        <v>804</v>
      </c>
      <c r="C593" s="10"/>
      <c r="D593" s="602">
        <f>'18 Data for Charts'!O92</f>
        <v>0</v>
      </c>
      <c r="E593" s="602">
        <f>'18 Data for Charts'!P92</f>
        <v>0</v>
      </c>
      <c r="F593" s="602">
        <f>'18 Data for Charts'!Q92</f>
        <v>0</v>
      </c>
      <c r="G593" s="602">
        <f>'18 Data for Charts'!R92</f>
        <v>0</v>
      </c>
      <c r="H593" s="602">
        <f>'18 Data for Charts'!S92</f>
        <v>0</v>
      </c>
      <c r="I593" s="602">
        <f>'18 Data for Charts'!T92</f>
        <v>0</v>
      </c>
      <c r="J593" s="602" t="e">
        <f>'18 Data for Charts'!#REF!</f>
        <v>#REF!</v>
      </c>
      <c r="K593" s="602" t="e">
        <f>'18 Data for Charts'!#REF!</f>
        <v>#REF!</v>
      </c>
      <c r="L593" s="602" t="e">
        <f>'18 Data for Charts'!#REF!</f>
        <v>#REF!</v>
      </c>
      <c r="M593" s="534">
        <v>0</v>
      </c>
      <c r="N593" s="776"/>
      <c r="O593" s="776">
        <f>365/O592</f>
        <v>85.259778251236241</v>
      </c>
      <c r="P593" s="11"/>
      <c r="Q593" s="11"/>
      <c r="R593" s="33"/>
      <c r="S593" s="776"/>
      <c r="T593" s="776"/>
    </row>
    <row r="594" spans="1:20" s="592" customFormat="1">
      <c r="A594" s="776"/>
      <c r="B594" s="387" t="s">
        <v>992</v>
      </c>
      <c r="C594" s="4"/>
      <c r="D594" s="603" t="e">
        <f>'Econ-Perf 1'!#REF!</f>
        <v>#REF!</v>
      </c>
      <c r="E594" s="603" t="e">
        <f>'Econ-Perf 1'!#REF!</f>
        <v>#REF!</v>
      </c>
      <c r="F594" s="603" t="e">
        <f>'Econ-Perf 1'!#REF!</f>
        <v>#REF!</v>
      </c>
      <c r="G594" s="603">
        <f>'Econ-Perf 1'!M39</f>
        <v>0</v>
      </c>
      <c r="H594" s="603">
        <f>'Econ-Perf 1'!N39</f>
        <v>0</v>
      </c>
      <c r="I594" s="603" t="e">
        <f>'Econ-Perf 1'!O39</f>
        <v>#REF!</v>
      </c>
      <c r="J594" s="603" t="e">
        <f>'Econ-Perf 1'!P39</f>
        <v>#REF!</v>
      </c>
      <c r="K594" s="603" t="e">
        <f>'Econ-Perf 1'!Q39</f>
        <v>#REF!</v>
      </c>
      <c r="L594" s="603" t="e">
        <f>'Econ-Perf 1'!R39</f>
        <v>#REF!</v>
      </c>
      <c r="M594" s="529"/>
      <c r="N594" s="776"/>
      <c r="O594" s="776"/>
      <c r="P594" s="11"/>
      <c r="Q594" s="11"/>
      <c r="R594" s="33"/>
      <c r="S594" s="776"/>
      <c r="T594" s="776"/>
    </row>
    <row r="595" spans="1:20" ht="16.5">
      <c r="A595" s="776"/>
      <c r="B595" s="568"/>
      <c r="C595" s="776"/>
      <c r="D595" s="776"/>
      <c r="E595" s="776"/>
      <c r="F595" s="776"/>
      <c r="G595" s="776"/>
      <c r="H595" s="776"/>
      <c r="I595" s="776"/>
      <c r="J595" s="776"/>
      <c r="K595" s="776"/>
      <c r="L595" s="776"/>
      <c r="M595" s="776"/>
      <c r="N595" s="776"/>
      <c r="O595" s="776"/>
      <c r="P595" s="776"/>
      <c r="Q595" s="776"/>
      <c r="R595" s="776"/>
      <c r="S595" s="776"/>
      <c r="T595" s="776"/>
    </row>
    <row r="596" spans="1:20">
      <c r="A596" s="776"/>
      <c r="B596" s="623" t="s">
        <v>1007</v>
      </c>
      <c r="C596" s="44"/>
      <c r="D596" s="44"/>
      <c r="E596" s="44"/>
      <c r="F596" s="44"/>
      <c r="G596" s="44"/>
      <c r="H596" s="776"/>
      <c r="I596" s="776"/>
      <c r="J596" s="776"/>
      <c r="K596" s="776"/>
      <c r="L596" s="776"/>
      <c r="M596" s="776"/>
      <c r="N596" s="776"/>
      <c r="O596" s="776"/>
      <c r="P596" s="776"/>
      <c r="Q596" s="776"/>
      <c r="R596" s="776"/>
      <c r="S596" s="776"/>
      <c r="T596" s="776"/>
    </row>
    <row r="597" spans="1:20" s="592" customFormat="1" ht="16.5">
      <c r="A597" s="776"/>
      <c r="B597" s="619"/>
      <c r="C597" s="13"/>
      <c r="D597" s="13"/>
      <c r="E597" s="13"/>
      <c r="F597" s="13"/>
      <c r="G597" s="13"/>
      <c r="H597" s="776"/>
      <c r="I597" s="776"/>
      <c r="J597" s="776"/>
      <c r="K597" s="776"/>
      <c r="L597" s="776"/>
      <c r="M597" s="776"/>
      <c r="N597" s="776"/>
      <c r="O597" s="776"/>
      <c r="P597" s="776"/>
      <c r="Q597" s="776"/>
      <c r="R597" s="776"/>
      <c r="S597" s="776"/>
      <c r="T597" s="776"/>
    </row>
    <row r="598" spans="1:20" ht="19.5">
      <c r="A598" s="776"/>
      <c r="B598" s="572" t="s">
        <v>1008</v>
      </c>
      <c r="C598" s="776"/>
      <c r="D598" s="776"/>
      <c r="E598" s="776"/>
      <c r="F598" s="776"/>
      <c r="G598" s="776"/>
      <c r="H598" s="776"/>
      <c r="I598" s="776"/>
      <c r="J598" s="776"/>
      <c r="K598" s="776"/>
      <c r="L598" s="776"/>
      <c r="M598" s="776"/>
      <c r="N598" s="776"/>
      <c r="O598" s="776"/>
      <c r="P598" s="776"/>
      <c r="Q598" s="776"/>
      <c r="R598" s="776"/>
      <c r="S598" s="776"/>
      <c r="T598" s="776"/>
    </row>
    <row r="599" spans="1:20" ht="16.5">
      <c r="A599" s="776"/>
      <c r="B599" s="568"/>
      <c r="C599" s="776"/>
      <c r="D599" s="776"/>
      <c r="E599" s="776"/>
      <c r="F599" s="776"/>
      <c r="G599" s="776"/>
      <c r="H599" s="776"/>
      <c r="I599" s="776"/>
      <c r="J599" s="776"/>
      <c r="K599" s="776"/>
      <c r="L599" s="776"/>
      <c r="M599" s="776"/>
      <c r="N599" s="776"/>
      <c r="O599" s="776"/>
      <c r="P599" s="776"/>
      <c r="Q599" s="776"/>
      <c r="R599" s="776"/>
      <c r="S599" s="776"/>
      <c r="T599" s="591"/>
    </row>
    <row r="600" spans="1:20">
      <c r="A600" s="776"/>
      <c r="B600" s="1" t="s">
        <v>1009</v>
      </c>
      <c r="C600" s="776"/>
      <c r="D600" s="776"/>
      <c r="E600" s="776"/>
      <c r="F600" s="776"/>
      <c r="G600" s="776"/>
      <c r="H600" s="776"/>
      <c r="I600" s="776"/>
      <c r="J600" s="776"/>
      <c r="K600" s="776"/>
      <c r="L600" s="50"/>
      <c r="M600" s="776"/>
      <c r="N600" s="776"/>
      <c r="O600" s="776"/>
      <c r="P600" s="776"/>
      <c r="Q600" s="776"/>
      <c r="R600" s="776"/>
      <c r="S600" s="776"/>
      <c r="T600" s="776"/>
    </row>
    <row r="601" spans="1:20" ht="13.5">
      <c r="A601" s="776"/>
      <c r="B601" s="389"/>
      <c r="C601" s="38"/>
      <c r="D601" s="390"/>
      <c r="E601" s="390"/>
      <c r="F601" s="390"/>
      <c r="G601" s="390"/>
      <c r="H601" s="390"/>
      <c r="I601" s="390"/>
      <c r="J601" s="390"/>
      <c r="K601" s="390"/>
      <c r="L601" s="390"/>
      <c r="M601" s="533">
        <f>'X-Chart Basics'!D24</f>
        <v>42790</v>
      </c>
      <c r="N601" s="776"/>
      <c r="O601" s="776"/>
      <c r="P601" s="776"/>
      <c r="Q601" s="776"/>
      <c r="R601" s="776"/>
      <c r="S601" s="776"/>
      <c r="T601" s="776"/>
    </row>
    <row r="602" spans="1:20" ht="15">
      <c r="A602" s="776"/>
      <c r="B602" s="391"/>
      <c r="C602" s="514" t="s">
        <v>554</v>
      </c>
      <c r="D602" s="336">
        <v>2008</v>
      </c>
      <c r="E602" s="336">
        <f t="shared" ref="E602:L602" si="51">D602+1</f>
        <v>2009</v>
      </c>
      <c r="F602" s="336">
        <f t="shared" si="51"/>
        <v>2010</v>
      </c>
      <c r="G602" s="336">
        <f t="shared" si="51"/>
        <v>2011</v>
      </c>
      <c r="H602" s="336">
        <f t="shared" si="51"/>
        <v>2012</v>
      </c>
      <c r="I602" s="336">
        <f t="shared" si="51"/>
        <v>2013</v>
      </c>
      <c r="J602" s="336">
        <f t="shared" si="51"/>
        <v>2014</v>
      </c>
      <c r="K602" s="336">
        <f t="shared" si="51"/>
        <v>2015</v>
      </c>
      <c r="L602" s="336">
        <f t="shared" si="51"/>
        <v>2016</v>
      </c>
      <c r="M602" s="388">
        <v>2017</v>
      </c>
      <c r="N602" s="776"/>
      <c r="O602" s="776"/>
      <c r="P602" s="776"/>
      <c r="Q602" s="776"/>
      <c r="R602" s="776"/>
      <c r="S602" s="776"/>
      <c r="T602" s="776"/>
    </row>
    <row r="603" spans="1:20" s="592" customFormat="1">
      <c r="A603" s="776"/>
      <c r="B603" s="332" t="s">
        <v>804</v>
      </c>
      <c r="C603" s="10"/>
      <c r="D603" s="621" t="e">
        <f>'18 Data for Charts'!O91</f>
        <v>#REF!</v>
      </c>
      <c r="E603" s="621" t="e">
        <f>'18 Data for Charts'!P91</f>
        <v>#REF!</v>
      </c>
      <c r="F603" s="621" t="e">
        <f>'18 Data for Charts'!Q91</f>
        <v>#REF!</v>
      </c>
      <c r="G603" s="621" t="e">
        <f>'18 Data for Charts'!R91</f>
        <v>#REF!</v>
      </c>
      <c r="H603" s="621" t="e">
        <f>'18 Data for Charts'!S91</f>
        <v>#REF!</v>
      </c>
      <c r="I603" s="621" t="e">
        <f>'18 Data for Charts'!T91</f>
        <v>#REF!</v>
      </c>
      <c r="J603" s="621" t="e">
        <f>'18 Data for Charts'!#REF!</f>
        <v>#REF!</v>
      </c>
      <c r="K603" s="621" t="e">
        <f>'18 Data for Charts'!#REF!</f>
        <v>#REF!</v>
      </c>
      <c r="L603" s="621" t="e">
        <f>'18 Data for Charts'!#REF!</f>
        <v>#REF!</v>
      </c>
      <c r="M603" s="622">
        <f>M563</f>
        <v>0</v>
      </c>
      <c r="N603" s="11"/>
      <c r="O603" s="11"/>
      <c r="P603" s="11"/>
      <c r="Q603" s="11"/>
      <c r="R603" s="33"/>
      <c r="S603" s="776"/>
      <c r="T603" s="776"/>
    </row>
    <row r="604" spans="1:20" s="592" customFormat="1">
      <c r="A604" s="776"/>
      <c r="B604" s="387" t="s">
        <v>992</v>
      </c>
      <c r="C604" s="4"/>
      <c r="D604" s="603" t="e">
        <f>'Econ-Perf 1'!#REF!</f>
        <v>#REF!</v>
      </c>
      <c r="E604" s="603" t="e">
        <f>'Econ-Perf 1'!#REF!</f>
        <v>#REF!</v>
      </c>
      <c r="F604" s="603" t="e">
        <f>'Econ-Perf 1'!#REF!</f>
        <v>#REF!</v>
      </c>
      <c r="G604" s="603">
        <f>'Econ-Perf 1'!M40</f>
        <v>0</v>
      </c>
      <c r="H604" s="603">
        <f>'Econ-Perf 1'!N40</f>
        <v>0</v>
      </c>
      <c r="I604" s="603" t="e">
        <f>'Econ-Perf 1'!O40</f>
        <v>#REF!</v>
      </c>
      <c r="J604" s="603" t="e">
        <f>'Econ-Perf 1'!P40</f>
        <v>#REF!</v>
      </c>
      <c r="K604" s="603" t="e">
        <f>'Econ-Perf 1'!Q40</f>
        <v>#REF!</v>
      </c>
      <c r="L604" s="603" t="e">
        <f>'Econ-Perf 1'!R40</f>
        <v>#REF!</v>
      </c>
      <c r="M604" s="529"/>
      <c r="N604" s="11"/>
      <c r="O604" s="11"/>
      <c r="P604" s="11"/>
      <c r="Q604" s="11"/>
      <c r="R604" s="33"/>
      <c r="S604" s="776"/>
      <c r="T604" s="776"/>
    </row>
    <row r="605" spans="1:20" s="592" customFormat="1" ht="16.5">
      <c r="A605" s="776"/>
      <c r="B605" s="568"/>
      <c r="C605" s="776"/>
      <c r="D605" s="776"/>
      <c r="E605" s="776"/>
      <c r="F605" s="776"/>
      <c r="G605" s="10"/>
      <c r="H605" s="23"/>
      <c r="I605" s="11"/>
      <c r="J605" s="11"/>
      <c r="K605" s="11"/>
      <c r="L605" s="11"/>
      <c r="M605" s="11"/>
      <c r="N605" s="11"/>
      <c r="O605" s="11"/>
      <c r="P605" s="11"/>
      <c r="Q605" s="11"/>
      <c r="R605" s="33"/>
      <c r="S605" s="776"/>
      <c r="T605" s="776"/>
    </row>
    <row r="606" spans="1:20">
      <c r="A606" s="776"/>
      <c r="B606" s="623" t="s">
        <v>1010</v>
      </c>
      <c r="C606" s="44"/>
      <c r="D606" s="44"/>
      <c r="E606" s="44"/>
      <c r="F606" s="44"/>
      <c r="G606" s="44"/>
      <c r="H606" s="776"/>
      <c r="I606" s="776"/>
      <c r="J606" s="776"/>
      <c r="K606" s="776"/>
      <c r="L606" s="776"/>
      <c r="M606" s="776"/>
      <c r="N606" s="776"/>
      <c r="O606" s="776"/>
      <c r="P606" s="776"/>
      <c r="Q606" s="776"/>
      <c r="R606" s="776"/>
      <c r="S606" s="776"/>
      <c r="T606" s="776"/>
    </row>
    <row r="607" spans="1:20" s="592" customFormat="1" ht="16.5">
      <c r="A607" s="776"/>
      <c r="B607" s="619"/>
      <c r="C607" s="13"/>
      <c r="D607" s="13"/>
      <c r="E607" s="13"/>
      <c r="F607" s="13"/>
      <c r="G607" s="13"/>
      <c r="H607" s="776"/>
      <c r="I607" s="776"/>
      <c r="J607" s="776"/>
      <c r="K607" s="776"/>
      <c r="L607" s="776"/>
      <c r="M607" s="776"/>
      <c r="N607" s="776"/>
      <c r="O607" s="776"/>
      <c r="P607" s="776"/>
      <c r="Q607" s="776"/>
      <c r="R607" s="776"/>
      <c r="S607" s="776"/>
      <c r="T607" s="776"/>
    </row>
    <row r="608" spans="1:20" ht="19.5">
      <c r="A608" s="776"/>
      <c r="B608" s="572" t="s">
        <v>1011</v>
      </c>
      <c r="C608" s="776"/>
      <c r="D608" s="776"/>
      <c r="E608" s="776"/>
      <c r="F608" s="776"/>
      <c r="G608" s="776"/>
      <c r="H608" s="776"/>
      <c r="I608" s="776"/>
      <c r="J608" s="776"/>
      <c r="K608" s="776"/>
      <c r="L608" s="776"/>
      <c r="M608" s="776"/>
      <c r="N608" s="776"/>
      <c r="O608" s="776"/>
      <c r="P608" s="776"/>
      <c r="Q608" s="776"/>
      <c r="R608" s="776"/>
      <c r="S608" s="776"/>
      <c r="T608" s="776"/>
    </row>
    <row r="609" spans="1:18" ht="16.5">
      <c r="A609" s="776"/>
      <c r="B609" s="568"/>
      <c r="C609" s="776"/>
      <c r="D609" s="776"/>
      <c r="E609" s="776"/>
      <c r="F609" s="776"/>
      <c r="G609" s="776"/>
      <c r="H609" s="776"/>
      <c r="I609" s="776"/>
      <c r="J609" s="776"/>
      <c r="K609" s="776"/>
      <c r="L609" s="776"/>
      <c r="M609" s="776"/>
      <c r="N609" s="776"/>
      <c r="O609" s="776"/>
      <c r="P609" s="776"/>
      <c r="Q609" s="776"/>
      <c r="R609" s="776"/>
    </row>
    <row r="610" spans="1:18">
      <c r="A610" s="776"/>
      <c r="B610" s="1" t="s">
        <v>1012</v>
      </c>
      <c r="C610" s="776"/>
      <c r="D610" s="776"/>
      <c r="E610" s="776"/>
      <c r="F610" s="776"/>
      <c r="G610" s="776"/>
      <c r="H610" s="776"/>
      <c r="I610" s="776"/>
      <c r="J610" s="776"/>
      <c r="K610" s="776"/>
      <c r="L610" s="50"/>
      <c r="M610" s="776"/>
      <c r="N610" s="776"/>
      <c r="O610" s="776"/>
      <c r="P610" s="776"/>
      <c r="Q610" s="776"/>
      <c r="R610" s="776"/>
    </row>
    <row r="611" spans="1:18" s="574" customFormat="1" ht="13.5">
      <c r="A611" s="776"/>
      <c r="B611" s="389"/>
      <c r="C611" s="38"/>
      <c r="D611" s="390"/>
      <c r="E611" s="390"/>
      <c r="F611" s="390"/>
      <c r="G611" s="390"/>
      <c r="H611" s="390"/>
      <c r="I611" s="390"/>
      <c r="J611" s="390"/>
      <c r="K611" s="390"/>
      <c r="L611" s="390"/>
      <c r="M611" s="533">
        <f>'X-Chart Basics'!D24</f>
        <v>42790</v>
      </c>
      <c r="N611" s="776"/>
      <c r="O611" s="776"/>
      <c r="P611" s="776"/>
      <c r="Q611" s="776"/>
      <c r="R611" s="776"/>
    </row>
    <row r="612" spans="1:18" s="574" customFormat="1" ht="15">
      <c r="A612" s="776"/>
      <c r="B612" s="391"/>
      <c r="C612" s="514" t="s">
        <v>554</v>
      </c>
      <c r="D612" s="336">
        <v>2008</v>
      </c>
      <c r="E612" s="336">
        <f t="shared" ref="E612:L612" si="52">D612+1</f>
        <v>2009</v>
      </c>
      <c r="F612" s="336">
        <f t="shared" si="52"/>
        <v>2010</v>
      </c>
      <c r="G612" s="336">
        <f t="shared" si="52"/>
        <v>2011</v>
      </c>
      <c r="H612" s="336">
        <f t="shared" si="52"/>
        <v>2012</v>
      </c>
      <c r="I612" s="336">
        <f t="shared" si="52"/>
        <v>2013</v>
      </c>
      <c r="J612" s="336">
        <f t="shared" si="52"/>
        <v>2014</v>
      </c>
      <c r="K612" s="336">
        <f t="shared" si="52"/>
        <v>2015</v>
      </c>
      <c r="L612" s="336">
        <f t="shared" si="52"/>
        <v>2016</v>
      </c>
      <c r="M612" s="388">
        <v>2017</v>
      </c>
      <c r="N612" s="776"/>
      <c r="O612" s="776"/>
      <c r="P612" s="776"/>
      <c r="Q612" s="776"/>
      <c r="R612" s="776"/>
    </row>
    <row r="613" spans="1:18" s="574" customFormat="1">
      <c r="A613" s="776"/>
      <c r="B613" s="575" t="s">
        <v>557</v>
      </c>
      <c r="C613" s="514"/>
      <c r="D613" s="576" t="e">
        <f>'18 Data for Charts'!O86</f>
        <v>#REF!</v>
      </c>
      <c r="E613" s="576" t="e">
        <f>'18 Data for Charts'!P86</f>
        <v>#REF!</v>
      </c>
      <c r="F613" s="576" t="e">
        <f>'18 Data for Charts'!Q86</f>
        <v>#REF!</v>
      </c>
      <c r="G613" s="576" t="e">
        <f>'18 Data for Charts'!R86</f>
        <v>#REF!</v>
      </c>
      <c r="H613" s="576" t="e">
        <f>'18 Data for Charts'!S86</f>
        <v>#REF!</v>
      </c>
      <c r="I613" s="576" t="e">
        <f>'18 Data for Charts'!T86</f>
        <v>#REF!</v>
      </c>
      <c r="J613" s="576" t="e">
        <f>'18 Data for Charts'!#REF!</f>
        <v>#REF!</v>
      </c>
      <c r="K613" s="576" t="e">
        <f>'18 Data for Charts'!#REF!</f>
        <v>#REF!</v>
      </c>
      <c r="L613" s="576" t="e">
        <f>'18 Data for Charts'!#REF!</f>
        <v>#REF!</v>
      </c>
      <c r="M613" s="261">
        <v>0</v>
      </c>
      <c r="N613" s="776"/>
      <c r="O613" s="776"/>
      <c r="P613" s="776"/>
      <c r="Q613" s="776"/>
      <c r="R613" s="776"/>
    </row>
    <row r="614" spans="1:18">
      <c r="A614" s="776"/>
      <c r="B614" s="575" t="s">
        <v>460</v>
      </c>
      <c r="C614" s="514"/>
      <c r="D614" s="576" t="e">
        <f>'18 Data for Charts'!O87</f>
        <v>#REF!</v>
      </c>
      <c r="E614" s="576" t="e">
        <f>'18 Data for Charts'!P87</f>
        <v>#REF!</v>
      </c>
      <c r="F614" s="576" t="e">
        <f>'18 Data for Charts'!Q87</f>
        <v>#REF!</v>
      </c>
      <c r="G614" s="576" t="e">
        <f>'18 Data for Charts'!R87</f>
        <v>#REF!</v>
      </c>
      <c r="H614" s="576" t="e">
        <f>'18 Data for Charts'!S87</f>
        <v>#REF!</v>
      </c>
      <c r="I614" s="576" t="e">
        <f>'18 Data for Charts'!T87</f>
        <v>#REF!</v>
      </c>
      <c r="J614" s="576" t="e">
        <f>'18 Data for Charts'!#REF!</f>
        <v>#REF!</v>
      </c>
      <c r="K614" s="576" t="e">
        <f>'18 Data for Charts'!#REF!</f>
        <v>#REF!</v>
      </c>
      <c r="L614" s="576" t="e">
        <f>'18 Data for Charts'!#REF!</f>
        <v>#REF!</v>
      </c>
      <c r="M614" s="261">
        <v>0</v>
      </c>
      <c r="N614" s="776"/>
      <c r="O614" s="776"/>
      <c r="P614" s="776"/>
      <c r="Q614" s="776"/>
      <c r="R614" s="13"/>
    </row>
    <row r="615" spans="1:18">
      <c r="A615" s="776"/>
      <c r="B615" s="575" t="s">
        <v>301</v>
      </c>
      <c r="C615" s="514"/>
      <c r="D615" s="577" t="e">
        <f>'18 Data for Charts'!O88</f>
        <v>#REF!</v>
      </c>
      <c r="E615" s="577" t="e">
        <f>'18 Data for Charts'!P88</f>
        <v>#REF!</v>
      </c>
      <c r="F615" s="577" t="e">
        <f>'18 Data for Charts'!Q88</f>
        <v>#REF!</v>
      </c>
      <c r="G615" s="577" t="e">
        <f>'18 Data for Charts'!R88</f>
        <v>#REF!</v>
      </c>
      <c r="H615" s="577" t="e">
        <f>'18 Data for Charts'!S88</f>
        <v>#REF!</v>
      </c>
      <c r="I615" s="577" t="e">
        <f>'18 Data for Charts'!T88</f>
        <v>#REF!</v>
      </c>
      <c r="J615" s="577" t="e">
        <f>'18 Data for Charts'!#REF!</f>
        <v>#REF!</v>
      </c>
      <c r="K615" s="577" t="e">
        <f>'18 Data for Charts'!#REF!</f>
        <v>#REF!</v>
      </c>
      <c r="L615" s="577" t="e">
        <f>'18 Data for Charts'!#REF!</f>
        <v>#REF!</v>
      </c>
      <c r="M615" s="388">
        <v>0</v>
      </c>
      <c r="N615" s="776"/>
      <c r="O615" s="776"/>
      <c r="P615" s="776"/>
      <c r="Q615" s="776"/>
      <c r="R615" s="13"/>
    </row>
    <row r="616" spans="1:18" s="592" customFormat="1">
      <c r="A616" s="776"/>
      <c r="B616" s="513" t="s">
        <v>6</v>
      </c>
      <c r="C616" s="10"/>
      <c r="D616" s="576" t="e">
        <f>'18 Data for Charts'!O89</f>
        <v>#REF!</v>
      </c>
      <c r="E616" s="576" t="e">
        <f>'18 Data for Charts'!P89</f>
        <v>#REF!</v>
      </c>
      <c r="F616" s="576" t="e">
        <f>'18 Data for Charts'!Q89</f>
        <v>#REF!</v>
      </c>
      <c r="G616" s="576" t="e">
        <f>'18 Data for Charts'!R89</f>
        <v>#REF!</v>
      </c>
      <c r="H616" s="576" t="e">
        <f>'18 Data for Charts'!S89</f>
        <v>#REF!</v>
      </c>
      <c r="I616" s="576" t="e">
        <f>'18 Data for Charts'!T89</f>
        <v>#REF!</v>
      </c>
      <c r="J616" s="576" t="e">
        <f>'18 Data for Charts'!#REF!</f>
        <v>#REF!</v>
      </c>
      <c r="K616" s="576" t="e">
        <f>'18 Data for Charts'!#REF!</f>
        <v>#REF!</v>
      </c>
      <c r="L616" s="576" t="e">
        <f>'18 Data for Charts'!#REF!</f>
        <v>#REF!</v>
      </c>
      <c r="M616" s="534">
        <f>R576</f>
        <v>0</v>
      </c>
      <c r="N616" s="11"/>
      <c r="O616" s="11"/>
      <c r="P616" s="11"/>
      <c r="Q616" s="11"/>
      <c r="R616" s="33"/>
    </row>
    <row r="617" spans="1:18" s="592" customFormat="1">
      <c r="A617" s="776"/>
      <c r="B617" s="517"/>
      <c r="C617" s="4"/>
      <c r="D617" s="12"/>
      <c r="E617" s="12"/>
      <c r="F617" s="12"/>
      <c r="G617" s="12"/>
      <c r="H617" s="12"/>
      <c r="I617" s="12"/>
      <c r="J617" s="12"/>
      <c r="K617" s="12"/>
      <c r="L617" s="12"/>
      <c r="M617" s="529"/>
      <c r="N617" s="11"/>
      <c r="O617" s="11"/>
      <c r="P617" s="11"/>
      <c r="Q617" s="11"/>
      <c r="R617" s="33"/>
    </row>
    <row r="618" spans="1:18" s="592" customFormat="1" ht="16.5">
      <c r="A618" s="776"/>
      <c r="B618" s="568"/>
      <c r="C618" s="776"/>
      <c r="D618" s="776"/>
      <c r="E618" s="776"/>
      <c r="F618" s="776"/>
      <c r="G618" s="435"/>
      <c r="H618" s="10"/>
      <c r="I618" s="11"/>
      <c r="J618" s="11"/>
      <c r="K618" s="11"/>
      <c r="L618" s="11"/>
      <c r="M618" s="11"/>
      <c r="N618" s="11"/>
      <c r="O618" s="11"/>
      <c r="P618" s="11"/>
      <c r="Q618" s="11"/>
      <c r="R618" s="33"/>
    </row>
    <row r="619" spans="1:18">
      <c r="A619" s="776"/>
      <c r="B619" s="623" t="s">
        <v>1013</v>
      </c>
      <c r="C619" s="44"/>
      <c r="D619" s="44"/>
      <c r="E619" s="44"/>
      <c r="F619" s="44"/>
      <c r="G619" s="44"/>
      <c r="H619" s="776"/>
      <c r="I619" s="776"/>
      <c r="J619" s="776"/>
      <c r="K619" s="776"/>
      <c r="L619" s="776"/>
      <c r="M619" s="776"/>
      <c r="N619" s="776"/>
      <c r="O619" s="776"/>
      <c r="P619" s="776"/>
      <c r="Q619" s="776"/>
      <c r="R619" s="776"/>
    </row>
    <row r="620" spans="1:18" s="592" customFormat="1" ht="16.5">
      <c r="A620" s="776"/>
      <c r="B620" s="619"/>
      <c r="C620" s="13"/>
      <c r="D620" s="13"/>
      <c r="E620" s="13"/>
      <c r="F620" s="13"/>
      <c r="G620" s="13"/>
      <c r="H620" s="776"/>
      <c r="I620" s="776"/>
      <c r="J620" s="776"/>
      <c r="K620" s="776"/>
      <c r="L620" s="776"/>
      <c r="M620" s="776"/>
      <c r="N620" s="776"/>
      <c r="O620" s="776"/>
      <c r="P620" s="776"/>
      <c r="Q620" s="776"/>
      <c r="R620" s="776"/>
    </row>
    <row r="621" spans="1:18" s="574" customFormat="1" ht="19.5">
      <c r="A621" s="776"/>
      <c r="B621" s="572" t="s">
        <v>1011</v>
      </c>
      <c r="C621" s="776"/>
      <c r="D621" s="776"/>
      <c r="E621" s="776"/>
      <c r="F621" s="776"/>
      <c r="G621" s="776"/>
      <c r="H621" s="776"/>
      <c r="I621" s="776"/>
      <c r="J621" s="776"/>
      <c r="K621" s="776"/>
      <c r="L621" s="776"/>
      <c r="M621" s="776"/>
      <c r="N621" s="776"/>
      <c r="O621" s="776"/>
      <c r="P621" s="776"/>
      <c r="Q621" s="776"/>
      <c r="R621" s="776"/>
    </row>
    <row r="622" spans="1:18" s="574" customFormat="1" ht="16.5">
      <c r="A622" s="776"/>
      <c r="B622" s="568"/>
      <c r="C622" s="776"/>
      <c r="D622" s="776"/>
      <c r="E622" s="776"/>
      <c r="F622" s="776"/>
      <c r="G622" s="776"/>
      <c r="H622" s="776"/>
      <c r="I622" s="776"/>
      <c r="J622" s="776"/>
      <c r="K622" s="776"/>
      <c r="L622" s="776"/>
      <c r="M622" s="776"/>
      <c r="N622" s="776"/>
      <c r="O622" s="776"/>
      <c r="P622" s="776"/>
      <c r="Q622" s="776"/>
      <c r="R622" s="776"/>
    </row>
    <row r="623" spans="1:18" s="574" customFormat="1">
      <c r="A623" s="776"/>
      <c r="B623" s="1" t="s">
        <v>1014</v>
      </c>
      <c r="C623" s="776"/>
      <c r="D623" s="776"/>
      <c r="E623" s="776"/>
      <c r="F623" s="776"/>
      <c r="G623" s="776"/>
      <c r="H623" s="776"/>
      <c r="I623" s="776"/>
      <c r="J623" s="776"/>
      <c r="K623" s="776"/>
      <c r="L623" s="50"/>
      <c r="M623" s="776"/>
      <c r="N623" s="776"/>
      <c r="O623" s="776"/>
      <c r="P623" s="776"/>
      <c r="Q623" s="776"/>
      <c r="R623" s="776"/>
    </row>
    <row r="624" spans="1:18" s="574" customFormat="1" ht="13.5">
      <c r="A624" s="776"/>
      <c r="B624" s="389"/>
      <c r="C624" s="38"/>
      <c r="D624" s="390"/>
      <c r="E624" s="390"/>
      <c r="F624" s="390"/>
      <c r="G624" s="390"/>
      <c r="H624" s="390"/>
      <c r="I624" s="390"/>
      <c r="J624" s="390"/>
      <c r="K624" s="390"/>
      <c r="L624" s="390"/>
      <c r="M624" s="533">
        <f>'X-Chart Basics'!D24</f>
        <v>42790</v>
      </c>
      <c r="N624" s="776"/>
      <c r="O624" s="776"/>
      <c r="P624" s="776"/>
      <c r="Q624" s="776"/>
      <c r="R624" s="776"/>
    </row>
    <row r="625" spans="1:19" s="574" customFormat="1" ht="15">
      <c r="A625" s="776"/>
      <c r="B625" s="391"/>
      <c r="C625" s="514" t="s">
        <v>1015</v>
      </c>
      <c r="D625" s="336">
        <v>2008</v>
      </c>
      <c r="E625" s="336">
        <f t="shared" ref="E625:L625" si="53">D625+1</f>
        <v>2009</v>
      </c>
      <c r="F625" s="336">
        <f t="shared" si="53"/>
        <v>2010</v>
      </c>
      <c r="G625" s="336">
        <f t="shared" si="53"/>
        <v>2011</v>
      </c>
      <c r="H625" s="336">
        <f t="shared" si="53"/>
        <v>2012</v>
      </c>
      <c r="I625" s="336">
        <f t="shared" si="53"/>
        <v>2013</v>
      </c>
      <c r="J625" s="336">
        <f t="shared" si="53"/>
        <v>2014</v>
      </c>
      <c r="K625" s="336">
        <f t="shared" si="53"/>
        <v>2015</v>
      </c>
      <c r="L625" s="336">
        <f t="shared" si="53"/>
        <v>2016</v>
      </c>
      <c r="M625" s="388">
        <v>2017</v>
      </c>
      <c r="N625" s="776"/>
      <c r="O625" s="776"/>
      <c r="P625" s="776"/>
      <c r="Q625" s="776"/>
      <c r="R625" s="776"/>
      <c r="S625" s="776"/>
    </row>
    <row r="626" spans="1:19" s="574" customFormat="1">
      <c r="A626" s="776"/>
      <c r="B626" s="575" t="s">
        <v>557</v>
      </c>
      <c r="C626" s="514"/>
      <c r="D626" s="580" t="e">
        <f>D613/$D$616</f>
        <v>#REF!</v>
      </c>
      <c r="E626" s="580" t="e">
        <f>E613/$E$616</f>
        <v>#REF!</v>
      </c>
      <c r="F626" s="580" t="e">
        <f>F613/$F$616</f>
        <v>#REF!</v>
      </c>
      <c r="G626" s="580" t="e">
        <f>G613/$G$616</f>
        <v>#REF!</v>
      </c>
      <c r="H626" s="580" t="e">
        <f>H613/$H$616</f>
        <v>#REF!</v>
      </c>
      <c r="I626" s="580" t="e">
        <f>I613/$I$616</f>
        <v>#REF!</v>
      </c>
      <c r="J626" s="580" t="e">
        <f>J613/$J$616</f>
        <v>#REF!</v>
      </c>
      <c r="K626" s="580" t="e">
        <f>K613/$K$616</f>
        <v>#REF!</v>
      </c>
      <c r="L626" s="580" t="e">
        <f>L613/$L$616</f>
        <v>#REF!</v>
      </c>
      <c r="M626" s="580" t="e">
        <f>M613/$M$616</f>
        <v>#DIV/0!</v>
      </c>
      <c r="N626" s="776"/>
      <c r="O626" s="776"/>
      <c r="P626" s="776"/>
      <c r="Q626" s="776"/>
      <c r="R626" s="776"/>
      <c r="S626" s="776"/>
    </row>
    <row r="627" spans="1:19" s="574" customFormat="1">
      <c r="A627" s="776"/>
      <c r="B627" s="575" t="s">
        <v>460</v>
      </c>
      <c r="C627" s="514"/>
      <c r="D627" s="580" t="e">
        <f>D614/$D$616</f>
        <v>#REF!</v>
      </c>
      <c r="E627" s="580" t="e">
        <f>E614/$E$616</f>
        <v>#REF!</v>
      </c>
      <c r="F627" s="580" t="e">
        <f>F614/$F$616</f>
        <v>#REF!</v>
      </c>
      <c r="G627" s="580" t="e">
        <f>G614/$G$616</f>
        <v>#REF!</v>
      </c>
      <c r="H627" s="580" t="e">
        <f>H614/$H$616</f>
        <v>#REF!</v>
      </c>
      <c r="I627" s="580" t="e">
        <f>I614/$I$616</f>
        <v>#REF!</v>
      </c>
      <c r="J627" s="580" t="e">
        <f>J614/$J$616</f>
        <v>#REF!</v>
      </c>
      <c r="K627" s="580" t="e">
        <f>K614/$K$616</f>
        <v>#REF!</v>
      </c>
      <c r="L627" s="580" t="e">
        <f>L614/$L$616</f>
        <v>#REF!</v>
      </c>
      <c r="M627" s="580" t="e">
        <f>M614/$M$616</f>
        <v>#DIV/0!</v>
      </c>
      <c r="N627" s="776"/>
      <c r="O627" s="776"/>
      <c r="P627" s="776"/>
      <c r="Q627" s="776"/>
      <c r="R627" s="776"/>
      <c r="S627" s="776"/>
    </row>
    <row r="628" spans="1:19" s="574" customFormat="1">
      <c r="A628" s="776"/>
      <c r="B628" s="575" t="s">
        <v>301</v>
      </c>
      <c r="C628" s="514"/>
      <c r="D628" s="590" t="e">
        <f>D615/$D$616</f>
        <v>#REF!</v>
      </c>
      <c r="E628" s="590" t="e">
        <f>E615/$E$616</f>
        <v>#REF!</v>
      </c>
      <c r="F628" s="590" t="e">
        <f>F615/$F$616</f>
        <v>#REF!</v>
      </c>
      <c r="G628" s="590" t="e">
        <f>G615/$G$616</f>
        <v>#REF!</v>
      </c>
      <c r="H628" s="590" t="e">
        <f>H615/$H$616</f>
        <v>#REF!</v>
      </c>
      <c r="I628" s="590" t="e">
        <f>I615/$I$616</f>
        <v>#REF!</v>
      </c>
      <c r="J628" s="590" t="e">
        <f>J615/$J$616</f>
        <v>#REF!</v>
      </c>
      <c r="K628" s="590" t="e">
        <f>K615/$K$616</f>
        <v>#REF!</v>
      </c>
      <c r="L628" s="590" t="e">
        <f>L615/$L$616</f>
        <v>#REF!</v>
      </c>
      <c r="M628" s="590" t="e">
        <f>M615/$M$616</f>
        <v>#DIV/0!</v>
      </c>
      <c r="N628" s="11"/>
      <c r="O628" s="11"/>
      <c r="P628" s="11"/>
      <c r="Q628" s="11"/>
      <c r="R628" s="33"/>
      <c r="S628" s="776"/>
    </row>
    <row r="629" spans="1:19" s="592" customFormat="1">
      <c r="A629" s="776"/>
      <c r="B629" s="513" t="s">
        <v>6</v>
      </c>
      <c r="C629" s="10"/>
      <c r="D629" s="580" t="e">
        <f>SUM(D626:D628)</f>
        <v>#REF!</v>
      </c>
      <c r="E629" s="580" t="e">
        <f>SUM(E626:E628)</f>
        <v>#REF!</v>
      </c>
      <c r="F629" s="580" t="e">
        <f t="shared" ref="F629:M629" si="54">SUM(F626:F628)</f>
        <v>#REF!</v>
      </c>
      <c r="G629" s="580" t="e">
        <f t="shared" si="54"/>
        <v>#REF!</v>
      </c>
      <c r="H629" s="580" t="e">
        <f t="shared" si="54"/>
        <v>#REF!</v>
      </c>
      <c r="I629" s="580" t="e">
        <f t="shared" si="54"/>
        <v>#REF!</v>
      </c>
      <c r="J629" s="580" t="e">
        <f t="shared" si="54"/>
        <v>#REF!</v>
      </c>
      <c r="K629" s="580" t="e">
        <f t="shared" si="54"/>
        <v>#REF!</v>
      </c>
      <c r="L629" s="580" t="e">
        <f t="shared" si="54"/>
        <v>#REF!</v>
      </c>
      <c r="M629" s="580" t="e">
        <f t="shared" si="54"/>
        <v>#DIV/0!</v>
      </c>
      <c r="N629" s="11"/>
      <c r="O629" s="11"/>
      <c r="P629" s="11"/>
      <c r="Q629" s="11"/>
      <c r="R629" s="33"/>
      <c r="S629" s="776"/>
    </row>
    <row r="630" spans="1:19" s="592" customFormat="1" ht="16.5">
      <c r="A630" s="776"/>
      <c r="B630" s="568"/>
      <c r="C630" s="776"/>
      <c r="D630" s="776"/>
      <c r="E630" s="776"/>
      <c r="F630" s="776"/>
      <c r="G630" s="435"/>
      <c r="H630" s="10"/>
      <c r="I630" s="11"/>
      <c r="J630" s="11"/>
      <c r="K630" s="11"/>
      <c r="L630" s="11"/>
      <c r="M630" s="11"/>
      <c r="N630" s="11"/>
      <c r="O630" s="11"/>
      <c r="P630" s="11"/>
      <c r="Q630" s="11"/>
      <c r="R630" s="33"/>
      <c r="S630" s="776"/>
    </row>
    <row r="631" spans="1:19" s="592" customFormat="1" ht="16.5">
      <c r="A631" s="776"/>
      <c r="B631" s="568"/>
      <c r="C631" s="776"/>
      <c r="D631" s="776"/>
      <c r="E631" s="776"/>
      <c r="F631" s="776"/>
      <c r="G631" s="435"/>
      <c r="H631" s="10"/>
      <c r="I631" s="11"/>
      <c r="J631" s="11"/>
      <c r="K631" s="11"/>
      <c r="L631" s="11"/>
      <c r="M631" s="11"/>
      <c r="N631" s="11"/>
      <c r="O631" s="11"/>
      <c r="P631" s="11"/>
      <c r="Q631" s="11"/>
      <c r="R631" s="33"/>
      <c r="S631" s="776"/>
    </row>
    <row r="632" spans="1:19">
      <c r="A632" s="776"/>
      <c r="B632" s="623" t="s">
        <v>1016</v>
      </c>
      <c r="C632" s="44"/>
      <c r="D632" s="44"/>
      <c r="E632" s="44"/>
      <c r="F632" s="44"/>
      <c r="G632" s="44"/>
      <c r="H632" s="776"/>
      <c r="I632" s="776"/>
      <c r="J632" s="776"/>
      <c r="K632" s="776"/>
      <c r="L632" s="776"/>
      <c r="M632" s="776"/>
      <c r="N632" s="776"/>
      <c r="O632" s="776"/>
      <c r="P632" s="776"/>
      <c r="Q632" s="776"/>
      <c r="R632" s="776"/>
      <c r="S632" s="776"/>
    </row>
    <row r="633" spans="1:19" s="592" customFormat="1" ht="16.5">
      <c r="A633" s="776"/>
      <c r="B633" s="619"/>
      <c r="C633" s="13"/>
      <c r="D633" s="13"/>
      <c r="E633" s="13"/>
      <c r="F633" s="13"/>
      <c r="G633" s="13"/>
      <c r="H633" s="776"/>
      <c r="I633" s="776"/>
      <c r="J633" s="776"/>
      <c r="K633" s="776"/>
      <c r="L633" s="776"/>
      <c r="M633" s="776"/>
      <c r="N633" s="776"/>
      <c r="O633" s="776"/>
      <c r="P633" s="776"/>
      <c r="Q633" s="776"/>
      <c r="R633" s="776"/>
      <c r="S633" s="776"/>
    </row>
    <row r="634" spans="1:19" ht="19.5">
      <c r="A634" s="776"/>
      <c r="B634" s="572" t="s">
        <v>1011</v>
      </c>
      <c r="C634" s="776"/>
      <c r="D634" s="776"/>
      <c r="E634" s="776"/>
      <c r="F634" s="776"/>
      <c r="G634" s="776"/>
      <c r="H634" s="776"/>
      <c r="I634" s="776"/>
      <c r="J634" s="776"/>
      <c r="K634" s="776"/>
      <c r="L634" s="776"/>
      <c r="M634" s="776"/>
      <c r="N634" s="776"/>
      <c r="O634" s="776"/>
      <c r="P634" s="776"/>
      <c r="Q634" s="776"/>
      <c r="R634" s="776"/>
      <c r="S634" s="776"/>
    </row>
    <row r="635" spans="1:19" ht="16.5">
      <c r="A635" s="776"/>
      <c r="B635" s="568"/>
      <c r="C635" s="776"/>
      <c r="D635" s="776"/>
      <c r="E635" s="776"/>
      <c r="F635" s="776"/>
      <c r="G635" s="776"/>
      <c r="H635" s="776"/>
      <c r="I635" s="776"/>
      <c r="J635" s="776"/>
      <c r="K635" s="776"/>
      <c r="L635" s="776"/>
      <c r="M635" s="776"/>
      <c r="N635" s="776"/>
      <c r="O635" s="776"/>
      <c r="P635" s="776"/>
      <c r="Q635" s="776"/>
      <c r="R635" s="776"/>
      <c r="S635" s="776"/>
    </row>
    <row r="636" spans="1:19">
      <c r="A636" s="776"/>
      <c r="B636" s="1" t="s">
        <v>1017</v>
      </c>
      <c r="C636" s="776"/>
      <c r="D636" s="776"/>
      <c r="E636" s="776"/>
      <c r="F636" s="776"/>
      <c r="G636" s="776"/>
      <c r="H636" s="776"/>
      <c r="I636" s="776"/>
      <c r="J636" s="776"/>
      <c r="K636" s="776"/>
      <c r="L636" s="50"/>
      <c r="M636" s="776"/>
      <c r="N636" s="776"/>
      <c r="O636" s="776"/>
      <c r="P636" s="776"/>
      <c r="Q636" s="776"/>
      <c r="R636" s="776"/>
      <c r="S636" s="776"/>
    </row>
    <row r="637" spans="1:19" ht="13.5">
      <c r="A637" s="776"/>
      <c r="B637" s="389"/>
      <c r="C637" s="38"/>
      <c r="D637" s="390"/>
      <c r="E637" s="390"/>
      <c r="F637" s="390"/>
      <c r="G637" s="390"/>
      <c r="H637" s="390"/>
      <c r="I637" s="390"/>
      <c r="J637" s="390"/>
      <c r="K637" s="390"/>
      <c r="L637" s="390"/>
      <c r="M637" s="626">
        <f>'X-Chart Basics'!D24</f>
        <v>42790</v>
      </c>
      <c r="N637" s="23"/>
      <c r="O637" s="23"/>
      <c r="P637" s="23"/>
      <c r="Q637" s="23"/>
      <c r="R637" s="23"/>
      <c r="S637" s="23"/>
    </row>
    <row r="638" spans="1:19" s="574" customFormat="1" ht="15">
      <c r="A638" s="776"/>
      <c r="B638" s="391"/>
      <c r="C638" s="514" t="s">
        <v>554</v>
      </c>
      <c r="D638" s="336">
        <v>2008</v>
      </c>
      <c r="E638" s="336">
        <f t="shared" ref="E638:L638" si="55">D638+1</f>
        <v>2009</v>
      </c>
      <c r="F638" s="336">
        <f t="shared" si="55"/>
        <v>2010</v>
      </c>
      <c r="G638" s="336">
        <f t="shared" si="55"/>
        <v>2011</v>
      </c>
      <c r="H638" s="336">
        <f t="shared" si="55"/>
        <v>2012</v>
      </c>
      <c r="I638" s="336">
        <f t="shared" si="55"/>
        <v>2013</v>
      </c>
      <c r="J638" s="336">
        <f t="shared" si="55"/>
        <v>2014</v>
      </c>
      <c r="K638" s="336">
        <f t="shared" si="55"/>
        <v>2015</v>
      </c>
      <c r="L638" s="336">
        <f t="shared" si="55"/>
        <v>2016</v>
      </c>
      <c r="M638" s="26">
        <v>2017</v>
      </c>
      <c r="N638" s="23"/>
      <c r="O638" s="23"/>
      <c r="P638" s="23"/>
      <c r="Q638" s="23"/>
      <c r="R638" s="23"/>
      <c r="S638" s="23"/>
    </row>
    <row r="639" spans="1:19" s="574" customFormat="1">
      <c r="A639" s="776"/>
      <c r="B639" s="575" t="s">
        <v>557</v>
      </c>
      <c r="C639" s="10"/>
      <c r="D639" s="578">
        <f>'Econ-Perf 2'!N100</f>
        <v>0</v>
      </c>
      <c r="E639" s="578" t="e">
        <f>'Econ-Perf 2'!O100</f>
        <v>#REF!</v>
      </c>
      <c r="F639" s="578" t="e">
        <f>'Econ-Perf 2'!P100</f>
        <v>#REF!</v>
      </c>
      <c r="G639" s="578" t="e">
        <f>'Econ-Perf 2'!Q100</f>
        <v>#REF!</v>
      </c>
      <c r="H639" s="578" t="e">
        <f>'Econ-Perf 2'!R100</f>
        <v>#REF!</v>
      </c>
      <c r="I639" s="578" t="e">
        <f>'Econ-Perf 2'!S100</f>
        <v>#REF!</v>
      </c>
      <c r="J639" s="578" t="e">
        <f>'Econ-Perf 2'!T100</f>
        <v>#REF!</v>
      </c>
      <c r="K639" s="578" t="e">
        <f>'Econ-Perf 2'!#REF!</f>
        <v>#REF!</v>
      </c>
      <c r="L639" s="578" t="e">
        <f>'Econ-Perf 2'!#REF!</f>
        <v>#REF!</v>
      </c>
      <c r="M639" s="578"/>
      <c r="N639" s="23"/>
      <c r="O639" s="23"/>
      <c r="P639" s="23"/>
      <c r="Q639" s="23"/>
      <c r="R639" s="23"/>
      <c r="S639" s="23"/>
    </row>
    <row r="640" spans="1:19" s="574" customFormat="1">
      <c r="A640" s="776"/>
      <c r="B640" s="575" t="s">
        <v>460</v>
      </c>
      <c r="C640" s="10"/>
      <c r="D640" s="578">
        <f>'Econ-Perf 2'!N101</f>
        <v>0</v>
      </c>
      <c r="E640" s="578" t="e">
        <f>'Econ-Perf 2'!O101</f>
        <v>#REF!</v>
      </c>
      <c r="F640" s="578" t="e">
        <f>'Econ-Perf 2'!P101</f>
        <v>#REF!</v>
      </c>
      <c r="G640" s="578" t="e">
        <f>'Econ-Perf 2'!Q101</f>
        <v>#REF!</v>
      </c>
      <c r="H640" s="578" t="e">
        <f>'Econ-Perf 2'!R101</f>
        <v>#REF!</v>
      </c>
      <c r="I640" s="578" t="e">
        <f>'Econ-Perf 2'!S101</f>
        <v>#REF!</v>
      </c>
      <c r="J640" s="578" t="e">
        <f>'Econ-Perf 2'!T101</f>
        <v>#REF!</v>
      </c>
      <c r="K640" s="578" t="e">
        <f>'Econ-Perf 2'!#REF!</f>
        <v>#REF!</v>
      </c>
      <c r="L640" s="578" t="e">
        <f>'Econ-Perf 2'!#REF!</f>
        <v>#REF!</v>
      </c>
      <c r="M640" s="578"/>
      <c r="N640" s="23"/>
      <c r="O640" s="23"/>
      <c r="P640" s="23"/>
      <c r="Q640" s="23"/>
      <c r="R640" s="23"/>
      <c r="S640" s="23"/>
    </row>
    <row r="641" spans="1:19">
      <c r="A641" s="776"/>
      <c r="B641" s="575" t="s">
        <v>301</v>
      </c>
      <c r="C641" s="10"/>
      <c r="D641" s="579">
        <f>'Econ-Perf 2'!N102</f>
        <v>0</v>
      </c>
      <c r="E641" s="579" t="e">
        <f>'Econ-Perf 2'!O102</f>
        <v>#REF!</v>
      </c>
      <c r="F641" s="579" t="e">
        <f>'Econ-Perf 2'!P102</f>
        <v>#REF!</v>
      </c>
      <c r="G641" s="579" t="e">
        <f>'Econ-Perf 2'!Q102</f>
        <v>#REF!</v>
      </c>
      <c r="H641" s="579" t="e">
        <f>'Econ-Perf 2'!R102</f>
        <v>#REF!</v>
      </c>
      <c r="I641" s="579" t="e">
        <f>'Econ-Perf 2'!S102</f>
        <v>#REF!</v>
      </c>
      <c r="J641" s="579" t="e">
        <f>'Econ-Perf 2'!T102</f>
        <v>#REF!</v>
      </c>
      <c r="K641" s="579" t="e">
        <f>'Econ-Perf 2'!#REF!</f>
        <v>#REF!</v>
      </c>
      <c r="L641" s="579" t="e">
        <f>'Econ-Perf 2'!#REF!</f>
        <v>#REF!</v>
      </c>
      <c r="M641" s="579"/>
      <c r="N641" s="11"/>
      <c r="O641" s="11"/>
      <c r="P641" s="11"/>
      <c r="Q641" s="11"/>
      <c r="R641" s="33"/>
      <c r="S641" s="23"/>
    </row>
    <row r="642" spans="1:19" s="592" customFormat="1">
      <c r="A642" s="776"/>
      <c r="B642" s="513" t="s">
        <v>6</v>
      </c>
      <c r="C642" s="10"/>
      <c r="D642" s="578">
        <f>'Econ-Perf 2'!N103</f>
        <v>0</v>
      </c>
      <c r="E642" s="578" t="e">
        <f>'Econ-Perf 2'!O103</f>
        <v>#REF!</v>
      </c>
      <c r="F642" s="578" t="e">
        <f>'Econ-Perf 2'!P103</f>
        <v>#REF!</v>
      </c>
      <c r="G642" s="578" t="e">
        <f>'Econ-Perf 2'!Q103</f>
        <v>#REF!</v>
      </c>
      <c r="H642" s="578" t="e">
        <f>'Econ-Perf 2'!R103</f>
        <v>#REF!</v>
      </c>
      <c r="I642" s="578" t="e">
        <f>'Econ-Perf 2'!S103</f>
        <v>#REF!</v>
      </c>
      <c r="J642" s="578" t="e">
        <f>'Econ-Perf 2'!T103</f>
        <v>#REF!</v>
      </c>
      <c r="K642" s="578" t="e">
        <f>'Econ-Perf 2'!#REF!</f>
        <v>#REF!</v>
      </c>
      <c r="L642" s="578" t="e">
        <f>'Econ-Perf 2'!#REF!</f>
        <v>#REF!</v>
      </c>
      <c r="M642" s="578"/>
      <c r="N642" s="11"/>
      <c r="O642" s="11"/>
      <c r="P642" s="11"/>
      <c r="Q642" s="11"/>
      <c r="R642" s="33"/>
      <c r="S642" s="23"/>
    </row>
    <row r="643" spans="1:19" s="592" customFormat="1" ht="16.5">
      <c r="A643" s="776"/>
      <c r="B643" s="568"/>
      <c r="C643" s="776"/>
      <c r="D643" s="776"/>
      <c r="E643" s="776"/>
      <c r="F643" s="776"/>
      <c r="G643" s="10"/>
      <c r="H643" s="10"/>
      <c r="I643" s="11"/>
      <c r="J643" s="11"/>
      <c r="K643" s="11"/>
      <c r="L643" s="11"/>
      <c r="M643" s="11"/>
      <c r="N643" s="11"/>
      <c r="O643" s="11"/>
      <c r="P643" s="11"/>
      <c r="Q643" s="11"/>
      <c r="R643" s="33"/>
      <c r="S643" s="23"/>
    </row>
    <row r="644" spans="1:19">
      <c r="A644" s="776"/>
      <c r="B644" s="623" t="s">
        <v>1018</v>
      </c>
      <c r="C644" s="44"/>
      <c r="D644" s="44"/>
      <c r="E644" s="44"/>
      <c r="F644" s="44"/>
      <c r="G644" s="44"/>
      <c r="H644" s="776"/>
      <c r="I644" s="776"/>
      <c r="J644" s="776"/>
      <c r="K644" s="776"/>
      <c r="L644" s="776"/>
      <c r="M644" s="776"/>
      <c r="N644" s="776"/>
      <c r="O644" s="776"/>
      <c r="P644" s="776"/>
      <c r="Q644" s="776"/>
      <c r="R644" s="776"/>
      <c r="S644" s="776"/>
    </row>
    <row r="645" spans="1:19" s="592" customFormat="1" ht="16.5">
      <c r="A645" s="776"/>
      <c r="B645" s="619"/>
      <c r="C645" s="13"/>
      <c r="D645" s="13"/>
      <c r="E645" s="13"/>
      <c r="F645" s="13"/>
      <c r="G645" s="13"/>
      <c r="H645" s="776"/>
      <c r="I645" s="776"/>
      <c r="J645" s="776"/>
      <c r="K645" s="776"/>
      <c r="L645" s="776"/>
      <c r="M645" s="776"/>
      <c r="N645" s="776"/>
      <c r="O645" s="776"/>
      <c r="P645" s="776"/>
      <c r="Q645" s="776"/>
      <c r="R645" s="776"/>
      <c r="S645" s="776"/>
    </row>
    <row r="646" spans="1:19" ht="19.5">
      <c r="A646" s="776"/>
      <c r="B646" s="572" t="s">
        <v>1011</v>
      </c>
      <c r="C646" s="776"/>
      <c r="D646" s="776"/>
      <c r="E646" s="776"/>
      <c r="F646" s="776"/>
      <c r="G646" s="776"/>
      <c r="H646" s="776"/>
      <c r="I646" s="776"/>
      <c r="J646" s="776"/>
      <c r="K646" s="776"/>
      <c r="L646" s="776"/>
      <c r="M646" s="776"/>
      <c r="N646" s="776"/>
      <c r="O646" s="776"/>
      <c r="P646" s="776"/>
      <c r="Q646" s="776"/>
      <c r="R646" s="776"/>
      <c r="S646" s="776"/>
    </row>
    <row r="647" spans="1:19" ht="16.5">
      <c r="A647" s="776"/>
      <c r="B647" s="568"/>
      <c r="C647" s="776"/>
      <c r="D647" s="776"/>
      <c r="E647" s="776"/>
      <c r="F647" s="776"/>
      <c r="G647" s="776"/>
      <c r="H647" s="776"/>
      <c r="I647" s="776"/>
      <c r="J647" s="776"/>
      <c r="K647" s="776"/>
      <c r="L647" s="776"/>
      <c r="M647" s="776"/>
      <c r="N647" s="776"/>
      <c r="O647" s="776"/>
      <c r="P647" s="776"/>
      <c r="Q647" s="776"/>
      <c r="R647" s="776"/>
      <c r="S647" s="776"/>
    </row>
    <row r="648" spans="1:19">
      <c r="A648" s="776"/>
      <c r="B648" s="1" t="s">
        <v>1019</v>
      </c>
      <c r="C648" s="776"/>
      <c r="D648" s="776"/>
      <c r="E648" s="776"/>
      <c r="F648" s="776"/>
      <c r="G648" s="776"/>
      <c r="H648" s="776"/>
      <c r="I648" s="776"/>
      <c r="J648" s="776"/>
      <c r="K648" s="776"/>
      <c r="L648" s="50"/>
      <c r="M648" s="776"/>
      <c r="N648" s="776"/>
      <c r="O648" s="776"/>
      <c r="P648" s="776"/>
      <c r="Q648" s="776"/>
      <c r="R648" s="776"/>
      <c r="S648" s="776"/>
    </row>
    <row r="649" spans="1:19" ht="13.5">
      <c r="A649" s="776"/>
      <c r="B649" s="389"/>
      <c r="C649" s="38"/>
      <c r="D649" s="390"/>
      <c r="E649" s="390"/>
      <c r="F649" s="390"/>
      <c r="G649" s="390"/>
      <c r="H649" s="390"/>
      <c r="I649" s="390"/>
      <c r="J649" s="390"/>
      <c r="K649" s="390"/>
      <c r="L649" s="390"/>
      <c r="M649" s="533">
        <f>'X-Chart Basics'!D24</f>
        <v>42790</v>
      </c>
      <c r="N649" s="776"/>
      <c r="O649" s="776"/>
      <c r="P649" s="776"/>
      <c r="Q649" s="776"/>
      <c r="R649" s="776"/>
      <c r="S649" s="776"/>
    </row>
    <row r="650" spans="1:19" ht="15">
      <c r="A650" s="776"/>
      <c r="B650" s="391"/>
      <c r="C650" s="514" t="s">
        <v>1015</v>
      </c>
      <c r="D650" s="336">
        <v>2008</v>
      </c>
      <c r="E650" s="336">
        <f t="shared" ref="E650:L650" si="56">D650+1</f>
        <v>2009</v>
      </c>
      <c r="F650" s="336">
        <f t="shared" si="56"/>
        <v>2010</v>
      </c>
      <c r="G650" s="336">
        <f t="shared" si="56"/>
        <v>2011</v>
      </c>
      <c r="H650" s="336">
        <f t="shared" si="56"/>
        <v>2012</v>
      </c>
      <c r="I650" s="336">
        <f t="shared" si="56"/>
        <v>2013</v>
      </c>
      <c r="J650" s="336">
        <f t="shared" si="56"/>
        <v>2014</v>
      </c>
      <c r="K650" s="336">
        <f t="shared" si="56"/>
        <v>2015</v>
      </c>
      <c r="L650" s="336">
        <f t="shared" si="56"/>
        <v>2016</v>
      </c>
      <c r="M650" s="388">
        <v>2017</v>
      </c>
      <c r="N650" s="776"/>
      <c r="O650" s="776"/>
      <c r="P650" s="776"/>
      <c r="Q650" s="776"/>
      <c r="R650" s="776"/>
      <c r="S650" s="776"/>
    </row>
    <row r="651" spans="1:19">
      <c r="A651" s="776"/>
      <c r="B651" s="575" t="s">
        <v>557</v>
      </c>
      <c r="C651" s="10"/>
      <c r="D651" s="581" t="e">
        <f>D639/$D$642</f>
        <v>#DIV/0!</v>
      </c>
      <c r="E651" s="581" t="e">
        <f>E639/$E$642</f>
        <v>#REF!</v>
      </c>
      <c r="F651" s="581" t="e">
        <f>E639/$E$642</f>
        <v>#REF!</v>
      </c>
      <c r="G651" s="581" t="e">
        <f>G639/$G$642</f>
        <v>#REF!</v>
      </c>
      <c r="H651" s="581" t="e">
        <f>H639/$H$642</f>
        <v>#REF!</v>
      </c>
      <c r="I651" s="581" t="e">
        <f>I639/$I$642</f>
        <v>#REF!</v>
      </c>
      <c r="J651" s="581" t="e">
        <f>J639/$J$642</f>
        <v>#REF!</v>
      </c>
      <c r="K651" s="581" t="e">
        <f>K639/$K$642</f>
        <v>#REF!</v>
      </c>
      <c r="L651" s="581" t="e">
        <f>L639/$L$642</f>
        <v>#REF!</v>
      </c>
      <c r="M651" s="581" t="e">
        <f>M639/M641</f>
        <v>#DIV/0!</v>
      </c>
      <c r="N651" s="776"/>
      <c r="O651" s="776"/>
      <c r="P651" s="776"/>
      <c r="Q651" s="776"/>
      <c r="R651" s="776"/>
      <c r="S651" s="776"/>
    </row>
    <row r="652" spans="1:19">
      <c r="A652" s="776"/>
      <c r="B652" s="575" t="s">
        <v>460</v>
      </c>
      <c r="C652" s="10"/>
      <c r="D652" s="581" t="e">
        <f>D640/$D$642</f>
        <v>#DIV/0!</v>
      </c>
      <c r="E652" s="581" t="e">
        <f>E640/$E$642</f>
        <v>#REF!</v>
      </c>
      <c r="F652" s="581" t="e">
        <f>E640/$E$642</f>
        <v>#REF!</v>
      </c>
      <c r="G652" s="581" t="e">
        <f>G640/$G$642</f>
        <v>#REF!</v>
      </c>
      <c r="H652" s="581" t="e">
        <f>H640/$H$642</f>
        <v>#REF!</v>
      </c>
      <c r="I652" s="581" t="e">
        <f>I640/$I$642</f>
        <v>#REF!</v>
      </c>
      <c r="J652" s="581" t="e">
        <f>J640/$J$642</f>
        <v>#REF!</v>
      </c>
      <c r="K652" s="581" t="e">
        <f>K640/$K$642</f>
        <v>#REF!</v>
      </c>
      <c r="L652" s="581" t="e">
        <f>L640/$L$642</f>
        <v>#REF!</v>
      </c>
      <c r="M652" s="581" t="e">
        <f>M640/M642</f>
        <v>#DIV/0!</v>
      </c>
      <c r="N652" s="776"/>
      <c r="O652" s="776"/>
      <c r="P652" s="776"/>
      <c r="Q652" s="776"/>
      <c r="R652" s="776"/>
      <c r="S652" s="776"/>
    </row>
    <row r="653" spans="1:19">
      <c r="A653" s="776"/>
      <c r="B653" s="575" t="s">
        <v>301</v>
      </c>
      <c r="C653" s="10"/>
      <c r="D653" s="582" t="e">
        <f>D641/$D$642</f>
        <v>#DIV/0!</v>
      </c>
      <c r="E653" s="582" t="e">
        <f>E641/$E$642</f>
        <v>#REF!</v>
      </c>
      <c r="F653" s="582" t="e">
        <f>E641/$E$642</f>
        <v>#REF!</v>
      </c>
      <c r="G653" s="582" t="e">
        <f>G641/$G$642</f>
        <v>#REF!</v>
      </c>
      <c r="H653" s="582" t="e">
        <f>H641/$H$642</f>
        <v>#REF!</v>
      </c>
      <c r="I653" s="582" t="e">
        <f>I641/$I$642</f>
        <v>#REF!</v>
      </c>
      <c r="J653" s="582" t="e">
        <f>J641/$J$642</f>
        <v>#REF!</v>
      </c>
      <c r="K653" s="582" t="e">
        <f>K641/$K$642</f>
        <v>#REF!</v>
      </c>
      <c r="L653" s="582" t="e">
        <f>L641/$L$642</f>
        <v>#REF!</v>
      </c>
      <c r="M653" s="582" t="e">
        <f>M641/R641</f>
        <v>#DIV/0!</v>
      </c>
      <c r="N653" s="776"/>
      <c r="O653" s="776"/>
      <c r="P653" s="776"/>
      <c r="Q653" s="776"/>
      <c r="R653" s="13"/>
      <c r="S653" s="776"/>
    </row>
    <row r="654" spans="1:19" s="592" customFormat="1">
      <c r="A654" s="776"/>
      <c r="B654" s="513" t="s">
        <v>6</v>
      </c>
      <c r="C654" s="10"/>
      <c r="D654" s="581" t="e">
        <f>SUM(D651:D653)</f>
        <v>#DIV/0!</v>
      </c>
      <c r="E654" s="581" t="e">
        <f t="shared" ref="E654:M654" si="57">SUM(E651:E653)</f>
        <v>#REF!</v>
      </c>
      <c r="F654" s="581" t="e">
        <f t="shared" si="57"/>
        <v>#REF!</v>
      </c>
      <c r="G654" s="581" t="e">
        <f t="shared" si="57"/>
        <v>#REF!</v>
      </c>
      <c r="H654" s="581" t="e">
        <f t="shared" si="57"/>
        <v>#REF!</v>
      </c>
      <c r="I654" s="581" t="e">
        <f t="shared" si="57"/>
        <v>#REF!</v>
      </c>
      <c r="J654" s="581" t="e">
        <f t="shared" si="57"/>
        <v>#REF!</v>
      </c>
      <c r="K654" s="581" t="e">
        <f t="shared" si="57"/>
        <v>#REF!</v>
      </c>
      <c r="L654" s="581" t="e">
        <f t="shared" si="57"/>
        <v>#REF!</v>
      </c>
      <c r="M654" s="581" t="e">
        <f t="shared" si="57"/>
        <v>#DIV/0!</v>
      </c>
      <c r="N654" s="11"/>
      <c r="O654" s="11"/>
      <c r="P654" s="11"/>
      <c r="Q654" s="11"/>
      <c r="R654" s="33"/>
      <c r="S654" s="776"/>
    </row>
    <row r="655" spans="1:19" s="592" customFormat="1">
      <c r="A655" s="776"/>
      <c r="B655" s="387"/>
      <c r="C655" s="4"/>
      <c r="D655" s="12"/>
      <c r="E655" s="12"/>
      <c r="F655" s="12"/>
      <c r="G655" s="12"/>
      <c r="H655" s="12"/>
      <c r="I655" s="12"/>
      <c r="J655" s="12"/>
      <c r="K655" s="12"/>
      <c r="L655" s="12"/>
      <c r="M655" s="529"/>
      <c r="N655" s="11"/>
      <c r="O655" s="11"/>
      <c r="P655" s="11"/>
      <c r="Q655" s="11"/>
      <c r="R655" s="33"/>
      <c r="S655" s="776"/>
    </row>
    <row r="656" spans="1:19" s="592" customFormat="1" ht="16.5">
      <c r="A656" s="776"/>
      <c r="B656" s="568"/>
      <c r="C656" s="776"/>
      <c r="D656" s="776"/>
      <c r="E656" s="776"/>
      <c r="F656" s="776"/>
      <c r="G656" s="10"/>
      <c r="H656" s="10"/>
      <c r="I656" s="11"/>
      <c r="J656" s="11"/>
      <c r="K656" s="11"/>
      <c r="L656" s="11"/>
      <c r="M656" s="11"/>
      <c r="N656" s="11"/>
      <c r="O656" s="11"/>
      <c r="P656" s="11"/>
      <c r="Q656" s="11"/>
      <c r="R656" s="33"/>
      <c r="S656" s="776"/>
    </row>
    <row r="657" spans="2:15">
      <c r="B657" s="623" t="s">
        <v>1020</v>
      </c>
      <c r="C657" s="44"/>
      <c r="D657" s="44"/>
      <c r="E657" s="44"/>
      <c r="F657" s="44"/>
      <c r="G657" s="44"/>
      <c r="H657" s="776"/>
      <c r="I657" s="776"/>
      <c r="J657" s="776"/>
      <c r="K657" s="776"/>
      <c r="L657" s="776"/>
      <c r="M657" s="776"/>
      <c r="N657" s="776"/>
      <c r="O657" s="776"/>
    </row>
    <row r="658" spans="2:15" s="592" customFormat="1" ht="16.5">
      <c r="B658" s="619"/>
      <c r="C658" s="13"/>
      <c r="D658" s="13"/>
      <c r="E658" s="13"/>
      <c r="F658" s="13"/>
      <c r="G658" s="13"/>
      <c r="H658" s="776"/>
      <c r="I658" s="776"/>
      <c r="J658" s="776"/>
      <c r="K658" s="776"/>
      <c r="L658" s="776"/>
      <c r="M658" s="776"/>
      <c r="N658" s="776"/>
      <c r="O658" s="776"/>
    </row>
    <row r="659" spans="2:15" ht="19.5">
      <c r="B659" s="572" t="s">
        <v>708</v>
      </c>
      <c r="C659" s="776"/>
      <c r="D659" s="776"/>
      <c r="E659" s="776"/>
      <c r="F659" s="776"/>
      <c r="G659" s="776"/>
      <c r="H659" s="776"/>
      <c r="I659" s="776"/>
      <c r="J659" s="776"/>
      <c r="K659" s="776"/>
      <c r="L659" s="776"/>
      <c r="M659" s="776"/>
      <c r="N659" s="776"/>
      <c r="O659" s="776"/>
    </row>
    <row r="661" spans="2:15">
      <c r="B661" s="1" t="s">
        <v>1021</v>
      </c>
      <c r="C661" s="776"/>
      <c r="D661" s="776"/>
      <c r="E661" s="776"/>
      <c r="F661" s="776"/>
      <c r="G661" s="776"/>
      <c r="H661" s="776"/>
      <c r="I661" s="776"/>
      <c r="J661" s="776"/>
      <c r="K661" s="776"/>
      <c r="L661" s="50"/>
      <c r="M661" s="776"/>
      <c r="N661" s="776"/>
      <c r="O661" s="776"/>
    </row>
    <row r="662" spans="2:15" ht="13.5">
      <c r="B662" s="389"/>
      <c r="C662" s="38"/>
      <c r="D662" s="390"/>
      <c r="E662" s="390"/>
      <c r="F662" s="390"/>
      <c r="G662" s="390"/>
      <c r="H662" s="390"/>
      <c r="I662" s="390"/>
      <c r="J662" s="390"/>
      <c r="K662" s="390"/>
      <c r="L662" s="390"/>
      <c r="M662" s="533" t="e">
        <f>#REF!</f>
        <v>#REF!</v>
      </c>
      <c r="N662" s="776"/>
      <c r="O662" s="776"/>
    </row>
    <row r="663" spans="2:15" ht="15">
      <c r="B663" s="391"/>
      <c r="C663" s="514" t="s">
        <v>554</v>
      </c>
      <c r="D663" s="336">
        <v>2008</v>
      </c>
      <c r="E663" s="336">
        <f t="shared" ref="E663:L663" si="58">D663+1</f>
        <v>2009</v>
      </c>
      <c r="F663" s="336">
        <f t="shared" si="58"/>
        <v>2010</v>
      </c>
      <c r="G663" s="336">
        <f t="shared" si="58"/>
        <v>2011</v>
      </c>
      <c r="H663" s="336">
        <f t="shared" si="58"/>
        <v>2012</v>
      </c>
      <c r="I663" s="336">
        <f t="shared" si="58"/>
        <v>2013</v>
      </c>
      <c r="J663" s="336">
        <f t="shared" si="58"/>
        <v>2014</v>
      </c>
      <c r="K663" s="336">
        <f t="shared" si="58"/>
        <v>2015</v>
      </c>
      <c r="L663" s="336">
        <f t="shared" si="58"/>
        <v>2016</v>
      </c>
      <c r="M663" s="388">
        <v>2017</v>
      </c>
      <c r="N663" s="776"/>
      <c r="O663" s="3" t="s">
        <v>1022</v>
      </c>
    </row>
    <row r="664" spans="2:15" s="588" customFormat="1">
      <c r="B664" s="332" t="s">
        <v>804</v>
      </c>
      <c r="C664" s="10"/>
      <c r="D664" s="35">
        <f>'18 Data for Charts'!O98</f>
        <v>0</v>
      </c>
      <c r="E664" s="35">
        <f>'18 Data for Charts'!P98</f>
        <v>0</v>
      </c>
      <c r="F664" s="35">
        <f>'18 Data for Charts'!Q98</f>
        <v>0</v>
      </c>
      <c r="G664" s="35">
        <f>'18 Data for Charts'!R98</f>
        <v>0</v>
      </c>
      <c r="H664" s="35">
        <f>'18 Data for Charts'!S98</f>
        <v>0</v>
      </c>
      <c r="I664" s="35">
        <f>'18 Data for Charts'!T98</f>
        <v>0</v>
      </c>
      <c r="J664" s="35" t="e">
        <f>'18 Data for Charts'!#REF!</f>
        <v>#REF!</v>
      </c>
      <c r="K664" s="35" t="e">
        <f>'18 Data for Charts'!#REF!</f>
        <v>#REF!</v>
      </c>
      <c r="L664" s="35" t="e">
        <f>'18 Data for Charts'!#REF!</f>
        <v>#REF!</v>
      </c>
      <c r="M664" s="534" t="e">
        <f>M629</f>
        <v>#DIV/0!</v>
      </c>
      <c r="N664" s="776"/>
      <c r="O664" s="85" t="e">
        <f>AVERAGE(D664:L664)</f>
        <v>#REF!</v>
      </c>
    </row>
    <row r="665" spans="2:15">
      <c r="B665" s="387" t="s">
        <v>992</v>
      </c>
      <c r="C665" s="4"/>
      <c r="D665" s="76" t="e">
        <f>'2_Inc-Stat'!#REF!/'2_Inc-Stat'!#REF!</f>
        <v>#REF!</v>
      </c>
      <c r="E665" s="76" t="e">
        <f>'2_Inc-Stat'!#REF!/'2_Inc-Stat'!#REF!</f>
        <v>#REF!</v>
      </c>
      <c r="F665" s="76" t="e">
        <f>'2_Inc-Stat'!#REF!/'2_Inc-Stat'!#REF!</f>
        <v>#REF!</v>
      </c>
      <c r="G665" s="76" t="e">
        <f>'2_Inc-Stat'!#REF!/'2_Inc-Stat'!#REF!</f>
        <v>#REF!</v>
      </c>
      <c r="H665" s="76" t="e">
        <f>'2_Inc-Stat'!#REF!/'2_Inc-Stat'!#REF!</f>
        <v>#REF!</v>
      </c>
      <c r="I665" s="76" t="e">
        <f>'2_Inc-Stat'!#REF!/'2_Inc-Stat'!O4</f>
        <v>#REF!</v>
      </c>
      <c r="J665" s="76" t="e">
        <f>'2_Inc-Stat'!#REF!/'2_Inc-Stat'!P4</f>
        <v>#REF!</v>
      </c>
      <c r="K665" s="76" t="e">
        <f>'2_Inc-Stat'!#REF!/'2_Inc-Stat'!Q4</f>
        <v>#REF!</v>
      </c>
      <c r="L665" s="76" t="e">
        <f>'2_Inc-Stat'!#REF!/'2_Inc-Stat'!R4</f>
        <v>#REF!</v>
      </c>
      <c r="M665" s="347" t="e">
        <f>'2_Inc-Stat'!#REF!/'2_Inc-Stat'!T4</f>
        <v>#REF!</v>
      </c>
      <c r="N665" s="776"/>
      <c r="O665" s="85" t="e">
        <f>AVERAGE(D665:L665)</f>
        <v>#REF!</v>
      </c>
    </row>
    <row r="666" spans="2:15">
      <c r="B666" s="10"/>
      <c r="C666" s="10"/>
      <c r="D666" s="28"/>
      <c r="E666" s="28"/>
      <c r="F666" s="28"/>
      <c r="G666" s="28"/>
      <c r="H666" s="28"/>
      <c r="I666" s="28"/>
      <c r="J666" s="28"/>
      <c r="K666" s="28"/>
      <c r="L666" s="28"/>
      <c r="M666" s="589"/>
      <c r="N666" s="776"/>
      <c r="O666" s="776"/>
    </row>
    <row r="667" spans="2:15">
      <c r="B667" s="776" t="s">
        <v>155</v>
      </c>
      <c r="C667" s="776"/>
      <c r="D667" s="85" t="e">
        <f t="shared" ref="D667:L667" si="59">D664-D665</f>
        <v>#REF!</v>
      </c>
      <c r="E667" s="85" t="e">
        <f t="shared" si="59"/>
        <v>#REF!</v>
      </c>
      <c r="F667" s="85" t="e">
        <f t="shared" si="59"/>
        <v>#REF!</v>
      </c>
      <c r="G667" s="85" t="e">
        <f t="shared" si="59"/>
        <v>#REF!</v>
      </c>
      <c r="H667" s="85" t="e">
        <f t="shared" si="59"/>
        <v>#REF!</v>
      </c>
      <c r="I667" s="85" t="e">
        <f t="shared" si="59"/>
        <v>#REF!</v>
      </c>
      <c r="J667" s="85" t="e">
        <f t="shared" si="59"/>
        <v>#REF!</v>
      </c>
      <c r="K667" s="85" t="e">
        <f t="shared" si="59"/>
        <v>#REF!</v>
      </c>
      <c r="L667" s="85" t="e">
        <f t="shared" si="59"/>
        <v>#REF!</v>
      </c>
      <c r="M667" s="776"/>
      <c r="N667" s="776"/>
      <c r="O667" s="85" t="e">
        <f>O664-O665</f>
        <v>#REF!</v>
      </c>
    </row>
    <row r="716" spans="1:18" ht="16.5">
      <c r="A716" s="776"/>
      <c r="B716" s="569" t="s">
        <v>1023</v>
      </c>
      <c r="C716" s="44"/>
      <c r="D716" s="44"/>
      <c r="E716" s="44"/>
      <c r="F716" s="776"/>
      <c r="G716" s="776"/>
      <c r="H716" s="776"/>
      <c r="I716" s="776"/>
      <c r="J716" s="776"/>
      <c r="K716" s="776"/>
      <c r="L716" s="776"/>
      <c r="M716" s="776"/>
      <c r="N716" s="776"/>
      <c r="O716" s="776"/>
      <c r="P716" s="776"/>
      <c r="Q716" s="776"/>
      <c r="R716" s="776"/>
    </row>
    <row r="717" spans="1:18" ht="19.5">
      <c r="A717" s="776"/>
      <c r="B717" s="572" t="s">
        <v>1024</v>
      </c>
      <c r="C717" s="776"/>
      <c r="D717" s="776"/>
      <c r="E717" s="776"/>
      <c r="F717" s="776"/>
      <c r="G717" s="1" t="s">
        <v>900</v>
      </c>
      <c r="H717" s="776"/>
      <c r="I717" s="776"/>
      <c r="J717" s="776"/>
      <c r="K717" s="776"/>
      <c r="L717" s="776"/>
      <c r="M717" s="776"/>
      <c r="N717" s="776"/>
      <c r="O717" s="776"/>
      <c r="P717" s="776"/>
      <c r="Q717" s="50"/>
      <c r="R717" s="776"/>
    </row>
    <row r="718" spans="1:18" ht="16.5">
      <c r="A718" s="776"/>
      <c r="B718" s="568"/>
      <c r="C718" s="776"/>
      <c r="D718" s="776"/>
      <c r="E718" s="776"/>
      <c r="F718" s="776"/>
      <c r="G718" s="389"/>
      <c r="H718" s="38"/>
      <c r="I718" s="390"/>
      <c r="J718" s="390"/>
      <c r="K718" s="390"/>
      <c r="L718" s="390"/>
      <c r="M718" s="390"/>
      <c r="N718" s="390"/>
      <c r="O718" s="390"/>
      <c r="P718" s="390"/>
      <c r="Q718" s="390"/>
      <c r="R718" s="533">
        <f>'X-Chart Basics'!D24</f>
        <v>42790</v>
      </c>
    </row>
    <row r="719" spans="1:18" ht="16.5">
      <c r="A719" s="776"/>
      <c r="B719" s="568"/>
      <c r="C719" s="776"/>
      <c r="D719" s="776"/>
      <c r="E719" s="776"/>
      <c r="F719" s="776"/>
      <c r="G719" s="391">
        <v>1000</v>
      </c>
      <c r="H719" s="1266" t="s">
        <v>32</v>
      </c>
      <c r="I719" s="336">
        <v>2008</v>
      </c>
      <c r="J719" s="336">
        <f t="shared" ref="J719:Q719" si="60">I719+1</f>
        <v>2009</v>
      </c>
      <c r="K719" s="336">
        <f t="shared" si="60"/>
        <v>2010</v>
      </c>
      <c r="L719" s="336">
        <f t="shared" si="60"/>
        <v>2011</v>
      </c>
      <c r="M719" s="336">
        <f t="shared" si="60"/>
        <v>2012</v>
      </c>
      <c r="N719" s="336">
        <f t="shared" si="60"/>
        <v>2013</v>
      </c>
      <c r="O719" s="336">
        <f t="shared" si="60"/>
        <v>2014</v>
      </c>
      <c r="P719" s="336">
        <f t="shared" si="60"/>
        <v>2015</v>
      </c>
      <c r="Q719" s="336">
        <f t="shared" si="60"/>
        <v>2016</v>
      </c>
      <c r="R719" s="388">
        <v>2017</v>
      </c>
    </row>
    <row r="720" spans="1:18">
      <c r="A720" s="776"/>
      <c r="B720" s="776"/>
      <c r="C720" s="776"/>
      <c r="D720" s="776"/>
      <c r="E720" s="776"/>
      <c r="F720" s="776"/>
      <c r="G720" s="332" t="s">
        <v>804</v>
      </c>
      <c r="H720" s="10"/>
      <c r="I720" s="343">
        <f>'18 Data for Charts'!K314/1000</f>
        <v>0</v>
      </c>
      <c r="J720" s="343">
        <f>'18 Data for Charts'!L314/1000</f>
        <v>0</v>
      </c>
      <c r="K720" s="343">
        <f>'18 Data for Charts'!M314/1000</f>
        <v>0</v>
      </c>
      <c r="L720" s="343">
        <f>'18 Data for Charts'!N314/1000</f>
        <v>0</v>
      </c>
      <c r="M720" s="343">
        <f>'18 Data for Charts'!O314/1000</f>
        <v>0</v>
      </c>
      <c r="N720" s="343">
        <f>'18 Data for Charts'!P314/1000</f>
        <v>0</v>
      </c>
      <c r="O720" s="343" t="e">
        <f>'18 Data for Charts'!#REF!/1000</f>
        <v>#REF!</v>
      </c>
      <c r="P720" s="343" t="e">
        <f>'18 Data for Charts'!#REF!/1000</f>
        <v>#REF!</v>
      </c>
      <c r="Q720" s="343" t="e">
        <f>'18 Data for Charts'!#REF!/1000</f>
        <v>#REF!</v>
      </c>
      <c r="R720" s="534">
        <v>0</v>
      </c>
    </row>
    <row r="721" spans="1:18">
      <c r="A721" s="776"/>
      <c r="B721" s="776"/>
      <c r="C721" s="776"/>
      <c r="D721" s="776"/>
      <c r="E721" s="776"/>
      <c r="F721" s="776"/>
      <c r="G721" s="387" t="s">
        <v>992</v>
      </c>
      <c r="H721" s="4"/>
      <c r="I721" s="12">
        <f>'18 Data for Charts'!K292/1000</f>
        <v>0</v>
      </c>
      <c r="J721" s="12">
        <f>'18 Data for Charts'!L292/1000</f>
        <v>0</v>
      </c>
      <c r="K721" s="12">
        <f>'18 Data for Charts'!M292/1000</f>
        <v>0</v>
      </c>
      <c r="L721" s="12">
        <f>'18 Data for Charts'!N292/1000</f>
        <v>0</v>
      </c>
      <c r="M721" s="12">
        <f>'18 Data for Charts'!O292/1000</f>
        <v>0</v>
      </c>
      <c r="N721" s="12">
        <f>'18 Data for Charts'!P292/1000</f>
        <v>0</v>
      </c>
      <c r="O721" s="12" t="e">
        <f>'18 Data for Charts'!#REF!/1000</f>
        <v>#REF!</v>
      </c>
      <c r="P721" s="12" t="e">
        <f>'18 Data for Charts'!#REF!/1000</f>
        <v>#REF!</v>
      </c>
      <c r="Q721" s="12" t="e">
        <f>'18 Data for Charts'!#REF!/1000</f>
        <v>#REF!</v>
      </c>
      <c r="R721" s="529"/>
    </row>
    <row r="722" spans="1:18">
      <c r="A722" s="776"/>
      <c r="B722" s="776"/>
      <c r="C722" s="776"/>
      <c r="D722" s="776"/>
      <c r="E722" s="776"/>
      <c r="F722" s="776"/>
      <c r="G722" s="776"/>
      <c r="H722" s="776"/>
      <c r="I722" s="776"/>
      <c r="J722" s="776"/>
      <c r="K722" s="776"/>
      <c r="L722" s="776"/>
      <c r="M722" s="776"/>
      <c r="N722" s="776"/>
      <c r="O722" s="776"/>
      <c r="P722" s="776"/>
      <c r="Q722" s="776"/>
      <c r="R722" s="776"/>
    </row>
  </sheetData>
  <customSheetViews>
    <customSheetView guid="{5826E3E6-173D-429F-ABE1-D868EE9E034B}">
      <selection activeCell="N11" sqref="N11"/>
      <pageMargins left="0" right="0" top="0" bottom="0" header="0" footer="0"/>
      <pageSetup paperSize="0" orientation="portrait" horizontalDpi="0" verticalDpi="0" copies="0" r:id="rId1"/>
    </customSheetView>
  </customSheetViews>
  <pageMargins left="0.70866141732283472" right="0.70866141732283472" top="0.74803149606299213" bottom="0.74803149606299213" header="0.31496062992125984" footer="0.31496062992125984"/>
  <pageSetup paperSize="9" scale="67" orientation="landscape" horizontalDpi="0" verticalDpi="0" r:id="rId2"/>
  <headerFooter>
    <oddHeader>&amp;L&amp;8&amp;D&amp;C&amp;8DRAFT&amp;R&amp;8&amp;A</oddHead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249977111117893"/>
    <pageSetUpPr fitToPage="1"/>
  </sheetPr>
  <dimension ref="A1:AA174"/>
  <sheetViews>
    <sheetView workbookViewId="0">
      <selection sqref="A1:D1"/>
    </sheetView>
  </sheetViews>
  <sheetFormatPr defaultRowHeight="12.75"/>
  <cols>
    <col min="1" max="1" width="1" customWidth="1"/>
    <col min="2" max="2" width="11" customWidth="1"/>
  </cols>
  <sheetData>
    <row r="1" spans="1:27" s="776" customFormat="1" ht="23.65" customHeight="1">
      <c r="A1" s="1486" t="s">
        <v>0</v>
      </c>
      <c r="B1" s="1487"/>
      <c r="C1" s="1487"/>
      <c r="D1" s="1487"/>
      <c r="E1" s="1170" t="e">
        <f>'1_Contents'!#REF!</f>
        <v>#REF!</v>
      </c>
      <c r="F1" s="1048"/>
      <c r="G1" s="1048"/>
      <c r="H1" s="1048"/>
      <c r="I1" s="1485"/>
      <c r="J1" s="1485"/>
      <c r="K1" s="1485"/>
      <c r="L1" s="1048"/>
      <c r="M1" s="968"/>
      <c r="N1" s="968"/>
      <c r="O1" s="967"/>
      <c r="P1" s="967"/>
      <c r="Q1" s="967"/>
      <c r="R1" s="967"/>
      <c r="S1" s="967"/>
      <c r="T1" s="967"/>
      <c r="U1" s="967"/>
      <c r="V1" s="967"/>
      <c r="W1" s="967"/>
      <c r="X1" s="968"/>
      <c r="Y1" s="968"/>
      <c r="Z1" s="968" t="e">
        <f>'1_Contents'!#REF!</f>
        <v>#REF!</v>
      </c>
      <c r="AA1" s="1042"/>
    </row>
    <row r="2" spans="1:27" s="776" customFormat="1">
      <c r="A2" s="1040" t="s">
        <v>168</v>
      </c>
      <c r="B2" s="321"/>
      <c r="C2" s="636"/>
      <c r="D2" s="322"/>
      <c r="E2" s="69">
        <v>0</v>
      </c>
      <c r="F2" s="69">
        <f>E2+1</f>
        <v>1</v>
      </c>
      <c r="G2" s="69">
        <f t="shared" ref="G2:V3" si="0">F2+1</f>
        <v>2</v>
      </c>
      <c r="H2" s="69">
        <f t="shared" si="0"/>
        <v>3</v>
      </c>
      <c r="I2" s="69">
        <f t="shared" si="0"/>
        <v>4</v>
      </c>
      <c r="J2" s="69">
        <f t="shared" si="0"/>
        <v>5</v>
      </c>
      <c r="K2" s="69">
        <f t="shared" si="0"/>
        <v>6</v>
      </c>
      <c r="L2" s="69">
        <f t="shared" si="0"/>
        <v>7</v>
      </c>
      <c r="M2" s="69">
        <f t="shared" si="0"/>
        <v>8</v>
      </c>
      <c r="N2" s="69">
        <f t="shared" si="0"/>
        <v>9</v>
      </c>
      <c r="O2" s="69">
        <f t="shared" si="0"/>
        <v>10</v>
      </c>
      <c r="P2" s="69">
        <f t="shared" si="0"/>
        <v>11</v>
      </c>
      <c r="Q2" s="69">
        <f t="shared" si="0"/>
        <v>12</v>
      </c>
      <c r="R2" s="69">
        <f t="shared" si="0"/>
        <v>13</v>
      </c>
      <c r="S2" s="69">
        <f t="shared" si="0"/>
        <v>14</v>
      </c>
      <c r="T2" s="69">
        <f t="shared" si="0"/>
        <v>15</v>
      </c>
      <c r="U2" s="69">
        <f t="shared" si="0"/>
        <v>16</v>
      </c>
      <c r="V2" s="69">
        <f t="shared" si="0"/>
        <v>17</v>
      </c>
      <c r="W2" s="69">
        <f t="shared" ref="W2:Z3" si="1">V2+1</f>
        <v>18</v>
      </c>
      <c r="X2" s="69">
        <f t="shared" si="1"/>
        <v>19</v>
      </c>
      <c r="Y2" s="69">
        <f t="shared" si="1"/>
        <v>20</v>
      </c>
      <c r="Z2" s="69">
        <f t="shared" si="1"/>
        <v>21</v>
      </c>
      <c r="AA2" s="710"/>
    </row>
    <row r="3" spans="1:27" s="776" customFormat="1">
      <c r="A3" s="52"/>
      <c r="B3" s="52"/>
      <c r="C3" s="52"/>
      <c r="D3" s="1266" t="s">
        <v>3</v>
      </c>
      <c r="E3" s="1027">
        <v>1999</v>
      </c>
      <c r="F3" s="1116">
        <f>E3+1</f>
        <v>2000</v>
      </c>
      <c r="G3" s="1116">
        <f t="shared" si="0"/>
        <v>2001</v>
      </c>
      <c r="H3" s="1116">
        <f t="shared" si="0"/>
        <v>2002</v>
      </c>
      <c r="I3" s="1116">
        <f t="shared" si="0"/>
        <v>2003</v>
      </c>
      <c r="J3" s="1116">
        <f t="shared" si="0"/>
        <v>2004</v>
      </c>
      <c r="K3" s="1116">
        <f t="shared" si="0"/>
        <v>2005</v>
      </c>
      <c r="L3" s="1116">
        <f t="shared" si="0"/>
        <v>2006</v>
      </c>
      <c r="M3" s="1116">
        <f t="shared" si="0"/>
        <v>2007</v>
      </c>
      <c r="N3" s="1116">
        <f t="shared" si="0"/>
        <v>2008</v>
      </c>
      <c r="O3" s="1116">
        <f t="shared" si="0"/>
        <v>2009</v>
      </c>
      <c r="P3" s="1116">
        <f t="shared" si="0"/>
        <v>2010</v>
      </c>
      <c r="Q3" s="1116">
        <f t="shared" si="0"/>
        <v>2011</v>
      </c>
      <c r="R3" s="1116">
        <f t="shared" si="0"/>
        <v>2012</v>
      </c>
      <c r="S3" s="1116">
        <f t="shared" si="0"/>
        <v>2013</v>
      </c>
      <c r="T3" s="1116">
        <f t="shared" si="0"/>
        <v>2014</v>
      </c>
      <c r="U3" s="1116">
        <f t="shared" si="0"/>
        <v>2015</v>
      </c>
      <c r="V3" s="1116">
        <f t="shared" si="0"/>
        <v>2016</v>
      </c>
      <c r="W3" s="1116">
        <f t="shared" si="1"/>
        <v>2017</v>
      </c>
      <c r="X3" s="1116">
        <f t="shared" si="1"/>
        <v>2018</v>
      </c>
      <c r="Y3" s="1116">
        <f t="shared" si="1"/>
        <v>2019</v>
      </c>
      <c r="Z3" s="1116">
        <f t="shared" si="1"/>
        <v>2020</v>
      </c>
      <c r="AA3" s="710"/>
    </row>
    <row r="4" spans="1:27" s="592" customFormat="1">
      <c r="A4" s="52"/>
      <c r="B4" s="1030" t="s">
        <v>22</v>
      </c>
      <c r="C4" s="1031"/>
      <c r="D4" s="1035"/>
      <c r="E4" s="67"/>
      <c r="F4" s="67"/>
      <c r="G4" s="67"/>
      <c r="H4" s="67"/>
      <c r="I4" s="67"/>
      <c r="J4" s="67"/>
      <c r="K4" s="67"/>
      <c r="L4" s="67"/>
      <c r="M4" s="67"/>
      <c r="N4" s="67"/>
      <c r="O4" s="67"/>
      <c r="P4" s="67"/>
      <c r="Q4" s="67"/>
      <c r="R4" s="67"/>
      <c r="S4" s="67"/>
      <c r="T4" s="67"/>
      <c r="U4" s="67"/>
      <c r="V4" s="67"/>
      <c r="W4" s="67"/>
      <c r="X4" s="67"/>
      <c r="Y4" s="67"/>
      <c r="Z4" s="52"/>
      <c r="AA4" s="776"/>
    </row>
    <row r="5" spans="1:27" s="592" customFormat="1">
      <c r="A5" s="52"/>
      <c r="B5" s="52"/>
      <c r="C5" s="52"/>
      <c r="D5" s="52"/>
      <c r="E5" s="52"/>
      <c r="F5" s="52"/>
      <c r="G5" s="52"/>
      <c r="H5" s="52"/>
      <c r="I5" s="52"/>
      <c r="J5" s="52"/>
      <c r="K5" s="52"/>
      <c r="L5" s="52"/>
      <c r="M5" s="52"/>
      <c r="N5" s="52"/>
      <c r="O5" s="52"/>
      <c r="P5" s="52"/>
      <c r="Q5" s="52"/>
      <c r="R5" s="52"/>
      <c r="S5" s="52"/>
      <c r="T5" s="52"/>
      <c r="U5" s="52"/>
      <c r="V5" s="52"/>
      <c r="W5" s="52"/>
      <c r="X5" s="52"/>
      <c r="Y5" s="52"/>
      <c r="Z5" s="52"/>
      <c r="AA5" s="776"/>
    </row>
    <row r="6" spans="1:27" ht="13.5">
      <c r="A6" s="52"/>
      <c r="B6" s="960">
        <f ca="1">NOW()</f>
        <v>44487.543585879626</v>
      </c>
      <c r="C6" s="488"/>
      <c r="D6" s="488"/>
      <c r="E6" s="488"/>
      <c r="F6" s="488"/>
      <c r="G6" s="488"/>
      <c r="H6" s="488"/>
      <c r="I6" s="488"/>
      <c r="J6" s="488"/>
      <c r="K6" s="488"/>
      <c r="L6" s="488"/>
      <c r="M6" s="488"/>
      <c r="N6" s="488"/>
      <c r="O6" s="488"/>
      <c r="P6" s="488"/>
      <c r="Q6" s="488"/>
      <c r="R6" s="488"/>
      <c r="S6" s="52"/>
      <c r="T6" s="52"/>
      <c r="U6" s="52"/>
      <c r="V6" s="52"/>
      <c r="W6" s="52"/>
      <c r="X6" s="52"/>
      <c r="Y6" s="52"/>
      <c r="Z6" s="52"/>
      <c r="AA6" s="776"/>
    </row>
    <row r="7" spans="1:27" ht="13.5">
      <c r="A7" s="52"/>
      <c r="B7" s="1117" t="s">
        <v>1025</v>
      </c>
      <c r="C7" s="1117">
        <v>9</v>
      </c>
      <c r="D7" s="1118">
        <v>42774</v>
      </c>
      <c r="E7" s="488"/>
      <c r="F7" s="488" t="s">
        <v>1026</v>
      </c>
      <c r="G7" s="488"/>
      <c r="H7" s="52"/>
      <c r="I7" s="1117">
        <v>9</v>
      </c>
      <c r="J7" s="488" t="s">
        <v>840</v>
      </c>
      <c r="K7" s="488"/>
      <c r="L7" s="488" t="s">
        <v>804</v>
      </c>
      <c r="M7" s="1117">
        <v>11</v>
      </c>
      <c r="N7" s="1119" t="s">
        <v>1027</v>
      </c>
      <c r="O7" s="488" t="s">
        <v>1028</v>
      </c>
      <c r="P7" s="488" t="s">
        <v>1029</v>
      </c>
      <c r="Q7" s="488"/>
      <c r="R7" s="488"/>
      <c r="S7" s="52"/>
      <c r="T7" s="52"/>
      <c r="U7" s="52"/>
      <c r="V7" s="52"/>
      <c r="W7" s="52"/>
      <c r="X7" s="52"/>
      <c r="Y7" s="52"/>
      <c r="Z7" s="52"/>
      <c r="AA7" s="776"/>
    </row>
    <row r="8" spans="1:27" ht="13.5">
      <c r="A8" s="52"/>
      <c r="B8" s="1117" t="s">
        <v>1030</v>
      </c>
      <c r="C8" s="1117">
        <v>9</v>
      </c>
      <c r="D8" s="1118">
        <v>42778</v>
      </c>
      <c r="E8" s="488"/>
      <c r="F8" s="488" t="s">
        <v>1031</v>
      </c>
      <c r="G8" s="488"/>
      <c r="H8" s="52"/>
      <c r="I8" s="1117">
        <v>9</v>
      </c>
      <c r="J8" s="488" t="s">
        <v>839</v>
      </c>
      <c r="K8" s="488"/>
      <c r="L8" s="488" t="s">
        <v>992</v>
      </c>
      <c r="M8" s="1117">
        <v>11</v>
      </c>
      <c r="N8" s="488" t="s">
        <v>1032</v>
      </c>
      <c r="O8" s="488" t="s">
        <v>1033</v>
      </c>
      <c r="P8" s="411"/>
      <c r="Q8" s="488"/>
      <c r="R8" s="488"/>
      <c r="S8" s="52"/>
      <c r="T8" s="52"/>
      <c r="U8" s="52"/>
      <c r="V8" s="52"/>
      <c r="W8" s="52"/>
      <c r="X8" s="52"/>
      <c r="Y8" s="52"/>
      <c r="Z8" s="52"/>
      <c r="AA8" s="776"/>
    </row>
    <row r="9" spans="1:27" ht="13.5">
      <c r="A9" s="52"/>
      <c r="B9" s="1117" t="s">
        <v>1034</v>
      </c>
      <c r="C9" s="1117">
        <v>9</v>
      </c>
      <c r="D9" s="488" t="s">
        <v>31</v>
      </c>
      <c r="E9" s="488"/>
      <c r="F9" s="488" t="s">
        <v>1035</v>
      </c>
      <c r="G9" s="488"/>
      <c r="H9" s="52"/>
      <c r="I9" s="1117">
        <v>9</v>
      </c>
      <c r="J9" s="52"/>
      <c r="K9" s="52"/>
      <c r="L9" s="52"/>
      <c r="M9" s="52"/>
      <c r="N9" s="1120" t="s">
        <v>1036</v>
      </c>
      <c r="O9" s="488"/>
      <c r="P9" s="488"/>
      <c r="Q9" s="488"/>
      <c r="R9" s="488"/>
      <c r="S9" s="52"/>
      <c r="T9" s="52"/>
      <c r="U9" s="52"/>
      <c r="V9" s="52"/>
      <c r="W9" s="52"/>
      <c r="X9" s="52"/>
      <c r="Y9" s="52"/>
      <c r="Z9" s="52"/>
      <c r="AA9" s="776"/>
    </row>
    <row r="10" spans="1:27" ht="13.5">
      <c r="A10" s="52"/>
      <c r="B10" s="1117"/>
      <c r="C10" s="1117">
        <v>9</v>
      </c>
      <c r="D10" s="1121" t="s">
        <v>1037</v>
      </c>
      <c r="E10" s="488"/>
      <c r="F10" s="421" t="s">
        <v>1038</v>
      </c>
      <c r="G10" s="488"/>
      <c r="H10" s="52"/>
      <c r="I10" s="1117">
        <v>11</v>
      </c>
      <c r="J10" s="1122"/>
      <c r="K10" s="52"/>
      <c r="L10" s="52"/>
      <c r="M10" s="52"/>
      <c r="N10" s="52"/>
      <c r="O10" s="488"/>
      <c r="P10" s="488"/>
      <c r="Q10" s="488"/>
      <c r="R10" s="488"/>
      <c r="S10" s="52"/>
      <c r="T10" s="52"/>
      <c r="U10" s="52"/>
      <c r="V10" s="52"/>
      <c r="W10" s="52"/>
      <c r="X10" s="52"/>
      <c r="Y10" s="52"/>
      <c r="Z10" s="52"/>
      <c r="AA10" s="776"/>
    </row>
    <row r="11" spans="1:27" ht="13.5">
      <c r="A11" s="52"/>
      <c r="B11" s="1117"/>
      <c r="C11" s="1117">
        <v>9</v>
      </c>
      <c r="D11" s="488" t="s">
        <v>1039</v>
      </c>
      <c r="E11" s="488"/>
      <c r="F11" s="421" t="s">
        <v>1040</v>
      </c>
      <c r="G11" s="488"/>
      <c r="H11" s="52"/>
      <c r="I11" s="1117">
        <v>9</v>
      </c>
      <c r="J11" s="52"/>
      <c r="K11" s="52"/>
      <c r="L11" s="52"/>
      <c r="M11" s="52"/>
      <c r="N11" s="488"/>
      <c r="O11" s="488"/>
      <c r="P11" s="488"/>
      <c r="Q11" s="488"/>
      <c r="R11" s="488"/>
      <c r="S11" s="52"/>
      <c r="T11" s="52"/>
      <c r="U11" s="52"/>
      <c r="V11" s="52"/>
      <c r="W11" s="52"/>
      <c r="X11" s="52"/>
      <c r="Y11" s="52"/>
      <c r="Z11" s="52"/>
      <c r="AA11" s="776"/>
    </row>
    <row r="12" spans="1:27" ht="13.5">
      <c r="A12" s="52"/>
      <c r="B12" s="1117"/>
      <c r="C12" s="1117">
        <v>9</v>
      </c>
      <c r="D12" s="488" t="s">
        <v>1041</v>
      </c>
      <c r="E12" s="488"/>
      <c r="F12" s="421" t="s">
        <v>928</v>
      </c>
      <c r="G12" s="488"/>
      <c r="H12" s="52" t="s">
        <v>554</v>
      </c>
      <c r="I12" s="1117">
        <v>9</v>
      </c>
      <c r="J12" s="52"/>
      <c r="K12" s="52"/>
      <c r="L12" s="52"/>
      <c r="M12" s="52"/>
      <c r="N12" s="488"/>
      <c r="O12" s="488"/>
      <c r="P12" s="488"/>
      <c r="Q12" s="488"/>
      <c r="R12" s="488"/>
      <c r="S12" s="52"/>
      <c r="T12" s="52"/>
      <c r="U12" s="52"/>
      <c r="V12" s="52"/>
      <c r="W12" s="52"/>
      <c r="X12" s="52"/>
      <c r="Y12" s="52"/>
      <c r="Z12" s="52"/>
      <c r="AA12" s="776"/>
    </row>
    <row r="13" spans="1:27" ht="13.5">
      <c r="A13" s="52"/>
      <c r="B13" s="1117"/>
      <c r="C13" s="1117"/>
      <c r="D13" s="1123">
        <v>42790</v>
      </c>
      <c r="E13" s="488"/>
      <c r="F13" s="421" t="s">
        <v>1042</v>
      </c>
      <c r="G13" s="488"/>
      <c r="H13" s="52"/>
      <c r="I13" s="1117">
        <v>9</v>
      </c>
      <c r="J13" s="52"/>
      <c r="K13" s="52"/>
      <c r="L13" s="52"/>
      <c r="M13" s="52"/>
      <c r="N13" s="488"/>
      <c r="O13" s="488"/>
      <c r="P13" s="488"/>
      <c r="Q13" s="488"/>
      <c r="R13" s="488"/>
      <c r="S13" s="52"/>
      <c r="T13" s="52"/>
      <c r="U13" s="52"/>
      <c r="V13" s="52"/>
      <c r="W13" s="52"/>
      <c r="X13" s="52"/>
      <c r="Y13" s="52"/>
      <c r="Z13" s="52"/>
      <c r="AA13" s="776"/>
    </row>
    <row r="14" spans="1:27" ht="13.5">
      <c r="A14" s="52"/>
      <c r="B14" s="67"/>
      <c r="C14" s="67"/>
      <c r="D14" s="67"/>
      <c r="E14" s="67"/>
      <c r="F14" s="1124" t="s">
        <v>658</v>
      </c>
      <c r="G14" s="1125"/>
      <c r="H14" s="67"/>
      <c r="I14" s="1126">
        <v>14</v>
      </c>
      <c r="J14" s="67"/>
      <c r="K14" s="429"/>
      <c r="L14" s="67"/>
      <c r="M14" s="67"/>
      <c r="N14" s="67"/>
      <c r="O14" s="67"/>
      <c r="P14" s="67"/>
      <c r="Q14" s="67"/>
      <c r="R14" s="67"/>
      <c r="S14" s="52"/>
      <c r="T14" s="52"/>
      <c r="U14" s="52"/>
      <c r="V14" s="52"/>
      <c r="W14" s="52"/>
      <c r="X14" s="52"/>
      <c r="Y14" s="52"/>
      <c r="Z14" s="52"/>
      <c r="AA14" s="776"/>
    </row>
    <row r="15" spans="1:27">
      <c r="A15" s="52"/>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776"/>
    </row>
    <row r="16" spans="1:27" ht="13.5">
      <c r="A16" s="52"/>
      <c r="B16" s="1127" t="s">
        <v>1023</v>
      </c>
      <c r="C16" s="1128"/>
      <c r="D16" s="1128"/>
      <c r="E16" s="1128"/>
      <c r="F16" s="52"/>
      <c r="G16" s="52"/>
      <c r="H16" s="52"/>
      <c r="I16" s="52"/>
      <c r="J16" s="52"/>
      <c r="K16" s="52"/>
      <c r="L16" s="52"/>
      <c r="M16" s="52"/>
      <c r="N16" s="52"/>
      <c r="O16" s="52"/>
      <c r="P16" s="52"/>
      <c r="Q16" s="52"/>
      <c r="R16" s="52"/>
      <c r="S16" s="52"/>
      <c r="T16" s="52"/>
      <c r="U16" s="52"/>
      <c r="V16" s="52"/>
      <c r="W16" s="52"/>
      <c r="X16" s="52"/>
      <c r="Y16" s="52"/>
      <c r="Z16" s="52"/>
      <c r="AA16" s="776"/>
    </row>
    <row r="17" spans="1:26" ht="13.5">
      <c r="A17" s="52"/>
      <c r="B17" s="1129" t="s">
        <v>671</v>
      </c>
      <c r="C17" s="52"/>
      <c r="D17" s="52"/>
      <c r="E17" s="52"/>
      <c r="F17" s="52"/>
      <c r="G17" s="929" t="s">
        <v>900</v>
      </c>
      <c r="H17" s="52"/>
      <c r="I17" s="52"/>
      <c r="J17" s="52"/>
      <c r="K17" s="52"/>
      <c r="L17" s="52"/>
      <c r="M17" s="52"/>
      <c r="N17" s="52"/>
      <c r="O17" s="52"/>
      <c r="P17" s="52"/>
      <c r="Q17" s="972"/>
      <c r="R17" s="52"/>
      <c r="S17" s="52"/>
      <c r="T17" s="52"/>
      <c r="U17" s="52"/>
      <c r="V17" s="52"/>
      <c r="W17" s="52"/>
      <c r="X17" s="52"/>
      <c r="Y17" s="52"/>
      <c r="Z17" s="52"/>
    </row>
    <row r="18" spans="1:26" ht="13.5">
      <c r="A18" s="52"/>
      <c r="B18" s="1130"/>
      <c r="C18" s="52"/>
      <c r="D18" s="52"/>
      <c r="E18" s="52"/>
      <c r="F18" s="52"/>
      <c r="G18" s="461"/>
      <c r="H18" s="390"/>
      <c r="I18" s="390"/>
      <c r="J18" s="390"/>
      <c r="K18" s="390"/>
      <c r="L18" s="390"/>
      <c r="M18" s="390"/>
      <c r="N18" s="390"/>
      <c r="O18" s="390"/>
      <c r="P18" s="390"/>
      <c r="Q18" s="390"/>
      <c r="R18" s="533">
        <f>'X-Chart Basics'!D24</f>
        <v>42790</v>
      </c>
      <c r="S18" s="52"/>
      <c r="T18" s="52"/>
      <c r="U18" s="52"/>
      <c r="V18" s="52"/>
      <c r="W18" s="52"/>
      <c r="X18" s="52"/>
      <c r="Y18" s="52"/>
      <c r="Z18" s="52"/>
    </row>
    <row r="19" spans="1:26" ht="13.5">
      <c r="A19" s="52"/>
      <c r="B19" s="1130"/>
      <c r="C19" s="52"/>
      <c r="D19" s="52"/>
      <c r="E19" s="52"/>
      <c r="F19" s="52"/>
      <c r="G19" s="391"/>
      <c r="H19" s="1266" t="s">
        <v>554</v>
      </c>
      <c r="I19" s="1131">
        <v>2013</v>
      </c>
      <c r="J19" s="1131">
        <f t="shared" ref="J19:N19" si="2">I19+1</f>
        <v>2014</v>
      </c>
      <c r="K19" s="1131">
        <f t="shared" si="2"/>
        <v>2015</v>
      </c>
      <c r="L19" s="1131">
        <f t="shared" si="2"/>
        <v>2016</v>
      </c>
      <c r="M19" s="1131">
        <f t="shared" si="2"/>
        <v>2017</v>
      </c>
      <c r="N19" s="1131">
        <f t="shared" si="2"/>
        <v>2018</v>
      </c>
      <c r="O19" s="1131"/>
      <c r="P19" s="1131"/>
      <c r="Q19" s="1131"/>
      <c r="R19" s="1132"/>
      <c r="S19" s="52"/>
      <c r="T19" s="52"/>
      <c r="U19" s="52"/>
      <c r="V19" s="52"/>
      <c r="W19" s="52"/>
      <c r="X19" s="52"/>
      <c r="Y19" s="52"/>
      <c r="Z19" s="52"/>
    </row>
    <row r="20" spans="1:26" ht="13.5">
      <c r="A20" s="52"/>
      <c r="B20" s="1130"/>
      <c r="C20" s="52"/>
      <c r="D20" s="52"/>
      <c r="E20" s="52"/>
      <c r="F20" s="52"/>
      <c r="G20" s="464" t="s">
        <v>804</v>
      </c>
      <c r="H20" s="69"/>
      <c r="I20" s="465">
        <f>'18 Data for Charts'!K242/1000</f>
        <v>0</v>
      </c>
      <c r="J20" s="465">
        <f>'18 Data for Charts'!L242/1000</f>
        <v>0</v>
      </c>
      <c r="K20" s="465">
        <f>'18 Data for Charts'!M242/1000</f>
        <v>0</v>
      </c>
      <c r="L20" s="465">
        <f>'18 Data for Charts'!N242/1000</f>
        <v>0</v>
      </c>
      <c r="M20" s="465">
        <f>'18 Data for Charts'!O242/1000</f>
        <v>0</v>
      </c>
      <c r="N20" s="465">
        <f>'18 Data for Charts'!P242/1000</f>
        <v>0</v>
      </c>
      <c r="O20" s="465"/>
      <c r="P20" s="465"/>
      <c r="Q20" s="465"/>
      <c r="R20" s="622"/>
      <c r="S20" s="52"/>
      <c r="T20" s="52"/>
      <c r="U20" s="52"/>
      <c r="V20" s="52"/>
      <c r="W20" s="52"/>
      <c r="X20" s="52"/>
      <c r="Y20" s="52"/>
      <c r="Z20" s="52"/>
    </row>
    <row r="21" spans="1:26" ht="13.5">
      <c r="A21" s="52"/>
      <c r="B21" s="1130"/>
      <c r="C21" s="52"/>
      <c r="D21" s="52"/>
      <c r="E21" s="52"/>
      <c r="F21" s="52"/>
      <c r="G21" s="1133" t="s">
        <v>992</v>
      </c>
      <c r="H21" s="67"/>
      <c r="I21" s="892">
        <f>'18 Data for Charts'!K220/1000</f>
        <v>0</v>
      </c>
      <c r="J21" s="892">
        <f>'18 Data for Charts'!L220/1000</f>
        <v>0</v>
      </c>
      <c r="K21" s="892">
        <f>'18 Data for Charts'!M220/1000</f>
        <v>0</v>
      </c>
      <c r="L21" s="892">
        <f>'18 Data for Charts'!N220/1000</f>
        <v>0</v>
      </c>
      <c r="M21" s="892">
        <f>'18 Data for Charts'!O220/1000</f>
        <v>0</v>
      </c>
      <c r="N21" s="892">
        <f>'18 Data for Charts'!P220/1000</f>
        <v>0</v>
      </c>
      <c r="O21" s="892"/>
      <c r="P21" s="892"/>
      <c r="Q21" s="892"/>
      <c r="R21" s="1134"/>
      <c r="S21" s="52"/>
      <c r="T21" s="52"/>
      <c r="U21" s="52"/>
      <c r="V21" s="52"/>
      <c r="W21" s="52"/>
      <c r="X21" s="52"/>
      <c r="Y21" s="52"/>
      <c r="Z21" s="52"/>
    </row>
    <row r="22" spans="1:26" ht="13.5">
      <c r="A22" s="52"/>
      <c r="B22" s="1130"/>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3.5">
      <c r="A23" s="52"/>
      <c r="B23" s="1127" t="s">
        <v>1023</v>
      </c>
      <c r="C23" s="1128"/>
      <c r="D23" s="1128"/>
      <c r="E23" s="1128"/>
      <c r="F23" s="52"/>
      <c r="G23" s="52"/>
      <c r="H23" s="52"/>
      <c r="I23" s="52"/>
      <c r="J23" s="52"/>
      <c r="K23" s="52"/>
      <c r="L23" s="52"/>
      <c r="M23" s="52"/>
      <c r="N23" s="52"/>
      <c r="O23" s="52"/>
      <c r="P23" s="52"/>
      <c r="Q23" s="52"/>
      <c r="R23" s="52"/>
      <c r="S23" s="52"/>
      <c r="T23" s="52"/>
      <c r="U23" s="52"/>
      <c r="V23" s="52"/>
      <c r="W23" s="52"/>
      <c r="X23" s="52"/>
      <c r="Y23" s="52"/>
      <c r="Z23" s="52"/>
    </row>
    <row r="24" spans="1:26" ht="13.5">
      <c r="A24" s="52"/>
      <c r="B24" s="1129" t="s">
        <v>1043</v>
      </c>
      <c r="C24" s="52"/>
      <c r="D24" s="52"/>
      <c r="E24" s="52"/>
      <c r="F24" s="52"/>
      <c r="G24" s="929" t="s">
        <v>900</v>
      </c>
      <c r="H24" s="52"/>
      <c r="I24" s="52"/>
      <c r="J24" s="52"/>
      <c r="K24" s="52"/>
      <c r="L24" s="52"/>
      <c r="M24" s="52"/>
      <c r="N24" s="52"/>
      <c r="O24" s="52"/>
      <c r="P24" s="52"/>
      <c r="Q24" s="972"/>
      <c r="R24" s="52"/>
      <c r="S24" s="52"/>
      <c r="T24" s="52"/>
      <c r="U24" s="52"/>
      <c r="V24" s="52"/>
      <c r="W24" s="52"/>
      <c r="X24" s="52"/>
      <c r="Y24" s="52"/>
      <c r="Z24" s="52"/>
    </row>
    <row r="25" spans="1:26" ht="13.5">
      <c r="A25" s="52"/>
      <c r="B25" s="1130"/>
      <c r="C25" s="52"/>
      <c r="D25" s="52"/>
      <c r="E25" s="52"/>
      <c r="F25" s="52"/>
      <c r="G25" s="461"/>
      <c r="H25" s="390"/>
      <c r="I25" s="390"/>
      <c r="J25" s="390"/>
      <c r="K25" s="390"/>
      <c r="L25" s="390"/>
      <c r="M25" s="390"/>
      <c r="N25" s="390"/>
      <c r="O25" s="390"/>
      <c r="P25" s="390"/>
      <c r="Q25" s="390"/>
      <c r="R25" s="533">
        <f>'X-Chart Basics'!D24</f>
        <v>42790</v>
      </c>
      <c r="S25" s="52"/>
      <c r="T25" s="52"/>
      <c r="U25" s="52"/>
      <c r="V25" s="52"/>
      <c r="W25" s="52"/>
      <c r="X25" s="52"/>
      <c r="Y25" s="52"/>
      <c r="Z25" s="52"/>
    </row>
    <row r="26" spans="1:26" ht="13.5">
      <c r="A26" s="52"/>
      <c r="B26" s="1130"/>
      <c r="C26" s="52"/>
      <c r="D26" s="52"/>
      <c r="E26" s="52"/>
      <c r="F26" s="52"/>
      <c r="G26" s="391"/>
      <c r="H26" s="1266" t="s">
        <v>554</v>
      </c>
      <c r="I26" s="1131">
        <v>2013</v>
      </c>
      <c r="J26" s="1131">
        <f t="shared" ref="J26:Q26" si="3">I26+1</f>
        <v>2014</v>
      </c>
      <c r="K26" s="1131">
        <f t="shared" si="3"/>
        <v>2015</v>
      </c>
      <c r="L26" s="1131">
        <f t="shared" si="3"/>
        <v>2016</v>
      </c>
      <c r="M26" s="1131">
        <f t="shared" si="3"/>
        <v>2017</v>
      </c>
      <c r="N26" s="1131">
        <f t="shared" si="3"/>
        <v>2018</v>
      </c>
      <c r="O26" s="1131">
        <f t="shared" si="3"/>
        <v>2019</v>
      </c>
      <c r="P26" s="1131">
        <f t="shared" si="3"/>
        <v>2020</v>
      </c>
      <c r="Q26" s="1131">
        <f t="shared" si="3"/>
        <v>2021</v>
      </c>
      <c r="R26" s="1132">
        <v>2017</v>
      </c>
      <c r="S26" s="52"/>
      <c r="T26" s="52"/>
      <c r="U26" s="52"/>
      <c r="V26" s="52"/>
      <c r="W26" s="52"/>
      <c r="X26" s="52"/>
      <c r="Y26" s="52"/>
      <c r="Z26" s="52"/>
    </row>
    <row r="27" spans="1:26" ht="13.5">
      <c r="A27" s="52"/>
      <c r="B27" s="1130"/>
      <c r="C27" s="52"/>
      <c r="D27" s="52"/>
      <c r="E27" s="52"/>
      <c r="F27" s="52"/>
      <c r="G27" s="464" t="s">
        <v>804</v>
      </c>
      <c r="H27" s="69"/>
      <c r="I27" s="465">
        <f>'18 Data for Charts'!K250/1000</f>
        <v>0</v>
      </c>
      <c r="J27" s="465">
        <f>'18 Data for Charts'!L250/1000</f>
        <v>0</v>
      </c>
      <c r="K27" s="465">
        <f>'18 Data for Charts'!M250/1000</f>
        <v>0</v>
      </c>
      <c r="L27" s="465">
        <f>'18 Data for Charts'!N250/1000</f>
        <v>0</v>
      </c>
      <c r="M27" s="465">
        <f>'18 Data for Charts'!O250/1000</f>
        <v>0</v>
      </c>
      <c r="N27" s="465">
        <f>'18 Data for Charts'!P250/1000</f>
        <v>0</v>
      </c>
      <c r="O27" s="465" t="e">
        <f>'18 Data for Charts'!#REF!/1000</f>
        <v>#REF!</v>
      </c>
      <c r="P27" s="465" t="e">
        <f>'18 Data for Charts'!#REF!/1000</f>
        <v>#REF!</v>
      </c>
      <c r="Q27" s="465" t="e">
        <f>'18 Data for Charts'!#REF!/1000</f>
        <v>#REF!</v>
      </c>
      <c r="R27" s="622">
        <v>0</v>
      </c>
      <c r="S27" s="52"/>
      <c r="T27" s="52"/>
      <c r="U27" s="52"/>
      <c r="V27" s="52"/>
      <c r="W27" s="52"/>
      <c r="X27" s="52"/>
      <c r="Y27" s="52"/>
      <c r="Z27" s="52"/>
    </row>
    <row r="28" spans="1:26" ht="13.5">
      <c r="A28" s="52"/>
      <c r="B28" s="1130"/>
      <c r="C28" s="52"/>
      <c r="D28" s="52"/>
      <c r="E28" s="52"/>
      <c r="F28" s="52"/>
      <c r="G28" s="1133" t="s">
        <v>992</v>
      </c>
      <c r="H28" s="67"/>
      <c r="I28" s="892">
        <f>'18 Data for Charts'!K228/1000</f>
        <v>0</v>
      </c>
      <c r="J28" s="892">
        <f>'18 Data for Charts'!L228/1000</f>
        <v>0</v>
      </c>
      <c r="K28" s="892">
        <f>'18 Data for Charts'!M228/1000</f>
        <v>0</v>
      </c>
      <c r="L28" s="892">
        <f>'18 Data for Charts'!N228/1000</f>
        <v>0</v>
      </c>
      <c r="M28" s="892">
        <f>'18 Data for Charts'!O228/1000</f>
        <v>0</v>
      </c>
      <c r="N28" s="892">
        <f>'18 Data for Charts'!P228/1000</f>
        <v>0</v>
      </c>
      <c r="O28" s="892" t="e">
        <f>'18 Data for Charts'!#REF!/1000</f>
        <v>#REF!</v>
      </c>
      <c r="P28" s="892" t="e">
        <f>'18 Data for Charts'!#REF!/1000</f>
        <v>#REF!</v>
      </c>
      <c r="Q28" s="892" t="e">
        <f>'18 Data for Charts'!#REF!/1000</f>
        <v>#REF!</v>
      </c>
      <c r="R28" s="1134"/>
      <c r="S28" s="52"/>
      <c r="T28" s="52"/>
      <c r="U28" s="52"/>
      <c r="V28" s="52"/>
      <c r="W28" s="52"/>
      <c r="X28" s="52"/>
      <c r="Y28" s="52"/>
      <c r="Z28" s="52"/>
    </row>
    <row r="29" spans="1:26" ht="13.5">
      <c r="A29" s="52"/>
      <c r="B29" s="1130"/>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3.5">
      <c r="A30" s="52"/>
      <c r="B30" s="1127" t="s">
        <v>1023</v>
      </c>
      <c r="C30" s="1128"/>
      <c r="D30" s="1128"/>
      <c r="E30" s="1128"/>
      <c r="F30" s="52"/>
      <c r="G30" s="52"/>
      <c r="H30" s="52"/>
      <c r="I30" s="52"/>
      <c r="J30" s="52"/>
      <c r="K30" s="52"/>
      <c r="L30" s="52"/>
      <c r="M30" s="52"/>
      <c r="N30" s="52"/>
      <c r="O30" s="52"/>
      <c r="P30" s="52"/>
      <c r="Q30" s="52"/>
      <c r="R30" s="52"/>
      <c r="S30" s="52"/>
      <c r="T30" s="52"/>
      <c r="U30" s="52"/>
      <c r="V30" s="52"/>
      <c r="W30" s="52"/>
      <c r="X30" s="52"/>
      <c r="Y30" s="52"/>
      <c r="Z30" s="52"/>
    </row>
    <row r="31" spans="1:26" ht="13.5">
      <c r="A31" s="52"/>
      <c r="B31" s="1129" t="s">
        <v>1044</v>
      </c>
      <c r="C31" s="52"/>
      <c r="D31" s="52"/>
      <c r="E31" s="52"/>
      <c r="F31" s="52"/>
      <c r="G31" s="929" t="s">
        <v>900</v>
      </c>
      <c r="H31" s="52"/>
      <c r="I31" s="52"/>
      <c r="J31" s="52"/>
      <c r="K31" s="52"/>
      <c r="L31" s="52"/>
      <c r="M31" s="52"/>
      <c r="N31" s="52"/>
      <c r="O31" s="52"/>
      <c r="P31" s="52"/>
      <c r="Q31" s="972"/>
      <c r="R31" s="52"/>
      <c r="S31" s="52"/>
      <c r="T31" s="52"/>
      <c r="U31" s="52"/>
      <c r="V31" s="52"/>
      <c r="W31" s="52"/>
      <c r="X31" s="52"/>
      <c r="Y31" s="52"/>
      <c r="Z31" s="52"/>
    </row>
    <row r="32" spans="1:26" ht="13.5">
      <c r="A32" s="52"/>
      <c r="B32" s="1130"/>
      <c r="C32" s="52"/>
      <c r="D32" s="52"/>
      <c r="E32" s="52"/>
      <c r="F32" s="52"/>
      <c r="G32" s="461"/>
      <c r="H32" s="390"/>
      <c r="I32" s="390"/>
      <c r="J32" s="390"/>
      <c r="K32" s="390"/>
      <c r="L32" s="390"/>
      <c r="M32" s="390"/>
      <c r="N32" s="390"/>
      <c r="O32" s="390"/>
      <c r="P32" s="390"/>
      <c r="Q32" s="390"/>
      <c r="R32" s="533">
        <f>'X-Chart Basics'!D24</f>
        <v>42790</v>
      </c>
      <c r="S32" s="52"/>
      <c r="T32" s="52"/>
      <c r="U32" s="52"/>
      <c r="V32" s="52"/>
      <c r="W32" s="52"/>
      <c r="X32" s="52"/>
      <c r="Y32" s="52"/>
      <c r="Z32" s="52"/>
    </row>
    <row r="33" spans="1:26" ht="13.5">
      <c r="A33" s="52"/>
      <c r="B33" s="1130"/>
      <c r="C33" s="52"/>
      <c r="D33" s="52"/>
      <c r="E33" s="52"/>
      <c r="F33" s="52"/>
      <c r="G33" s="391"/>
      <c r="H33" s="1266" t="s">
        <v>554</v>
      </c>
      <c r="I33" s="1131">
        <v>2013</v>
      </c>
      <c r="J33" s="1131">
        <f t="shared" ref="J33:Q33" si="4">I33+1</f>
        <v>2014</v>
      </c>
      <c r="K33" s="1131">
        <f t="shared" si="4"/>
        <v>2015</v>
      </c>
      <c r="L33" s="1131">
        <f t="shared" si="4"/>
        <v>2016</v>
      </c>
      <c r="M33" s="1131">
        <f t="shared" si="4"/>
        <v>2017</v>
      </c>
      <c r="N33" s="1131">
        <f t="shared" si="4"/>
        <v>2018</v>
      </c>
      <c r="O33" s="1131">
        <f t="shared" si="4"/>
        <v>2019</v>
      </c>
      <c r="P33" s="1131">
        <f t="shared" si="4"/>
        <v>2020</v>
      </c>
      <c r="Q33" s="1131">
        <f t="shared" si="4"/>
        <v>2021</v>
      </c>
      <c r="R33" s="1132">
        <v>2017</v>
      </c>
      <c r="S33" s="52"/>
      <c r="T33" s="52"/>
      <c r="U33" s="52"/>
      <c r="V33" s="52"/>
      <c r="W33" s="52"/>
      <c r="X33" s="52"/>
      <c r="Y33" s="52"/>
      <c r="Z33" s="52"/>
    </row>
    <row r="34" spans="1:26">
      <c r="A34" s="52"/>
      <c r="B34" s="52"/>
      <c r="C34" s="52"/>
      <c r="D34" s="52"/>
      <c r="E34" s="52"/>
      <c r="F34" s="52"/>
      <c r="G34" s="464" t="s">
        <v>804</v>
      </c>
      <c r="H34" s="69"/>
      <c r="I34" s="465">
        <f>'18 Data for Charts'!K258/1000</f>
        <v>0</v>
      </c>
      <c r="J34" s="465">
        <f>'18 Data for Charts'!L258/1000</f>
        <v>0</v>
      </c>
      <c r="K34" s="465">
        <f>'18 Data for Charts'!M258/1000</f>
        <v>0</v>
      </c>
      <c r="L34" s="465">
        <f>'18 Data for Charts'!N258/1000</f>
        <v>0</v>
      </c>
      <c r="M34" s="465">
        <f>'18 Data for Charts'!O258/1000</f>
        <v>0</v>
      </c>
      <c r="N34" s="465">
        <f>'18 Data for Charts'!P258/1000</f>
        <v>0</v>
      </c>
      <c r="O34" s="465" t="e">
        <f>'18 Data for Charts'!#REF!/1000</f>
        <v>#REF!</v>
      </c>
      <c r="P34" s="465" t="e">
        <f>'18 Data for Charts'!#REF!/1000</f>
        <v>#REF!</v>
      </c>
      <c r="Q34" s="465" t="e">
        <f>'18 Data for Charts'!#REF!/1000</f>
        <v>#REF!</v>
      </c>
      <c r="R34" s="622">
        <f>'15b-Charts Comp'!M611</f>
        <v>42790</v>
      </c>
      <c r="S34" s="52"/>
      <c r="T34" s="52"/>
      <c r="U34" s="52"/>
      <c r="V34" s="52"/>
      <c r="W34" s="52"/>
      <c r="X34" s="52"/>
      <c r="Y34" s="52"/>
      <c r="Z34" s="52"/>
    </row>
    <row r="35" spans="1:26">
      <c r="A35" s="52"/>
      <c r="B35" s="52"/>
      <c r="C35" s="52"/>
      <c r="D35" s="52"/>
      <c r="E35" s="52"/>
      <c r="F35" s="52"/>
      <c r="G35" s="1133" t="s">
        <v>992</v>
      </c>
      <c r="H35" s="67"/>
      <c r="I35" s="892">
        <f>'18 Data for Charts'!K236/1000</f>
        <v>0</v>
      </c>
      <c r="J35" s="892">
        <f>'18 Data for Charts'!L236/1000</f>
        <v>0</v>
      </c>
      <c r="K35" s="892">
        <f>'18 Data for Charts'!M236/1000</f>
        <v>0</v>
      </c>
      <c r="L35" s="892">
        <f>'18 Data for Charts'!N236/1000</f>
        <v>0</v>
      </c>
      <c r="M35" s="892">
        <f>'18 Data for Charts'!O236/1000</f>
        <v>0</v>
      </c>
      <c r="N35" s="892">
        <f>'18 Data for Charts'!P236/1000</f>
        <v>0</v>
      </c>
      <c r="O35" s="892" t="e">
        <f>'18 Data for Charts'!#REF!/1000</f>
        <v>#REF!</v>
      </c>
      <c r="P35" s="892" t="e">
        <f>'18 Data for Charts'!#REF!/1000</f>
        <v>#REF!</v>
      </c>
      <c r="Q35" s="892" t="e">
        <f>'18 Data for Charts'!#REF!/1000</f>
        <v>#REF!</v>
      </c>
      <c r="R35" s="1134"/>
      <c r="S35" s="52"/>
      <c r="T35" s="52"/>
      <c r="U35" s="52"/>
      <c r="V35" s="52"/>
      <c r="W35" s="52"/>
      <c r="X35" s="52"/>
      <c r="Y35" s="52"/>
      <c r="Z35" s="52"/>
    </row>
    <row r="36" spans="1:26">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3.5">
      <c r="A37" s="52"/>
      <c r="B37" s="1127" t="s">
        <v>1023</v>
      </c>
      <c r="C37" s="1128"/>
      <c r="D37" s="1128"/>
      <c r="E37" s="1128"/>
      <c r="F37" s="52"/>
      <c r="G37" s="52"/>
      <c r="H37" s="52"/>
      <c r="I37" s="52"/>
      <c r="J37" s="52"/>
      <c r="K37" s="52"/>
      <c r="L37" s="52"/>
      <c r="M37" s="52"/>
      <c r="N37" s="52"/>
      <c r="O37" s="52"/>
      <c r="P37" s="52"/>
      <c r="Q37" s="52"/>
      <c r="R37" s="52"/>
      <c r="S37" s="52"/>
      <c r="T37" s="52"/>
      <c r="U37" s="52"/>
      <c r="V37" s="52"/>
      <c r="W37" s="52"/>
      <c r="X37" s="52"/>
      <c r="Y37" s="52"/>
      <c r="Z37" s="52"/>
    </row>
    <row r="38" spans="1:26" ht="13.5">
      <c r="A38" s="52"/>
      <c r="B38" s="1129" t="s">
        <v>1045</v>
      </c>
      <c r="C38" s="52"/>
      <c r="D38" s="52"/>
      <c r="E38" s="52"/>
      <c r="F38" s="52"/>
      <c r="G38" s="929" t="s">
        <v>900</v>
      </c>
      <c r="H38" s="52"/>
      <c r="I38" s="52"/>
      <c r="J38" s="52"/>
      <c r="K38" s="52"/>
      <c r="L38" s="52"/>
      <c r="M38" s="52"/>
      <c r="N38" s="52"/>
      <c r="O38" s="52"/>
      <c r="P38" s="52"/>
      <c r="Q38" s="972"/>
      <c r="R38" s="52"/>
      <c r="S38" s="52"/>
      <c r="T38" s="52"/>
      <c r="U38" s="52"/>
      <c r="V38" s="52"/>
      <c r="W38" s="52"/>
      <c r="X38" s="52"/>
      <c r="Y38" s="52"/>
      <c r="Z38" s="52"/>
    </row>
    <row r="39" spans="1:26" ht="13.5">
      <c r="A39" s="52"/>
      <c r="B39" s="1130"/>
      <c r="C39" s="52"/>
      <c r="D39" s="52"/>
      <c r="E39" s="52"/>
      <c r="F39" s="52"/>
      <c r="G39" s="461"/>
      <c r="H39" s="390"/>
      <c r="I39" s="390"/>
      <c r="J39" s="390"/>
      <c r="K39" s="390"/>
      <c r="L39" s="390"/>
      <c r="M39" s="390"/>
      <c r="N39" s="390"/>
      <c r="O39" s="390"/>
      <c r="P39" s="390"/>
      <c r="Q39" s="390"/>
      <c r="R39" s="533">
        <f>'X-Chart Basics'!D24</f>
        <v>42790</v>
      </c>
      <c r="S39" s="52"/>
      <c r="T39" s="52"/>
      <c r="U39" s="52"/>
      <c r="V39" s="52"/>
      <c r="W39" s="52"/>
      <c r="X39" s="52"/>
      <c r="Y39" s="52"/>
      <c r="Z39" s="52"/>
    </row>
    <row r="40" spans="1:26" ht="13.5">
      <c r="A40" s="52"/>
      <c r="B40" s="1130"/>
      <c r="C40" s="52"/>
      <c r="D40" s="52"/>
      <c r="E40" s="52"/>
      <c r="F40" s="52"/>
      <c r="G40" s="391"/>
      <c r="H40" s="1266" t="s">
        <v>554</v>
      </c>
      <c r="I40" s="1131">
        <v>2013</v>
      </c>
      <c r="J40" s="1131">
        <f t="shared" ref="J40:Q40" si="5">I40+1</f>
        <v>2014</v>
      </c>
      <c r="K40" s="1131">
        <f t="shared" si="5"/>
        <v>2015</v>
      </c>
      <c r="L40" s="1131">
        <f t="shared" si="5"/>
        <v>2016</v>
      </c>
      <c r="M40" s="1131">
        <f t="shared" si="5"/>
        <v>2017</v>
      </c>
      <c r="N40" s="1131">
        <f t="shared" si="5"/>
        <v>2018</v>
      </c>
      <c r="O40" s="1131">
        <f t="shared" si="5"/>
        <v>2019</v>
      </c>
      <c r="P40" s="1131">
        <f t="shared" si="5"/>
        <v>2020</v>
      </c>
      <c r="Q40" s="1131">
        <f t="shared" si="5"/>
        <v>2021</v>
      </c>
      <c r="R40" s="1132">
        <v>2017</v>
      </c>
      <c r="S40" s="52"/>
      <c r="T40" s="52"/>
      <c r="U40" s="52"/>
      <c r="V40" s="52"/>
      <c r="W40" s="52"/>
      <c r="X40" s="52"/>
      <c r="Y40" s="52"/>
      <c r="Z40" s="52"/>
    </row>
    <row r="41" spans="1:26">
      <c r="A41" s="52"/>
      <c r="B41" s="52"/>
      <c r="C41" s="52"/>
      <c r="D41" s="52"/>
      <c r="E41" s="52"/>
      <c r="F41" s="52"/>
      <c r="G41" s="464" t="s">
        <v>804</v>
      </c>
      <c r="H41" s="69"/>
      <c r="I41" s="465">
        <f>'18 Data for Charts'!K266/1000</f>
        <v>0</v>
      </c>
      <c r="J41" s="465">
        <f>'18 Data for Charts'!L266/1000</f>
        <v>0</v>
      </c>
      <c r="K41" s="465">
        <f>'18 Data for Charts'!M266/1000</f>
        <v>0</v>
      </c>
      <c r="L41" s="465">
        <f>'18 Data for Charts'!N266/1000</f>
        <v>0</v>
      </c>
      <c r="M41" s="465">
        <f>'18 Data for Charts'!O266/1000</f>
        <v>0</v>
      </c>
      <c r="N41" s="465">
        <f>'18 Data for Charts'!P266/1000</f>
        <v>0</v>
      </c>
      <c r="O41" s="465" t="e">
        <f>'18 Data for Charts'!#REF!/1000</f>
        <v>#REF!</v>
      </c>
      <c r="P41" s="465" t="e">
        <f>'18 Data for Charts'!#REF!/1000</f>
        <v>#REF!</v>
      </c>
      <c r="Q41" s="465" t="e">
        <f>'18 Data for Charts'!#REF!/1000</f>
        <v>#REF!</v>
      </c>
      <c r="R41" s="622">
        <v>0</v>
      </c>
      <c r="S41" s="52"/>
      <c r="T41" s="52"/>
      <c r="U41" s="52"/>
      <c r="V41" s="52"/>
      <c r="W41" s="52"/>
      <c r="X41" s="52"/>
      <c r="Y41" s="52"/>
      <c r="Z41" s="52"/>
    </row>
    <row r="42" spans="1:26">
      <c r="A42" s="52"/>
      <c r="B42" s="52"/>
      <c r="C42" s="52"/>
      <c r="D42" s="52"/>
      <c r="E42" s="52"/>
      <c r="F42" s="52"/>
      <c r="G42" s="1133" t="s">
        <v>992</v>
      </c>
      <c r="H42" s="67"/>
      <c r="I42" s="892">
        <f>'18 Data for Charts'!K244/1000</f>
        <v>0</v>
      </c>
      <c r="J42" s="892">
        <f>'18 Data for Charts'!L244/1000</f>
        <v>0</v>
      </c>
      <c r="K42" s="892">
        <f>'18 Data for Charts'!M244/1000</f>
        <v>0</v>
      </c>
      <c r="L42" s="892">
        <f>'18 Data for Charts'!N244/1000</f>
        <v>0</v>
      </c>
      <c r="M42" s="892">
        <f>'18 Data for Charts'!O244/1000</f>
        <v>0</v>
      </c>
      <c r="N42" s="892">
        <f>'18 Data for Charts'!P244/1000</f>
        <v>0</v>
      </c>
      <c r="O42" s="892" t="e">
        <f>'18 Data for Charts'!#REF!/1000</f>
        <v>#REF!</v>
      </c>
      <c r="P42" s="892" t="e">
        <f>'18 Data for Charts'!#REF!/1000</f>
        <v>#REF!</v>
      </c>
      <c r="Q42" s="892" t="e">
        <f>'18 Data for Charts'!#REF!/1000</f>
        <v>#REF!</v>
      </c>
      <c r="R42" s="1134"/>
      <c r="S42" s="52"/>
      <c r="T42" s="52"/>
      <c r="U42" s="52"/>
      <c r="V42" s="52"/>
      <c r="W42" s="52"/>
      <c r="X42" s="52"/>
      <c r="Y42" s="52"/>
      <c r="Z42" s="52"/>
    </row>
    <row r="43" spans="1:26">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3.5">
      <c r="A44" s="52"/>
      <c r="B44" s="1127" t="s">
        <v>1023</v>
      </c>
      <c r="C44" s="1128"/>
      <c r="D44" s="1128"/>
      <c r="E44" s="1128"/>
      <c r="F44" s="52"/>
      <c r="G44" s="52"/>
      <c r="H44" s="52"/>
      <c r="I44" s="52"/>
      <c r="J44" s="52"/>
      <c r="K44" s="52"/>
      <c r="L44" s="52"/>
      <c r="M44" s="52"/>
      <c r="N44" s="52"/>
      <c r="O44" s="52"/>
      <c r="P44" s="52"/>
      <c r="Q44" s="52"/>
      <c r="R44" s="52"/>
      <c r="S44" s="52"/>
      <c r="T44" s="52"/>
      <c r="U44" s="52"/>
      <c r="V44" s="52"/>
      <c r="W44" s="52"/>
      <c r="X44" s="52"/>
      <c r="Y44" s="52"/>
      <c r="Z44" s="52"/>
    </row>
    <row r="45" spans="1:26" ht="13.5">
      <c r="A45" s="52"/>
      <c r="B45" s="1129" t="s">
        <v>876</v>
      </c>
      <c r="C45" s="52"/>
      <c r="D45" s="52"/>
      <c r="E45" s="52"/>
      <c r="F45" s="52"/>
      <c r="G45" s="929" t="s">
        <v>900</v>
      </c>
      <c r="H45" s="52"/>
      <c r="I45" s="52"/>
      <c r="J45" s="52"/>
      <c r="K45" s="52"/>
      <c r="L45" s="52"/>
      <c r="M45" s="52"/>
      <c r="N45" s="52"/>
      <c r="O45" s="52"/>
      <c r="P45" s="52"/>
      <c r="Q45" s="972"/>
      <c r="R45" s="52"/>
      <c r="S45" s="52"/>
      <c r="T45" s="52"/>
      <c r="U45" s="52"/>
      <c r="V45" s="52"/>
      <c r="W45" s="52"/>
      <c r="X45" s="52"/>
      <c r="Y45" s="52"/>
      <c r="Z45" s="52"/>
    </row>
    <row r="46" spans="1:26" ht="13.5">
      <c r="A46" s="52"/>
      <c r="B46" s="1130"/>
      <c r="C46" s="52"/>
      <c r="D46" s="52"/>
      <c r="E46" s="52"/>
      <c r="F46" s="52"/>
      <c r="G46" s="461"/>
      <c r="H46" s="390"/>
      <c r="I46" s="390"/>
      <c r="J46" s="390"/>
      <c r="K46" s="390"/>
      <c r="L46" s="390"/>
      <c r="M46" s="390"/>
      <c r="N46" s="390"/>
      <c r="O46" s="390"/>
      <c r="P46" s="390"/>
      <c r="Q46" s="390"/>
      <c r="R46" s="533" t="e">
        <f>'15b-Charts Comp'!#REF!</f>
        <v>#REF!</v>
      </c>
      <c r="S46" s="52"/>
      <c r="T46" s="52"/>
      <c r="U46" s="52"/>
      <c r="V46" s="52"/>
      <c r="W46" s="52"/>
      <c r="X46" s="52"/>
      <c r="Y46" s="52"/>
      <c r="Z46" s="52"/>
    </row>
    <row r="47" spans="1:26" ht="13.5">
      <c r="A47" s="52"/>
      <c r="B47" s="1130"/>
      <c r="C47" s="52"/>
      <c r="D47" s="52"/>
      <c r="E47" s="52"/>
      <c r="F47" s="52"/>
      <c r="G47" s="391"/>
      <c r="H47" s="1266" t="s">
        <v>554</v>
      </c>
      <c r="I47" s="1131">
        <v>2008</v>
      </c>
      <c r="J47" s="1131">
        <f t="shared" ref="J47:Q47" si="6">I47+1</f>
        <v>2009</v>
      </c>
      <c r="K47" s="1131">
        <f t="shared" si="6"/>
        <v>2010</v>
      </c>
      <c r="L47" s="1131">
        <f t="shared" si="6"/>
        <v>2011</v>
      </c>
      <c r="M47" s="1131">
        <f t="shared" si="6"/>
        <v>2012</v>
      </c>
      <c r="N47" s="1131">
        <f t="shared" si="6"/>
        <v>2013</v>
      </c>
      <c r="O47" s="1131">
        <f t="shared" si="6"/>
        <v>2014</v>
      </c>
      <c r="P47" s="1131">
        <f t="shared" si="6"/>
        <v>2015</v>
      </c>
      <c r="Q47" s="1131">
        <f t="shared" si="6"/>
        <v>2016</v>
      </c>
      <c r="R47" s="1132">
        <v>2017</v>
      </c>
      <c r="S47" s="52"/>
      <c r="T47" s="52"/>
      <c r="U47" s="52"/>
      <c r="V47" s="52"/>
      <c r="W47" s="52"/>
      <c r="X47" s="52"/>
      <c r="Y47" s="52"/>
      <c r="Z47" s="52"/>
    </row>
    <row r="48" spans="1:26">
      <c r="A48" s="52"/>
      <c r="B48" s="52"/>
      <c r="C48" s="52"/>
      <c r="D48" s="52"/>
      <c r="E48" s="52"/>
      <c r="F48" s="52"/>
      <c r="G48" s="464" t="s">
        <v>804</v>
      </c>
      <c r="H48" s="69"/>
      <c r="I48" s="465">
        <f>'18 Data for Charts'!K274/1000</f>
        <v>0</v>
      </c>
      <c r="J48" s="465">
        <f>'18 Data for Charts'!L274/1000</f>
        <v>0</v>
      </c>
      <c r="K48" s="465">
        <f>'18 Data for Charts'!M274/1000</f>
        <v>0</v>
      </c>
      <c r="L48" s="465">
        <f>'18 Data for Charts'!N274/1000</f>
        <v>0</v>
      </c>
      <c r="M48" s="465">
        <f>'18 Data for Charts'!O274/1000</f>
        <v>0</v>
      </c>
      <c r="N48" s="465">
        <f>'18 Data for Charts'!P274/1000</f>
        <v>0</v>
      </c>
      <c r="O48" s="465" t="e">
        <f>'18 Data for Charts'!#REF!/1000</f>
        <v>#REF!</v>
      </c>
      <c r="P48" s="465" t="e">
        <f>'18 Data for Charts'!#REF!/1000</f>
        <v>#REF!</v>
      </c>
      <c r="Q48" s="465" t="e">
        <f>'18 Data for Charts'!#REF!/1000</f>
        <v>#REF!</v>
      </c>
      <c r="R48" s="622">
        <v>0</v>
      </c>
      <c r="S48" s="52"/>
      <c r="T48" s="52"/>
      <c r="U48" s="52"/>
      <c r="V48" s="52"/>
      <c r="W48" s="52"/>
      <c r="X48" s="52"/>
      <c r="Y48" s="52"/>
      <c r="Z48" s="52"/>
    </row>
    <row r="49" spans="1:26">
      <c r="A49" s="52"/>
      <c r="B49" s="52"/>
      <c r="C49" s="52"/>
      <c r="D49" s="52"/>
      <c r="E49" s="52"/>
      <c r="F49" s="52"/>
      <c r="G49" s="1133" t="s">
        <v>992</v>
      </c>
      <c r="H49" s="67"/>
      <c r="I49" s="892">
        <f>'18 Data for Charts'!K252/1000</f>
        <v>0</v>
      </c>
      <c r="J49" s="892">
        <f>'18 Data for Charts'!L252/1000</f>
        <v>0</v>
      </c>
      <c r="K49" s="892">
        <f>'18 Data for Charts'!M252/1000</f>
        <v>0</v>
      </c>
      <c r="L49" s="892">
        <f>'18 Data for Charts'!N252/1000</f>
        <v>0</v>
      </c>
      <c r="M49" s="892">
        <f>'18 Data for Charts'!O252/1000</f>
        <v>0</v>
      </c>
      <c r="N49" s="892">
        <f>'18 Data for Charts'!P252/1000</f>
        <v>0</v>
      </c>
      <c r="O49" s="892" t="e">
        <f>'18 Data for Charts'!#REF!/1000</f>
        <v>#REF!</v>
      </c>
      <c r="P49" s="892" t="e">
        <f>'18 Data for Charts'!#REF!/1000</f>
        <v>#REF!</v>
      </c>
      <c r="Q49" s="892" t="e">
        <f>'18 Data for Charts'!#REF!/1000</f>
        <v>#REF!</v>
      </c>
      <c r="R49" s="1134"/>
      <c r="S49" s="52"/>
      <c r="T49" s="52"/>
      <c r="U49" s="52"/>
      <c r="V49" s="52"/>
      <c r="W49" s="52"/>
      <c r="X49" s="52"/>
      <c r="Y49" s="52"/>
      <c r="Z49" s="52"/>
    </row>
    <row r="50" spans="1:26">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3.5">
      <c r="A51" s="52"/>
      <c r="B51" s="1127" t="s">
        <v>1023</v>
      </c>
      <c r="C51" s="1128"/>
      <c r="D51" s="1128"/>
      <c r="E51" s="1128"/>
      <c r="F51" s="52"/>
      <c r="G51" s="52"/>
      <c r="H51" s="52"/>
      <c r="I51" s="52"/>
      <c r="J51" s="52"/>
      <c r="K51" s="52"/>
      <c r="L51" s="52"/>
      <c r="M51" s="52"/>
      <c r="N51" s="52"/>
      <c r="O51" s="52"/>
      <c r="P51" s="52"/>
      <c r="Q51" s="52"/>
      <c r="R51" s="52"/>
      <c r="S51" s="52"/>
      <c r="T51" s="52"/>
      <c r="U51" s="52"/>
      <c r="V51" s="52"/>
      <c r="W51" s="52"/>
      <c r="X51" s="52"/>
      <c r="Y51" s="52"/>
      <c r="Z51" s="52"/>
    </row>
    <row r="52" spans="1:26" ht="13.5">
      <c r="A52" s="52"/>
      <c r="B52" s="1129" t="s">
        <v>1046</v>
      </c>
      <c r="C52" s="52"/>
      <c r="D52" s="52"/>
      <c r="E52" s="52"/>
      <c r="F52" s="52"/>
      <c r="G52" s="929" t="s">
        <v>900</v>
      </c>
      <c r="H52" s="52"/>
      <c r="I52" s="52"/>
      <c r="J52" s="52"/>
      <c r="K52" s="52"/>
      <c r="L52" s="52"/>
      <c r="M52" s="52"/>
      <c r="N52" s="52"/>
      <c r="O52" s="52"/>
      <c r="P52" s="52"/>
      <c r="Q52" s="972"/>
      <c r="R52" s="52"/>
      <c r="S52" s="52"/>
      <c r="T52" s="52"/>
      <c r="U52" s="52"/>
      <c r="V52" s="52"/>
      <c r="W52" s="52"/>
      <c r="X52" s="52"/>
      <c r="Y52" s="52"/>
      <c r="Z52" s="52"/>
    </row>
    <row r="53" spans="1:26" ht="13.5">
      <c r="A53" s="52"/>
      <c r="B53" s="1130"/>
      <c r="C53" s="52"/>
      <c r="D53" s="52"/>
      <c r="E53" s="52"/>
      <c r="F53" s="52"/>
      <c r="G53" s="461"/>
      <c r="H53" s="390"/>
      <c r="I53" s="390"/>
      <c r="J53" s="390"/>
      <c r="K53" s="390"/>
      <c r="L53" s="390"/>
      <c r="M53" s="390"/>
      <c r="N53" s="390"/>
      <c r="O53" s="390"/>
      <c r="P53" s="390"/>
      <c r="Q53" s="390"/>
      <c r="R53" s="533">
        <f>'X-Chart Basics'!D24</f>
        <v>42790</v>
      </c>
      <c r="S53" s="52"/>
      <c r="T53" s="52"/>
      <c r="U53" s="52"/>
      <c r="V53" s="52"/>
      <c r="W53" s="52"/>
      <c r="X53" s="52"/>
      <c r="Y53" s="52"/>
      <c r="Z53" s="52"/>
    </row>
    <row r="54" spans="1:26" ht="13.5">
      <c r="A54" s="52"/>
      <c r="B54" s="1130"/>
      <c r="C54" s="52"/>
      <c r="D54" s="52"/>
      <c r="E54" s="52"/>
      <c r="F54" s="52"/>
      <c r="G54" s="391"/>
      <c r="H54" s="1266" t="s">
        <v>554</v>
      </c>
      <c r="I54" s="1131">
        <v>2008</v>
      </c>
      <c r="J54" s="1131">
        <f t="shared" ref="J54:Q54" si="7">I54+1</f>
        <v>2009</v>
      </c>
      <c r="K54" s="1131">
        <f t="shared" si="7"/>
        <v>2010</v>
      </c>
      <c r="L54" s="1131">
        <f t="shared" si="7"/>
        <v>2011</v>
      </c>
      <c r="M54" s="1131">
        <f t="shared" si="7"/>
        <v>2012</v>
      </c>
      <c r="N54" s="1131">
        <f t="shared" si="7"/>
        <v>2013</v>
      </c>
      <c r="O54" s="1131">
        <f t="shared" si="7"/>
        <v>2014</v>
      </c>
      <c r="P54" s="1131">
        <f t="shared" si="7"/>
        <v>2015</v>
      </c>
      <c r="Q54" s="1131">
        <f t="shared" si="7"/>
        <v>2016</v>
      </c>
      <c r="R54" s="1132">
        <v>2017</v>
      </c>
      <c r="S54" s="52"/>
      <c r="T54" s="52"/>
      <c r="U54" s="52"/>
      <c r="V54" s="52"/>
      <c r="W54" s="52"/>
      <c r="X54" s="52"/>
      <c r="Y54" s="52"/>
      <c r="Z54" s="52"/>
    </row>
    <row r="55" spans="1:26">
      <c r="A55" s="52"/>
      <c r="B55" s="52"/>
      <c r="C55" s="52"/>
      <c r="D55" s="52"/>
      <c r="E55" s="52"/>
      <c r="F55" s="52"/>
      <c r="G55" s="464" t="s">
        <v>804</v>
      </c>
      <c r="H55" s="69"/>
      <c r="I55" s="465">
        <f>'18 Data for Charts'!K282/1000</f>
        <v>0</v>
      </c>
      <c r="J55" s="465">
        <f>'18 Data for Charts'!L282/1000</f>
        <v>0</v>
      </c>
      <c r="K55" s="465">
        <f>'18 Data for Charts'!M282/1000</f>
        <v>0</v>
      </c>
      <c r="L55" s="465">
        <f>'18 Data for Charts'!N282/1000</f>
        <v>0</v>
      </c>
      <c r="M55" s="465">
        <f>'18 Data for Charts'!O282/1000</f>
        <v>0</v>
      </c>
      <c r="N55" s="465">
        <f>'18 Data for Charts'!P282/1000</f>
        <v>0</v>
      </c>
      <c r="O55" s="465" t="e">
        <f>'18 Data for Charts'!#REF!/1000</f>
        <v>#REF!</v>
      </c>
      <c r="P55" s="465" t="e">
        <f>'18 Data for Charts'!#REF!/1000</f>
        <v>#REF!</v>
      </c>
      <c r="Q55" s="465" t="e">
        <f>'18 Data for Charts'!#REF!/1000</f>
        <v>#REF!</v>
      </c>
      <c r="R55" s="622">
        <v>0</v>
      </c>
      <c r="S55" s="52"/>
      <c r="T55" s="52"/>
      <c r="U55" s="52"/>
      <c r="V55" s="52"/>
      <c r="W55" s="52"/>
      <c r="X55" s="52"/>
      <c r="Y55" s="52"/>
      <c r="Z55" s="52"/>
    </row>
    <row r="56" spans="1:26">
      <c r="A56" s="52"/>
      <c r="B56" s="52"/>
      <c r="C56" s="52"/>
      <c r="D56" s="52"/>
      <c r="E56" s="52"/>
      <c r="F56" s="52"/>
      <c r="G56" s="1133" t="s">
        <v>992</v>
      </c>
      <c r="H56" s="67"/>
      <c r="I56" s="892">
        <f>'18 Data for Charts'!K260/1000</f>
        <v>0</v>
      </c>
      <c r="J56" s="892">
        <f>'18 Data for Charts'!L260/1000</f>
        <v>0</v>
      </c>
      <c r="K56" s="892">
        <f>'18 Data for Charts'!M260/1000</f>
        <v>0</v>
      </c>
      <c r="L56" s="892">
        <f>'18 Data for Charts'!N260/1000</f>
        <v>0</v>
      </c>
      <c r="M56" s="892">
        <f>'18 Data for Charts'!O260/1000</f>
        <v>0</v>
      </c>
      <c r="N56" s="892">
        <f>'18 Data for Charts'!P260/1000</f>
        <v>0</v>
      </c>
      <c r="O56" s="892" t="e">
        <f>'18 Data for Charts'!#REF!/1000</f>
        <v>#REF!</v>
      </c>
      <c r="P56" s="892" t="e">
        <f>'18 Data for Charts'!#REF!/1000</f>
        <v>#REF!</v>
      </c>
      <c r="Q56" s="892" t="e">
        <f>'18 Data for Charts'!#REF!/1000</f>
        <v>#REF!</v>
      </c>
      <c r="R56" s="1134"/>
      <c r="S56" s="52"/>
      <c r="T56" s="52"/>
      <c r="U56" s="52"/>
      <c r="V56" s="52"/>
      <c r="W56" s="52"/>
      <c r="X56" s="52"/>
      <c r="Y56" s="52"/>
      <c r="Z56" s="52"/>
    </row>
    <row r="57" spans="1:26">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3.5">
      <c r="A58" s="52"/>
      <c r="B58" s="1127" t="s">
        <v>1023</v>
      </c>
      <c r="C58" s="1128"/>
      <c r="D58" s="1128"/>
      <c r="E58" s="1128"/>
      <c r="F58" s="52"/>
      <c r="G58" s="52"/>
      <c r="H58" s="52"/>
      <c r="I58" s="52"/>
      <c r="J58" s="52"/>
      <c r="K58" s="52"/>
      <c r="L58" s="52"/>
      <c r="M58" s="52"/>
      <c r="N58" s="52"/>
      <c r="O58" s="52"/>
      <c r="P58" s="52"/>
      <c r="Q58" s="52"/>
      <c r="R58" s="52"/>
      <c r="S58" s="52"/>
      <c r="T58" s="52"/>
      <c r="U58" s="52"/>
      <c r="V58" s="52"/>
      <c r="W58" s="52"/>
      <c r="X58" s="52"/>
      <c r="Y58" s="52"/>
      <c r="Z58" s="52"/>
    </row>
    <row r="59" spans="1:26" ht="13.5">
      <c r="A59" s="52"/>
      <c r="B59" s="1129" t="s">
        <v>1047</v>
      </c>
      <c r="C59" s="52"/>
      <c r="D59" s="52"/>
      <c r="E59" s="52"/>
      <c r="F59" s="52"/>
      <c r="G59" s="929" t="s">
        <v>900</v>
      </c>
      <c r="H59" s="52"/>
      <c r="I59" s="52"/>
      <c r="J59" s="52"/>
      <c r="K59" s="52"/>
      <c r="L59" s="52"/>
      <c r="M59" s="52"/>
      <c r="N59" s="52"/>
      <c r="O59" s="52"/>
      <c r="P59" s="52"/>
      <c r="Q59" s="972"/>
      <c r="R59" s="52"/>
      <c r="S59" s="52"/>
      <c r="T59" s="52"/>
      <c r="U59" s="52"/>
      <c r="V59" s="52"/>
      <c r="W59" s="52"/>
      <c r="X59" s="52"/>
      <c r="Y59" s="52"/>
      <c r="Z59" s="52"/>
    </row>
    <row r="60" spans="1:26" ht="13.5">
      <c r="A60" s="52"/>
      <c r="B60" s="1130"/>
      <c r="C60" s="52"/>
      <c r="D60" s="52"/>
      <c r="E60" s="52"/>
      <c r="F60" s="52"/>
      <c r="G60" s="461"/>
      <c r="H60" s="390"/>
      <c r="I60" s="390"/>
      <c r="J60" s="390"/>
      <c r="K60" s="390"/>
      <c r="L60" s="390"/>
      <c r="M60" s="390"/>
      <c r="N60" s="390"/>
      <c r="O60" s="390"/>
      <c r="P60" s="390"/>
      <c r="Q60" s="390"/>
      <c r="R60" s="533">
        <f>'X-Chart Basics'!D24</f>
        <v>42790</v>
      </c>
      <c r="S60" s="52"/>
      <c r="T60" s="52"/>
      <c r="U60" s="52"/>
      <c r="V60" s="52"/>
      <c r="W60" s="52"/>
      <c r="X60" s="52"/>
      <c r="Y60" s="52"/>
      <c r="Z60" s="52"/>
    </row>
    <row r="61" spans="1:26" ht="13.5">
      <c r="A61" s="52"/>
      <c r="B61" s="1130"/>
      <c r="C61" s="52"/>
      <c r="D61" s="52"/>
      <c r="E61" s="52"/>
      <c r="F61" s="52"/>
      <c r="G61" s="391"/>
      <c r="H61" s="1266" t="s">
        <v>554</v>
      </c>
      <c r="I61" s="1131">
        <v>2013</v>
      </c>
      <c r="J61" s="1131">
        <f t="shared" ref="J61:Q61" si="8">I61+1</f>
        <v>2014</v>
      </c>
      <c r="K61" s="1131">
        <f t="shared" si="8"/>
        <v>2015</v>
      </c>
      <c r="L61" s="1131">
        <f t="shared" si="8"/>
        <v>2016</v>
      </c>
      <c r="M61" s="1131">
        <f t="shared" si="8"/>
        <v>2017</v>
      </c>
      <c r="N61" s="1131">
        <f t="shared" si="8"/>
        <v>2018</v>
      </c>
      <c r="O61" s="1131">
        <f t="shared" si="8"/>
        <v>2019</v>
      </c>
      <c r="P61" s="1131">
        <f t="shared" si="8"/>
        <v>2020</v>
      </c>
      <c r="Q61" s="1131">
        <f t="shared" si="8"/>
        <v>2021</v>
      </c>
      <c r="R61" s="1132">
        <v>2017</v>
      </c>
      <c r="S61" s="52"/>
      <c r="T61" s="52"/>
      <c r="U61" s="52"/>
      <c r="V61" s="52"/>
      <c r="W61" s="52"/>
      <c r="X61" s="52"/>
      <c r="Y61" s="52"/>
      <c r="Z61" s="52"/>
    </row>
    <row r="62" spans="1:26">
      <c r="A62" s="52"/>
      <c r="B62" s="52"/>
      <c r="C62" s="52"/>
      <c r="D62" s="52"/>
      <c r="E62" s="52"/>
      <c r="F62" s="52"/>
      <c r="G62" s="464" t="s">
        <v>804</v>
      </c>
      <c r="H62" s="69"/>
      <c r="I62" s="465">
        <f>'18 Data for Charts'!K290/1000</f>
        <v>0</v>
      </c>
      <c r="J62" s="465">
        <f>'18 Data for Charts'!L290/1000</f>
        <v>0</v>
      </c>
      <c r="K62" s="465">
        <f>'18 Data for Charts'!M290/1000</f>
        <v>0</v>
      </c>
      <c r="L62" s="465">
        <f>'18 Data for Charts'!N290/1000</f>
        <v>0</v>
      </c>
      <c r="M62" s="465">
        <f>'18 Data for Charts'!O290/1000</f>
        <v>0</v>
      </c>
      <c r="N62" s="465">
        <f>'18 Data for Charts'!P290/1000</f>
        <v>0</v>
      </c>
      <c r="O62" s="465" t="e">
        <f>'18 Data for Charts'!#REF!/1000</f>
        <v>#REF!</v>
      </c>
      <c r="P62" s="465" t="e">
        <f>'18 Data for Charts'!#REF!/1000</f>
        <v>#REF!</v>
      </c>
      <c r="Q62" s="465" t="e">
        <f>'18 Data for Charts'!#REF!/1000</f>
        <v>#REF!</v>
      </c>
      <c r="R62" s="622">
        <v>0</v>
      </c>
      <c r="S62" s="52"/>
      <c r="T62" s="52"/>
      <c r="U62" s="52"/>
      <c r="V62" s="52"/>
      <c r="W62" s="52"/>
      <c r="X62" s="52"/>
      <c r="Y62" s="52"/>
      <c r="Z62" s="52"/>
    </row>
    <row r="63" spans="1:26">
      <c r="A63" s="52"/>
      <c r="B63" s="52"/>
      <c r="C63" s="52"/>
      <c r="D63" s="52"/>
      <c r="E63" s="52"/>
      <c r="F63" s="52"/>
      <c r="G63" s="1133" t="s">
        <v>992</v>
      </c>
      <c r="H63" s="67"/>
      <c r="I63" s="892">
        <f>'18 Data for Charts'!K268/1000</f>
        <v>0</v>
      </c>
      <c r="J63" s="892">
        <f>'18 Data for Charts'!L268/1000</f>
        <v>0</v>
      </c>
      <c r="K63" s="892">
        <f>'18 Data for Charts'!M268/1000</f>
        <v>0</v>
      </c>
      <c r="L63" s="892">
        <f>'18 Data for Charts'!N268/1000</f>
        <v>0</v>
      </c>
      <c r="M63" s="892">
        <f>'18 Data for Charts'!O268/1000</f>
        <v>0</v>
      </c>
      <c r="N63" s="892">
        <f>'18 Data for Charts'!P268/1000</f>
        <v>0</v>
      </c>
      <c r="O63" s="892" t="e">
        <f>'18 Data for Charts'!#REF!/1000</f>
        <v>#REF!</v>
      </c>
      <c r="P63" s="892" t="e">
        <f>'18 Data for Charts'!#REF!/1000</f>
        <v>#REF!</v>
      </c>
      <c r="Q63" s="892" t="e">
        <f>'18 Data for Charts'!#REF!/1000</f>
        <v>#REF!</v>
      </c>
      <c r="R63" s="1134"/>
      <c r="S63" s="52"/>
      <c r="T63" s="52"/>
      <c r="U63" s="52"/>
      <c r="V63" s="52"/>
      <c r="W63" s="52"/>
      <c r="X63" s="52"/>
      <c r="Y63" s="52"/>
      <c r="Z63" s="52"/>
    </row>
    <row r="64" spans="1:26">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3.5">
      <c r="A65" s="52"/>
      <c r="B65" s="1127" t="s">
        <v>1023</v>
      </c>
      <c r="C65" s="1128"/>
      <c r="D65" s="1128"/>
      <c r="E65" s="1128"/>
      <c r="F65" s="52"/>
      <c r="G65" s="52"/>
      <c r="H65" s="52"/>
      <c r="I65" s="52"/>
      <c r="J65" s="52"/>
      <c r="K65" s="52"/>
      <c r="L65" s="52"/>
      <c r="M65" s="52"/>
      <c r="N65" s="52"/>
      <c r="O65" s="52"/>
      <c r="P65" s="52"/>
      <c r="Q65" s="52"/>
      <c r="R65" s="52"/>
      <c r="S65" s="52"/>
      <c r="T65" s="52"/>
      <c r="U65" s="52"/>
      <c r="V65" s="52"/>
      <c r="W65" s="52"/>
      <c r="X65" s="52"/>
      <c r="Y65" s="52"/>
      <c r="Z65" s="52"/>
    </row>
    <row r="66" spans="1:26" ht="13.5">
      <c r="A66" s="52"/>
      <c r="B66" s="1129" t="s">
        <v>1024</v>
      </c>
      <c r="C66" s="52"/>
      <c r="D66" s="52"/>
      <c r="E66" s="52"/>
      <c r="F66" s="52"/>
      <c r="G66" s="929" t="s">
        <v>900</v>
      </c>
      <c r="H66" s="52"/>
      <c r="I66" s="52"/>
      <c r="J66" s="52"/>
      <c r="K66" s="52"/>
      <c r="L66" s="52"/>
      <c r="M66" s="52"/>
      <c r="N66" s="52"/>
      <c r="O66" s="52"/>
      <c r="P66" s="52"/>
      <c r="Q66" s="972"/>
      <c r="R66" s="52"/>
      <c r="S66" s="52"/>
      <c r="T66" s="52"/>
      <c r="U66" s="52"/>
      <c r="V66" s="52"/>
      <c r="W66" s="52"/>
      <c r="X66" s="52"/>
      <c r="Y66" s="52"/>
      <c r="Z66" s="52"/>
    </row>
    <row r="67" spans="1:26" ht="13.5">
      <c r="A67" s="52"/>
      <c r="B67" s="1130"/>
      <c r="C67" s="52"/>
      <c r="D67" s="52"/>
      <c r="E67" s="52"/>
      <c r="F67" s="52"/>
      <c r="G67" s="461"/>
      <c r="H67" s="390"/>
      <c r="I67" s="390"/>
      <c r="J67" s="390"/>
      <c r="K67" s="390"/>
      <c r="L67" s="390"/>
      <c r="M67" s="390"/>
      <c r="N67" s="390"/>
      <c r="O67" s="390"/>
      <c r="P67" s="390"/>
      <c r="Q67" s="390"/>
      <c r="R67" s="533">
        <f>'X-Chart Basics'!D24</f>
        <v>42790</v>
      </c>
      <c r="S67" s="52"/>
      <c r="T67" s="52"/>
      <c r="U67" s="52"/>
      <c r="V67" s="52"/>
      <c r="W67" s="52"/>
      <c r="X67" s="52"/>
      <c r="Y67" s="52"/>
      <c r="Z67" s="52"/>
    </row>
    <row r="68" spans="1:26" ht="13.5">
      <c r="A68" s="52"/>
      <c r="B68" s="1130"/>
      <c r="C68" s="52"/>
      <c r="D68" s="52"/>
      <c r="E68" s="52"/>
      <c r="F68" s="52"/>
      <c r="G68" s="391"/>
      <c r="H68" s="1266"/>
      <c r="I68" s="1131">
        <v>2013</v>
      </c>
      <c r="J68" s="1131">
        <f t="shared" ref="J68:Q68" si="9">I68+1</f>
        <v>2014</v>
      </c>
      <c r="K68" s="1131">
        <f t="shared" si="9"/>
        <v>2015</v>
      </c>
      <c r="L68" s="1131">
        <f t="shared" si="9"/>
        <v>2016</v>
      </c>
      <c r="M68" s="1131">
        <f t="shared" si="9"/>
        <v>2017</v>
      </c>
      <c r="N68" s="1131">
        <f t="shared" si="9"/>
        <v>2018</v>
      </c>
      <c r="O68" s="1131">
        <f t="shared" si="9"/>
        <v>2019</v>
      </c>
      <c r="P68" s="1131">
        <f t="shared" si="9"/>
        <v>2020</v>
      </c>
      <c r="Q68" s="1131">
        <f t="shared" si="9"/>
        <v>2021</v>
      </c>
      <c r="R68" s="1132">
        <v>2017</v>
      </c>
      <c r="S68" s="52"/>
      <c r="T68" s="52"/>
      <c r="U68" s="52"/>
      <c r="V68" s="52"/>
      <c r="W68" s="52"/>
      <c r="X68" s="52"/>
      <c r="Y68" s="52"/>
      <c r="Z68" s="52"/>
    </row>
    <row r="69" spans="1:26">
      <c r="A69" s="52"/>
      <c r="B69" s="52"/>
      <c r="C69" s="52"/>
      <c r="D69" s="52"/>
      <c r="E69" s="52"/>
      <c r="F69" s="52"/>
      <c r="G69" s="464" t="s">
        <v>804</v>
      </c>
      <c r="H69" s="69"/>
      <c r="I69" s="465">
        <f>'18 Data for Charts'!K298/1000</f>
        <v>0</v>
      </c>
      <c r="J69" s="465">
        <f>'18 Data for Charts'!L298/1000</f>
        <v>0</v>
      </c>
      <c r="K69" s="465">
        <f>'18 Data for Charts'!M298/1000</f>
        <v>0</v>
      </c>
      <c r="L69" s="465">
        <f>'18 Data for Charts'!N298/1000</f>
        <v>0</v>
      </c>
      <c r="M69" s="465">
        <f>'18 Data for Charts'!O298/1000</f>
        <v>0</v>
      </c>
      <c r="N69" s="465">
        <f>'18 Data for Charts'!P298/1000</f>
        <v>0</v>
      </c>
      <c r="O69" s="465" t="e">
        <f>'18 Data for Charts'!#REF!/1000</f>
        <v>#REF!</v>
      </c>
      <c r="P69" s="465" t="e">
        <f>'18 Data for Charts'!#REF!/1000</f>
        <v>#REF!</v>
      </c>
      <c r="Q69" s="465" t="e">
        <f>'18 Data for Charts'!#REF!/1000</f>
        <v>#REF!</v>
      </c>
      <c r="R69" s="622" t="e">
        <f>R46</f>
        <v>#REF!</v>
      </c>
      <c r="S69" s="52"/>
      <c r="T69" s="52"/>
      <c r="U69" s="52"/>
      <c r="V69" s="52"/>
      <c r="W69" s="52"/>
      <c r="X69" s="52"/>
      <c r="Y69" s="52"/>
      <c r="Z69" s="52"/>
    </row>
    <row r="70" spans="1:26">
      <c r="A70" s="52"/>
      <c r="B70" s="52"/>
      <c r="C70" s="52"/>
      <c r="D70" s="52"/>
      <c r="E70" s="52"/>
      <c r="F70" s="52"/>
      <c r="G70" s="1133" t="s">
        <v>992</v>
      </c>
      <c r="H70" s="67"/>
      <c r="I70" s="892">
        <f>'18 Data for Charts'!K276/1000</f>
        <v>0</v>
      </c>
      <c r="J70" s="892">
        <f>'18 Data for Charts'!L276/1000</f>
        <v>0</v>
      </c>
      <c r="K70" s="892">
        <f>'18 Data for Charts'!M276/1000</f>
        <v>0</v>
      </c>
      <c r="L70" s="892">
        <f>'18 Data for Charts'!N276/1000</f>
        <v>0</v>
      </c>
      <c r="M70" s="892">
        <f>'18 Data for Charts'!O276/1000</f>
        <v>0</v>
      </c>
      <c r="N70" s="892">
        <f>'18 Data for Charts'!P276/1000</f>
        <v>0</v>
      </c>
      <c r="O70" s="892" t="e">
        <f>'18 Data for Charts'!#REF!/1000</f>
        <v>#REF!</v>
      </c>
      <c r="P70" s="892" t="e">
        <f>'18 Data for Charts'!#REF!/1000</f>
        <v>#REF!</v>
      </c>
      <c r="Q70" s="892" t="e">
        <f>'18 Data for Charts'!#REF!/1000</f>
        <v>#REF!</v>
      </c>
      <c r="R70" s="1134"/>
      <c r="S70" s="52"/>
      <c r="T70" s="52"/>
      <c r="U70" s="52"/>
      <c r="V70" s="52"/>
      <c r="W70" s="52"/>
      <c r="X70" s="52"/>
      <c r="Y70" s="52"/>
      <c r="Z70" s="52"/>
    </row>
    <row r="71" spans="1:26">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3.5">
      <c r="A72" s="52"/>
      <c r="B72" s="1127" t="s">
        <v>1023</v>
      </c>
      <c r="C72" s="1128"/>
      <c r="D72" s="1128"/>
      <c r="E72" s="1128"/>
      <c r="F72" s="52"/>
      <c r="G72" s="52"/>
      <c r="H72" s="52"/>
      <c r="I72" s="52"/>
      <c r="J72" s="52"/>
      <c r="K72" s="52"/>
      <c r="L72" s="52"/>
      <c r="M72" s="52"/>
      <c r="N72" s="52"/>
      <c r="O72" s="52"/>
      <c r="P72" s="52"/>
      <c r="Q72" s="52"/>
      <c r="R72" s="52"/>
      <c r="S72" s="52"/>
      <c r="T72" s="52"/>
      <c r="U72" s="52"/>
      <c r="V72" s="52"/>
      <c r="W72" s="52"/>
      <c r="X72" s="52"/>
      <c r="Y72" s="52"/>
      <c r="Z72" s="52"/>
    </row>
    <row r="73" spans="1:26" ht="13.5">
      <c r="A73" s="52"/>
      <c r="B73" s="1129" t="s">
        <v>1024</v>
      </c>
      <c r="C73" s="52"/>
      <c r="D73" s="52"/>
      <c r="E73" s="52"/>
      <c r="F73" s="52"/>
      <c r="G73" s="929" t="s">
        <v>900</v>
      </c>
      <c r="H73" s="52"/>
      <c r="I73" s="52"/>
      <c r="J73" s="52"/>
      <c r="K73" s="52"/>
      <c r="L73" s="52"/>
      <c r="M73" s="52"/>
      <c r="N73" s="52"/>
      <c r="O73" s="52"/>
      <c r="P73" s="52"/>
      <c r="Q73" s="972"/>
      <c r="R73" s="52"/>
      <c r="S73" s="52"/>
      <c r="T73" s="52"/>
      <c r="U73" s="52"/>
      <c r="V73" s="52"/>
      <c r="W73" s="52"/>
      <c r="X73" s="52"/>
      <c r="Y73" s="52"/>
      <c r="Z73" s="52"/>
    </row>
    <row r="74" spans="1:26" ht="13.5">
      <c r="A74" s="52"/>
      <c r="B74" s="1130"/>
      <c r="C74" s="52"/>
      <c r="D74" s="52"/>
      <c r="E74" s="52"/>
      <c r="F74" s="52"/>
      <c r="G74" s="461"/>
      <c r="H74" s="390"/>
      <c r="I74" s="390"/>
      <c r="J74" s="390"/>
      <c r="K74" s="390"/>
      <c r="L74" s="390"/>
      <c r="M74" s="390"/>
      <c r="N74" s="390"/>
      <c r="O74" s="390"/>
      <c r="P74" s="390"/>
      <c r="Q74" s="390"/>
      <c r="R74" s="533">
        <f>'X-Chart Basics'!D24</f>
        <v>42790</v>
      </c>
      <c r="S74" s="52"/>
      <c r="T74" s="52"/>
      <c r="U74" s="52"/>
      <c r="V74" s="52"/>
      <c r="W74" s="52"/>
      <c r="X74" s="52"/>
      <c r="Y74" s="52"/>
      <c r="Z74" s="52"/>
    </row>
    <row r="75" spans="1:26" ht="13.5">
      <c r="A75" s="52"/>
      <c r="B75" s="1130"/>
      <c r="C75" s="52"/>
      <c r="D75" s="52"/>
      <c r="E75" s="52"/>
      <c r="F75" s="52"/>
      <c r="G75" s="391"/>
      <c r="H75" s="1266" t="s">
        <v>554</v>
      </c>
      <c r="I75" s="1131">
        <v>2013</v>
      </c>
      <c r="J75" s="1131">
        <f t="shared" ref="J75:Q75" si="10">I75+1</f>
        <v>2014</v>
      </c>
      <c r="K75" s="1131">
        <f t="shared" si="10"/>
        <v>2015</v>
      </c>
      <c r="L75" s="1131">
        <f t="shared" si="10"/>
        <v>2016</v>
      </c>
      <c r="M75" s="1131">
        <f t="shared" si="10"/>
        <v>2017</v>
      </c>
      <c r="N75" s="1131">
        <f t="shared" si="10"/>
        <v>2018</v>
      </c>
      <c r="O75" s="1131">
        <f t="shared" si="10"/>
        <v>2019</v>
      </c>
      <c r="P75" s="1131">
        <f t="shared" si="10"/>
        <v>2020</v>
      </c>
      <c r="Q75" s="1131">
        <f t="shared" si="10"/>
        <v>2021</v>
      </c>
      <c r="R75" s="1132">
        <v>2017</v>
      </c>
      <c r="S75" s="52"/>
      <c r="T75" s="52"/>
      <c r="U75" s="52"/>
      <c r="V75" s="52"/>
      <c r="W75" s="52"/>
      <c r="X75" s="52"/>
      <c r="Y75" s="52"/>
      <c r="Z75" s="52"/>
    </row>
    <row r="76" spans="1:26">
      <c r="A76" s="52"/>
      <c r="B76" s="52"/>
      <c r="C76" s="52"/>
      <c r="D76" s="52"/>
      <c r="E76" s="52"/>
      <c r="F76" s="52"/>
      <c r="G76" s="464" t="s">
        <v>804</v>
      </c>
      <c r="H76" s="69"/>
      <c r="I76" s="465">
        <f>'18 Data for Charts'!K306/1000</f>
        <v>0</v>
      </c>
      <c r="J76" s="465">
        <f>'18 Data for Charts'!L306/1000</f>
        <v>0</v>
      </c>
      <c r="K76" s="465">
        <f>'18 Data for Charts'!M306/1000</f>
        <v>0</v>
      </c>
      <c r="L76" s="465">
        <f>'18 Data for Charts'!N306/1000</f>
        <v>0</v>
      </c>
      <c r="M76" s="465">
        <f>'18 Data for Charts'!O306/1000</f>
        <v>0</v>
      </c>
      <c r="N76" s="465">
        <f>'18 Data for Charts'!P306/1000</f>
        <v>0</v>
      </c>
      <c r="O76" s="465" t="e">
        <f>'18 Data for Charts'!#REF!/1000</f>
        <v>#REF!</v>
      </c>
      <c r="P76" s="465" t="e">
        <f>'18 Data for Charts'!#REF!/1000</f>
        <v>#REF!</v>
      </c>
      <c r="Q76" s="465" t="e">
        <f>'18 Data for Charts'!#REF!/1000</f>
        <v>#REF!</v>
      </c>
      <c r="R76" s="622">
        <v>0</v>
      </c>
      <c r="S76" s="52"/>
      <c r="T76" s="52"/>
      <c r="U76" s="52"/>
      <c r="V76" s="52"/>
      <c r="W76" s="52"/>
      <c r="X76" s="52"/>
      <c r="Y76" s="52"/>
      <c r="Z76" s="52"/>
    </row>
    <row r="77" spans="1:26">
      <c r="A77" s="52"/>
      <c r="B77" s="52"/>
      <c r="C77" s="52"/>
      <c r="D77" s="52"/>
      <c r="E77" s="52"/>
      <c r="F77" s="52"/>
      <c r="G77" s="1133" t="s">
        <v>992</v>
      </c>
      <c r="H77" s="67"/>
      <c r="I77" s="892">
        <f>'18 Data for Charts'!K284/1000</f>
        <v>0</v>
      </c>
      <c r="J77" s="892">
        <f>'18 Data for Charts'!L284/1000</f>
        <v>0</v>
      </c>
      <c r="K77" s="892">
        <f>'18 Data for Charts'!M284/1000</f>
        <v>0</v>
      </c>
      <c r="L77" s="892">
        <f>'18 Data for Charts'!N284/1000</f>
        <v>0</v>
      </c>
      <c r="M77" s="892">
        <f>'18 Data for Charts'!O284/1000</f>
        <v>0</v>
      </c>
      <c r="N77" s="892">
        <f>'18 Data for Charts'!P284/1000</f>
        <v>0</v>
      </c>
      <c r="O77" s="892" t="e">
        <f>'18 Data for Charts'!#REF!/1000</f>
        <v>#REF!</v>
      </c>
      <c r="P77" s="892" t="e">
        <f>'18 Data for Charts'!#REF!/1000</f>
        <v>#REF!</v>
      </c>
      <c r="Q77" s="892" t="e">
        <f>'18 Data for Charts'!#REF!/1000</f>
        <v>#REF!</v>
      </c>
      <c r="R77" s="1134"/>
      <c r="S77" s="52"/>
      <c r="T77" s="52"/>
      <c r="U77" s="52"/>
      <c r="V77" s="52"/>
      <c r="W77" s="52"/>
      <c r="X77" s="52"/>
      <c r="Y77" s="52"/>
      <c r="Z77" s="52"/>
    </row>
    <row r="78" spans="1:26">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c r="A79" s="52"/>
      <c r="B79" s="1135" t="s">
        <v>1023</v>
      </c>
      <c r="C79" s="1136"/>
      <c r="D79" s="1136"/>
      <c r="E79" s="1136"/>
      <c r="F79" s="69"/>
      <c r="G79" s="69"/>
      <c r="H79" s="69"/>
      <c r="I79" s="69"/>
      <c r="J79" s="69"/>
      <c r="K79" s="69"/>
      <c r="L79" s="69"/>
      <c r="M79" s="69"/>
      <c r="N79" s="69"/>
      <c r="O79" s="69"/>
      <c r="P79" s="69"/>
      <c r="Q79" s="69"/>
      <c r="R79" s="52"/>
      <c r="S79" s="267"/>
      <c r="T79" s="52"/>
      <c r="U79" s="52"/>
      <c r="V79" s="52"/>
      <c r="W79" s="52"/>
      <c r="X79" s="52"/>
      <c r="Y79" s="52"/>
      <c r="Z79" s="52"/>
    </row>
    <row r="80" spans="1:26" ht="13.5">
      <c r="A80" s="52"/>
      <c r="B80" s="1129" t="s">
        <v>1048</v>
      </c>
      <c r="C80" s="242"/>
      <c r="D80" s="242"/>
      <c r="E80" s="242"/>
      <c r="F80" s="52"/>
      <c r="G80" s="52"/>
      <c r="H80" s="52"/>
      <c r="I80" s="52"/>
      <c r="J80" s="52"/>
      <c r="K80" s="52"/>
      <c r="L80" s="52"/>
      <c r="M80" s="52"/>
      <c r="N80" s="52"/>
      <c r="O80" s="52"/>
      <c r="P80" s="52"/>
      <c r="Q80" s="52"/>
      <c r="R80" s="52"/>
      <c r="S80" s="69"/>
      <c r="T80" s="52"/>
      <c r="U80" s="52"/>
      <c r="V80" s="52"/>
      <c r="W80" s="52"/>
      <c r="X80" s="52"/>
      <c r="Y80" s="52"/>
      <c r="Z80" s="52"/>
    </row>
    <row r="81" spans="1:26" ht="13.5">
      <c r="A81" s="52"/>
      <c r="B81" s="1129" t="s">
        <v>1049</v>
      </c>
      <c r="C81" s="242"/>
      <c r="D81" s="242"/>
      <c r="E81" s="242"/>
      <c r="F81" s="52"/>
      <c r="G81" s="52"/>
      <c r="H81" s="52"/>
      <c r="I81" s="903"/>
      <c r="J81" s="52"/>
      <c r="K81" s="52"/>
      <c r="L81" s="52"/>
      <c r="M81" s="52"/>
      <c r="N81" s="52"/>
      <c r="O81" s="52"/>
      <c r="P81" s="52"/>
      <c r="Q81" s="52"/>
      <c r="R81" s="52"/>
      <c r="S81" s="69"/>
      <c r="T81" s="52"/>
      <c r="U81" s="52"/>
      <c r="V81" s="52"/>
      <c r="W81" s="52"/>
      <c r="X81" s="52"/>
      <c r="Y81" s="52"/>
      <c r="Z81" s="52"/>
    </row>
    <row r="82" spans="1:26">
      <c r="A82" s="52"/>
      <c r="B82" s="52"/>
      <c r="C82" s="52"/>
      <c r="D82" s="52"/>
      <c r="E82" s="52"/>
      <c r="F82" s="52"/>
      <c r="G82" s="52"/>
      <c r="H82" s="52"/>
      <c r="I82" s="903"/>
      <c r="J82" s="52"/>
      <c r="K82" s="52"/>
      <c r="L82" s="52"/>
      <c r="M82" s="52"/>
      <c r="N82" s="52"/>
      <c r="O82" s="52"/>
      <c r="P82" s="52"/>
      <c r="Q82" s="52"/>
      <c r="R82" s="52"/>
      <c r="S82" s="69"/>
      <c r="T82" s="52"/>
      <c r="U82" s="52"/>
      <c r="V82" s="52"/>
      <c r="W82" s="52"/>
      <c r="X82" s="52"/>
      <c r="Y82" s="52"/>
      <c r="Z82" s="52"/>
    </row>
    <row r="83" spans="1:26">
      <c r="A83" s="52"/>
      <c r="B83" s="52"/>
      <c r="C83" s="52"/>
      <c r="D83" s="52"/>
      <c r="E83" s="52"/>
      <c r="F83" s="52"/>
      <c r="G83" s="52"/>
      <c r="H83" s="52"/>
      <c r="I83" s="903"/>
      <c r="J83" s="52"/>
      <c r="K83" s="52"/>
      <c r="L83" s="52"/>
      <c r="M83" s="52"/>
      <c r="N83" s="52"/>
      <c r="O83" s="52"/>
      <c r="P83" s="52"/>
      <c r="Q83" s="52"/>
      <c r="R83" s="52"/>
      <c r="S83" s="69"/>
      <c r="T83" s="52"/>
      <c r="U83" s="52"/>
      <c r="V83" s="52"/>
      <c r="W83" s="52"/>
      <c r="X83" s="52"/>
      <c r="Y83" s="52"/>
      <c r="Z83" s="52"/>
    </row>
    <row r="84" spans="1:26">
      <c r="A84" s="52"/>
      <c r="B84" s="52"/>
      <c r="C84" s="52"/>
      <c r="D84" s="52"/>
      <c r="E84" s="52"/>
      <c r="F84" s="52"/>
      <c r="G84" s="52"/>
      <c r="H84" s="52"/>
      <c r="I84" s="903"/>
      <c r="J84" s="52"/>
      <c r="K84" s="52"/>
      <c r="L84" s="52"/>
      <c r="M84" s="52"/>
      <c r="N84" s="52"/>
      <c r="O84" s="52"/>
      <c r="P84" s="52"/>
      <c r="Q84" s="52"/>
      <c r="R84" s="52"/>
      <c r="S84" s="69"/>
      <c r="T84" s="52"/>
      <c r="U84" s="52"/>
      <c r="V84" s="52"/>
      <c r="W84" s="52"/>
      <c r="X84" s="52"/>
      <c r="Y84" s="52"/>
      <c r="Z84" s="52"/>
    </row>
    <row r="85" spans="1:26">
      <c r="A85" s="52"/>
      <c r="B85" s="52"/>
      <c r="C85" s="52"/>
      <c r="D85" s="52"/>
      <c r="E85" s="52"/>
      <c r="F85" s="52"/>
      <c r="G85" s="52"/>
      <c r="H85" s="52"/>
      <c r="I85" s="903"/>
      <c r="J85" s="52"/>
      <c r="K85" s="52"/>
      <c r="L85" s="52"/>
      <c r="M85" s="52"/>
      <c r="N85" s="52"/>
      <c r="O85" s="52"/>
      <c r="P85" s="52"/>
      <c r="Q85" s="52"/>
      <c r="R85" s="52"/>
      <c r="S85" s="69"/>
      <c r="T85" s="52"/>
      <c r="U85" s="52"/>
      <c r="V85" s="52"/>
      <c r="W85" s="52"/>
      <c r="X85" s="52"/>
      <c r="Y85" s="52"/>
      <c r="Z85" s="52"/>
    </row>
    <row r="86" spans="1:26">
      <c r="A86" s="52"/>
      <c r="B86" s="52"/>
      <c r="C86" s="52"/>
      <c r="D86" s="52"/>
      <c r="E86" s="52"/>
      <c r="F86" s="52"/>
      <c r="G86" s="52"/>
      <c r="H86" s="52"/>
      <c r="I86" s="903"/>
      <c r="J86" s="52"/>
      <c r="K86" s="52"/>
      <c r="L86" s="52"/>
      <c r="M86" s="52"/>
      <c r="N86" s="52"/>
      <c r="O86" s="52"/>
      <c r="P86" s="52"/>
      <c r="Q86" s="52"/>
      <c r="R86" s="52"/>
      <c r="S86" s="69"/>
      <c r="T86" s="52"/>
      <c r="U86" s="52"/>
      <c r="V86" s="52"/>
      <c r="W86" s="52"/>
      <c r="X86" s="52"/>
      <c r="Y86" s="52"/>
      <c r="Z86" s="52"/>
    </row>
    <row r="87" spans="1:26">
      <c r="A87" s="52"/>
      <c r="B87" s="52"/>
      <c r="C87" s="52"/>
      <c r="D87" s="52"/>
      <c r="E87" s="52"/>
      <c r="F87" s="52"/>
      <c r="G87" s="52"/>
      <c r="H87" s="52"/>
      <c r="I87" s="903"/>
      <c r="J87" s="52"/>
      <c r="K87" s="52"/>
      <c r="L87" s="52"/>
      <c r="M87" s="52"/>
      <c r="N87" s="52"/>
      <c r="O87" s="52"/>
      <c r="P87" s="52"/>
      <c r="Q87" s="52"/>
      <c r="R87" s="52"/>
      <c r="S87" s="69"/>
      <c r="T87" s="52"/>
      <c r="U87" s="52"/>
      <c r="V87" s="52"/>
      <c r="W87" s="52"/>
      <c r="X87" s="52"/>
      <c r="Y87" s="52"/>
      <c r="Z87" s="52"/>
    </row>
    <row r="88" spans="1:26">
      <c r="A88" s="52"/>
      <c r="B88" s="52"/>
      <c r="C88" s="52"/>
      <c r="D88" s="52"/>
      <c r="E88" s="52"/>
      <c r="F88" s="52"/>
      <c r="G88" s="52"/>
      <c r="H88" s="52"/>
      <c r="I88" s="903"/>
      <c r="J88" s="52"/>
      <c r="K88" s="52"/>
      <c r="L88" s="52"/>
      <c r="M88" s="52"/>
      <c r="N88" s="52"/>
      <c r="O88" s="52"/>
      <c r="P88" s="52"/>
      <c r="Q88" s="52"/>
      <c r="R88" s="52"/>
      <c r="S88" s="69"/>
      <c r="T88" s="52"/>
      <c r="U88" s="52"/>
      <c r="V88" s="52"/>
      <c r="W88" s="52"/>
      <c r="X88" s="52"/>
      <c r="Y88" s="52"/>
      <c r="Z88" s="52"/>
    </row>
    <row r="89" spans="1:26">
      <c r="A89" s="52"/>
      <c r="B89" s="52"/>
      <c r="C89" s="52"/>
      <c r="D89" s="52"/>
      <c r="E89" s="52"/>
      <c r="F89" s="52"/>
      <c r="G89" s="52"/>
      <c r="H89" s="52"/>
      <c r="I89" s="903"/>
      <c r="J89" s="52"/>
      <c r="K89" s="52"/>
      <c r="L89" s="52"/>
      <c r="M89" s="52"/>
      <c r="N89" s="52"/>
      <c r="O89" s="52"/>
      <c r="P89" s="52"/>
      <c r="Q89" s="52"/>
      <c r="R89" s="52"/>
      <c r="S89" s="69"/>
      <c r="T89" s="52"/>
      <c r="U89" s="52"/>
      <c r="V89" s="52"/>
      <c r="W89" s="52"/>
      <c r="X89" s="52"/>
      <c r="Y89" s="52"/>
      <c r="Z89" s="52"/>
    </row>
    <row r="90" spans="1:26">
      <c r="A90" s="52"/>
      <c r="B90" s="52"/>
      <c r="C90" s="52"/>
      <c r="D90" s="52"/>
      <c r="E90" s="52"/>
      <c r="F90" s="52"/>
      <c r="G90" s="52"/>
      <c r="H90" s="52"/>
      <c r="I90" s="903"/>
      <c r="J90" s="52"/>
      <c r="K90" s="52"/>
      <c r="L90" s="52"/>
      <c r="M90" s="52"/>
      <c r="N90" s="52"/>
      <c r="O90" s="52"/>
      <c r="P90" s="52"/>
      <c r="Q90" s="52"/>
      <c r="R90" s="52"/>
      <c r="S90" s="52"/>
      <c r="T90" s="52"/>
      <c r="U90" s="52"/>
      <c r="V90" s="52"/>
      <c r="W90" s="52"/>
      <c r="X90" s="52"/>
      <c r="Y90" s="52"/>
      <c r="Z90" s="52"/>
    </row>
    <row r="91" spans="1:26">
      <c r="A91" s="52"/>
      <c r="B91" s="52"/>
      <c r="C91" s="52"/>
      <c r="D91" s="52"/>
      <c r="E91" s="52"/>
      <c r="F91" s="52"/>
      <c r="G91" s="52"/>
      <c r="H91" s="52"/>
      <c r="I91" s="903"/>
      <c r="J91" s="52"/>
      <c r="K91" s="52"/>
      <c r="L91" s="52"/>
      <c r="M91" s="52"/>
      <c r="N91" s="52"/>
      <c r="O91" s="52"/>
      <c r="P91" s="52"/>
      <c r="Q91" s="972"/>
      <c r="R91" s="52"/>
      <c r="S91" s="52"/>
      <c r="T91" s="52"/>
      <c r="U91" s="52"/>
      <c r="V91" s="52"/>
      <c r="W91" s="52"/>
      <c r="X91" s="52"/>
      <c r="Y91" s="52"/>
      <c r="Z91" s="52"/>
    </row>
    <row r="92" spans="1:26">
      <c r="A92" s="52"/>
      <c r="B92" s="52"/>
      <c r="C92" s="52"/>
      <c r="D92" s="52"/>
      <c r="E92" s="52"/>
      <c r="F92" s="52"/>
      <c r="G92" s="52"/>
      <c r="H92" s="52"/>
      <c r="I92" s="903"/>
      <c r="J92" s="52"/>
      <c r="K92" s="52"/>
      <c r="L92" s="52"/>
      <c r="M92" s="52"/>
      <c r="N92" s="52"/>
      <c r="O92" s="52"/>
      <c r="P92" s="52"/>
      <c r="Q92" s="972"/>
      <c r="R92" s="52"/>
      <c r="S92" s="52"/>
      <c r="T92" s="52"/>
      <c r="U92" s="52"/>
      <c r="V92" s="52"/>
      <c r="W92" s="52"/>
      <c r="X92" s="52"/>
      <c r="Y92" s="52"/>
      <c r="Z92" s="52"/>
    </row>
    <row r="93" spans="1:26">
      <c r="A93" s="52"/>
      <c r="B93" s="52"/>
      <c r="C93" s="52"/>
      <c r="D93" s="52"/>
      <c r="E93" s="52"/>
      <c r="F93" s="52"/>
      <c r="G93" s="52"/>
      <c r="H93" s="52"/>
      <c r="I93" s="903"/>
      <c r="J93" s="52"/>
      <c r="K93" s="52"/>
      <c r="L93" s="52"/>
      <c r="M93" s="52"/>
      <c r="N93" s="52"/>
      <c r="O93" s="52"/>
      <c r="P93" s="52"/>
      <c r="Q93" s="972"/>
      <c r="R93" s="52"/>
      <c r="S93" s="52"/>
      <c r="T93" s="52"/>
      <c r="U93" s="52"/>
      <c r="V93" s="52"/>
      <c r="W93" s="52"/>
      <c r="X93" s="52"/>
      <c r="Y93" s="52"/>
      <c r="Z93" s="52"/>
    </row>
    <row r="94" spans="1:26">
      <c r="A94" s="52"/>
      <c r="B94" s="52"/>
      <c r="C94" s="52"/>
      <c r="D94" s="52"/>
      <c r="E94" s="52"/>
      <c r="F94" s="52"/>
      <c r="G94" s="52"/>
      <c r="H94" s="52"/>
      <c r="I94" s="903"/>
      <c r="J94" s="52"/>
      <c r="K94" s="52"/>
      <c r="L94" s="52"/>
      <c r="M94" s="52"/>
      <c r="N94" s="52"/>
      <c r="O94" s="52"/>
      <c r="P94" s="52"/>
      <c r="Q94" s="972"/>
      <c r="R94" s="52"/>
      <c r="S94" s="52"/>
      <c r="T94" s="52"/>
      <c r="U94" s="52"/>
      <c r="V94" s="52"/>
      <c r="W94" s="52"/>
      <c r="X94" s="52"/>
      <c r="Y94" s="52"/>
      <c r="Z94" s="52"/>
    </row>
    <row r="95" spans="1:26">
      <c r="A95" s="52"/>
      <c r="B95" s="52"/>
      <c r="C95" s="52"/>
      <c r="D95" s="52"/>
      <c r="E95" s="52"/>
      <c r="F95" s="52"/>
      <c r="G95" s="52"/>
      <c r="H95" s="52"/>
      <c r="I95" s="903"/>
      <c r="J95" s="52"/>
      <c r="K95" s="52"/>
      <c r="L95" s="52"/>
      <c r="M95" s="52"/>
      <c r="N95" s="52"/>
      <c r="O95" s="52"/>
      <c r="P95" s="52"/>
      <c r="Q95" s="972"/>
      <c r="R95" s="52"/>
      <c r="S95" s="52"/>
      <c r="T95" s="52"/>
      <c r="U95" s="52"/>
      <c r="V95" s="52"/>
      <c r="W95" s="52"/>
      <c r="X95" s="52"/>
      <c r="Y95" s="52"/>
      <c r="Z95" s="52"/>
    </row>
    <row r="96" spans="1:26">
      <c r="A96" s="52"/>
      <c r="B96" s="52"/>
      <c r="C96" s="52"/>
      <c r="D96" s="52"/>
      <c r="E96" s="52"/>
      <c r="F96" s="52"/>
      <c r="G96" s="52"/>
      <c r="H96" s="52"/>
      <c r="I96" s="903"/>
      <c r="J96" s="52"/>
      <c r="K96" s="52"/>
      <c r="L96" s="52"/>
      <c r="M96" s="52"/>
      <c r="N96" s="52"/>
      <c r="O96" s="52"/>
      <c r="P96" s="52"/>
      <c r="Q96" s="972"/>
      <c r="R96" s="52"/>
      <c r="S96" s="52"/>
      <c r="T96" s="52"/>
      <c r="U96" s="52"/>
      <c r="V96" s="52"/>
      <c r="W96" s="52"/>
      <c r="X96" s="52"/>
      <c r="Y96" s="52"/>
      <c r="Z96" s="52"/>
    </row>
    <row r="97" spans="1:26">
      <c r="A97" s="52"/>
      <c r="B97" s="52"/>
      <c r="C97" s="52"/>
      <c r="D97" s="52"/>
      <c r="E97" s="52"/>
      <c r="F97" s="52"/>
      <c r="G97" s="52"/>
      <c r="H97" s="52"/>
      <c r="I97" s="903"/>
      <c r="J97" s="52"/>
      <c r="K97" s="52"/>
      <c r="L97" s="52"/>
      <c r="M97" s="52"/>
      <c r="N97" s="52"/>
      <c r="O97" s="52"/>
      <c r="P97" s="52"/>
      <c r="Q97" s="972"/>
      <c r="R97" s="52"/>
      <c r="S97" s="52"/>
      <c r="T97" s="52"/>
      <c r="U97" s="52"/>
      <c r="V97" s="52"/>
      <c r="W97" s="52"/>
      <c r="X97" s="52"/>
      <c r="Y97" s="52"/>
      <c r="Z97" s="52"/>
    </row>
    <row r="98" spans="1:26">
      <c r="A98" s="52"/>
      <c r="B98" s="52"/>
      <c r="C98" s="52"/>
      <c r="D98" s="52"/>
      <c r="E98" s="52"/>
      <c r="F98" s="52"/>
      <c r="G98" s="52"/>
      <c r="H98" s="52"/>
      <c r="I98" s="903"/>
      <c r="J98" s="52"/>
      <c r="K98" s="52"/>
      <c r="L98" s="52"/>
      <c r="M98" s="52"/>
      <c r="N98" s="52"/>
      <c r="O98" s="52"/>
      <c r="P98" s="52"/>
      <c r="Q98" s="972"/>
      <c r="R98" s="52"/>
      <c r="S98" s="52"/>
      <c r="T98" s="52"/>
      <c r="U98" s="52"/>
      <c r="V98" s="52"/>
      <c r="W98" s="52"/>
      <c r="X98" s="52"/>
      <c r="Y98" s="52"/>
      <c r="Z98" s="52"/>
    </row>
    <row r="99" spans="1:26">
      <c r="A99" s="52"/>
      <c r="B99" s="52"/>
      <c r="C99" s="52"/>
      <c r="D99" s="52"/>
      <c r="E99" s="52"/>
      <c r="F99" s="52"/>
      <c r="G99" s="52"/>
      <c r="H99" s="52"/>
      <c r="I99" s="903"/>
      <c r="J99" s="52"/>
      <c r="K99" s="52"/>
      <c r="L99" s="52"/>
      <c r="M99" s="52"/>
      <c r="N99" s="52"/>
      <c r="O99" s="52"/>
      <c r="P99" s="52"/>
      <c r="Q99" s="972"/>
      <c r="R99" s="52"/>
      <c r="S99" s="52"/>
      <c r="T99" s="52"/>
      <c r="U99" s="52"/>
      <c r="V99" s="52"/>
      <c r="W99" s="52"/>
      <c r="X99" s="52"/>
      <c r="Y99" s="52"/>
      <c r="Z99" s="52"/>
    </row>
    <row r="100" spans="1:26">
      <c r="A100" s="52"/>
      <c r="B100" s="52"/>
      <c r="C100" s="52"/>
      <c r="D100" s="52"/>
      <c r="E100" s="52"/>
      <c r="F100" s="52"/>
      <c r="G100" s="52"/>
      <c r="H100" s="52"/>
      <c r="I100" s="903"/>
      <c r="J100" s="52"/>
      <c r="K100" s="52"/>
      <c r="L100" s="52"/>
      <c r="M100" s="52"/>
      <c r="N100" s="52"/>
      <c r="O100" s="52"/>
      <c r="P100" s="52"/>
      <c r="Q100" s="972"/>
      <c r="R100" s="52"/>
      <c r="S100" s="52"/>
      <c r="T100" s="52"/>
      <c r="U100" s="52"/>
      <c r="V100" s="52"/>
      <c r="W100" s="52"/>
      <c r="X100" s="52"/>
      <c r="Y100" s="52"/>
      <c r="Z100" s="52"/>
    </row>
    <row r="101" spans="1:26">
      <c r="A101" s="52"/>
      <c r="B101" s="52"/>
      <c r="C101" s="52"/>
      <c r="D101" s="52"/>
      <c r="E101" s="52"/>
      <c r="F101" s="52"/>
      <c r="G101" s="52"/>
      <c r="H101" s="52"/>
      <c r="I101" s="903"/>
      <c r="J101" s="52"/>
      <c r="K101" s="52"/>
      <c r="L101" s="52"/>
      <c r="M101" s="52"/>
      <c r="N101" s="52"/>
      <c r="O101" s="52"/>
      <c r="P101" s="52"/>
      <c r="Q101" s="972"/>
      <c r="R101" s="52"/>
      <c r="S101" s="52"/>
      <c r="T101" s="52"/>
      <c r="U101" s="52"/>
      <c r="V101" s="52"/>
      <c r="W101" s="52"/>
      <c r="X101" s="52"/>
      <c r="Y101" s="52"/>
      <c r="Z101" s="52"/>
    </row>
    <row r="102" spans="1:26">
      <c r="A102" s="52"/>
      <c r="B102" s="52"/>
      <c r="C102" s="52"/>
      <c r="D102" s="52"/>
      <c r="E102" s="52"/>
      <c r="F102" s="52"/>
      <c r="G102" s="52"/>
      <c r="H102" s="52"/>
      <c r="I102" s="903"/>
      <c r="J102" s="52"/>
      <c r="K102" s="52"/>
      <c r="L102" s="52"/>
      <c r="M102" s="52"/>
      <c r="N102" s="52"/>
      <c r="O102" s="52"/>
      <c r="P102" s="52"/>
      <c r="Q102" s="972"/>
      <c r="R102" s="52"/>
      <c r="S102" s="52"/>
      <c r="T102" s="52"/>
      <c r="U102" s="52"/>
      <c r="V102" s="52"/>
      <c r="W102" s="52"/>
      <c r="X102" s="52"/>
      <c r="Y102" s="52"/>
      <c r="Z102" s="52"/>
    </row>
    <row r="103" spans="1:26">
      <c r="A103" s="52"/>
      <c r="B103" s="52"/>
      <c r="C103" s="52"/>
      <c r="D103" s="52"/>
      <c r="E103" s="52"/>
      <c r="F103" s="52"/>
      <c r="G103" s="52"/>
      <c r="H103" s="52"/>
      <c r="I103" s="903"/>
      <c r="J103" s="52"/>
      <c r="K103" s="52"/>
      <c r="L103" s="52"/>
      <c r="M103" s="52"/>
      <c r="N103" s="52"/>
      <c r="O103" s="52"/>
      <c r="P103" s="52"/>
      <c r="Q103" s="972"/>
      <c r="R103" s="52"/>
      <c r="S103" s="52"/>
      <c r="T103" s="52"/>
      <c r="U103" s="52"/>
      <c r="V103" s="52"/>
      <c r="W103" s="52"/>
      <c r="X103" s="52"/>
      <c r="Y103" s="52"/>
      <c r="Z103" s="52"/>
    </row>
    <row r="104" spans="1:26">
      <c r="A104" s="52"/>
      <c r="B104" s="52"/>
      <c r="C104" s="52"/>
      <c r="D104" s="52"/>
      <c r="E104" s="52"/>
      <c r="F104" s="52"/>
      <c r="G104" s="52"/>
      <c r="H104" s="52"/>
      <c r="I104" s="903"/>
      <c r="J104" s="52"/>
      <c r="K104" s="52"/>
      <c r="L104" s="52"/>
      <c r="M104" s="52"/>
      <c r="N104" s="52"/>
      <c r="O104" s="52"/>
      <c r="P104" s="52"/>
      <c r="Q104" s="972"/>
      <c r="R104" s="52"/>
      <c r="S104" s="52"/>
      <c r="T104" s="52"/>
      <c r="U104" s="52"/>
      <c r="V104" s="52"/>
      <c r="W104" s="52"/>
      <c r="X104" s="52"/>
      <c r="Y104" s="52"/>
      <c r="Z104" s="52"/>
    </row>
    <row r="105" spans="1:26">
      <c r="A105" s="52"/>
      <c r="B105" s="52"/>
      <c r="C105" s="52"/>
      <c r="D105" s="52"/>
      <c r="E105" s="52"/>
      <c r="F105" s="52"/>
      <c r="G105" s="1137" t="s">
        <v>1050</v>
      </c>
      <c r="H105" s="903"/>
      <c r="I105" s="903"/>
      <c r="J105" s="903"/>
      <c r="K105" s="903"/>
      <c r="L105" s="903"/>
      <c r="M105" s="903"/>
      <c r="N105" s="903"/>
      <c r="O105" s="52"/>
      <c r="P105" s="52"/>
      <c r="Q105" s="972"/>
      <c r="R105" s="52"/>
      <c r="S105" s="52"/>
      <c r="T105" s="52"/>
      <c r="U105" s="52"/>
      <c r="V105" s="52"/>
      <c r="W105" s="52"/>
      <c r="X105" s="52"/>
      <c r="Y105" s="52"/>
      <c r="Z105" s="52"/>
    </row>
    <row r="106" spans="1:26" ht="13.5">
      <c r="A106" s="52"/>
      <c r="B106" s="52"/>
      <c r="C106" s="52"/>
      <c r="D106" s="52"/>
      <c r="E106" s="52"/>
      <c r="F106" s="52"/>
      <c r="G106" s="1138" t="s">
        <v>1051</v>
      </c>
      <c r="H106" s="1139">
        <v>8290</v>
      </c>
      <c r="I106" s="903"/>
      <c r="J106" s="1139">
        <v>6242</v>
      </c>
      <c r="K106" s="1140">
        <v>2048</v>
      </c>
      <c r="L106" s="1139">
        <v>762</v>
      </c>
      <c r="M106" s="1140">
        <v>1286</v>
      </c>
      <c r="N106" s="1141"/>
      <c r="O106" s="52"/>
      <c r="P106" s="52"/>
      <c r="Q106" s="972"/>
      <c r="R106" s="52"/>
      <c r="S106" s="52"/>
      <c r="T106" s="52"/>
      <c r="U106" s="52"/>
      <c r="V106" s="52"/>
      <c r="W106" s="52"/>
      <c r="X106" s="52"/>
      <c r="Y106" s="52"/>
      <c r="Z106" s="52"/>
    </row>
    <row r="107" spans="1:26" ht="13.5">
      <c r="A107" s="52"/>
      <c r="B107" s="52"/>
      <c r="C107" s="52"/>
      <c r="D107" s="52"/>
      <c r="E107" s="52"/>
      <c r="F107" s="52"/>
      <c r="G107" s="1142" t="s">
        <v>1052</v>
      </c>
      <c r="H107" s="1141"/>
      <c r="I107" s="1141"/>
      <c r="J107" s="1141"/>
      <c r="K107" s="1141"/>
      <c r="L107" s="1141"/>
      <c r="M107" s="1141"/>
      <c r="N107" s="1141"/>
      <c r="O107" s="52"/>
      <c r="P107" s="52"/>
      <c r="Q107" s="52"/>
      <c r="R107" s="52"/>
      <c r="S107" s="52"/>
      <c r="T107" s="52"/>
      <c r="U107" s="52"/>
      <c r="V107" s="52"/>
      <c r="W107" s="52"/>
      <c r="X107" s="52"/>
      <c r="Y107" s="52"/>
      <c r="Z107" s="52"/>
    </row>
    <row r="108" spans="1:26" ht="13.5">
      <c r="A108" s="52"/>
      <c r="B108" s="52"/>
      <c r="C108" s="52"/>
      <c r="D108" s="52"/>
      <c r="E108" s="52"/>
      <c r="F108" s="52"/>
      <c r="G108" s="1138" t="s">
        <v>1051</v>
      </c>
      <c r="H108" s="1139">
        <v>3006</v>
      </c>
      <c r="I108" s="903"/>
      <c r="J108" s="1139">
        <v>2263</v>
      </c>
      <c r="K108" s="1139">
        <v>742</v>
      </c>
      <c r="L108" s="1143"/>
      <c r="M108" s="1143"/>
      <c r="N108" s="1143"/>
      <c r="O108" s="52"/>
      <c r="P108" s="52"/>
      <c r="Q108" s="52"/>
      <c r="R108" s="52"/>
      <c r="S108" s="52"/>
      <c r="T108" s="52"/>
      <c r="U108" s="52"/>
      <c r="V108" s="52"/>
      <c r="W108" s="52"/>
      <c r="X108" s="52"/>
      <c r="Y108" s="52"/>
      <c r="Z108" s="52"/>
    </row>
    <row r="109" spans="1:26">
      <c r="A109" s="1144"/>
      <c r="B109" s="1135" t="s">
        <v>1023</v>
      </c>
      <c r="C109" s="1136"/>
      <c r="D109" s="1136"/>
      <c r="E109" s="1136"/>
      <c r="F109" s="69"/>
      <c r="G109" s="69"/>
      <c r="H109" s="69"/>
      <c r="I109" s="69"/>
      <c r="J109" s="69"/>
      <c r="K109" s="69"/>
      <c r="L109" s="69"/>
      <c r="M109" s="69"/>
      <c r="N109" s="69"/>
      <c r="O109" s="69"/>
      <c r="P109" s="69"/>
      <c r="Q109" s="52"/>
      <c r="R109" s="52"/>
      <c r="S109" s="52"/>
      <c r="T109" s="52"/>
      <c r="U109" s="52"/>
      <c r="V109" s="52"/>
      <c r="W109" s="52"/>
      <c r="X109" s="52"/>
      <c r="Y109" s="52"/>
      <c r="Z109" s="52"/>
    </row>
    <row r="110" spans="1:26" ht="13.5">
      <c r="A110" s="1144"/>
      <c r="B110" s="1129" t="s">
        <v>1048</v>
      </c>
      <c r="C110" s="69"/>
      <c r="D110" s="69"/>
      <c r="E110" s="69"/>
      <c r="F110" s="69"/>
      <c r="G110" s="69"/>
      <c r="H110" s="69"/>
      <c r="I110" s="69"/>
      <c r="J110" s="69"/>
      <c r="K110" s="69"/>
      <c r="L110" s="69"/>
      <c r="M110" s="69"/>
      <c r="N110" s="903"/>
      <c r="O110" s="69"/>
      <c r="P110" s="69"/>
      <c r="Q110" s="52"/>
      <c r="R110" s="52"/>
      <c r="S110" s="52"/>
      <c r="T110" s="52"/>
      <c r="U110" s="52"/>
      <c r="V110" s="52"/>
      <c r="W110" s="52"/>
      <c r="X110" s="52"/>
      <c r="Y110" s="52"/>
      <c r="Z110" s="52"/>
    </row>
    <row r="111" spans="1:26" ht="13.5">
      <c r="A111" s="1144"/>
      <c r="B111" s="1129" t="s">
        <v>1049</v>
      </c>
      <c r="C111" s="69"/>
      <c r="D111" s="69"/>
      <c r="E111" s="69"/>
      <c r="F111" s="69"/>
      <c r="G111" s="69"/>
      <c r="H111" s="69"/>
      <c r="I111" s="69"/>
      <c r="J111" s="69"/>
      <c r="K111" s="69"/>
      <c r="L111" s="69"/>
      <c r="M111" s="69"/>
      <c r="N111" s="903"/>
      <c r="O111" s="69"/>
      <c r="P111" s="69"/>
      <c r="Q111" s="52"/>
      <c r="R111" s="52"/>
      <c r="S111" s="52"/>
      <c r="T111" s="52"/>
      <c r="U111" s="52"/>
      <c r="V111" s="52"/>
      <c r="W111" s="52"/>
      <c r="X111" s="52"/>
      <c r="Y111" s="52"/>
      <c r="Z111" s="52"/>
    </row>
    <row r="112" spans="1:26">
      <c r="A112" s="1144"/>
      <c r="B112" s="1144"/>
      <c r="C112" s="69"/>
      <c r="D112" s="69"/>
      <c r="E112" s="69"/>
      <c r="F112" s="69"/>
      <c r="G112" s="69"/>
      <c r="H112" s="69"/>
      <c r="I112" s="69"/>
      <c r="J112" s="69"/>
      <c r="K112" s="69"/>
      <c r="L112" s="69"/>
      <c r="M112" s="69"/>
      <c r="N112" s="903"/>
      <c r="O112" s="69"/>
      <c r="P112" s="69"/>
      <c r="Q112" s="52"/>
      <c r="R112" s="52"/>
      <c r="S112" s="52"/>
      <c r="T112" s="52"/>
      <c r="U112" s="52"/>
      <c r="V112" s="52"/>
      <c r="W112" s="52"/>
      <c r="X112" s="52"/>
      <c r="Y112" s="52"/>
      <c r="Z112" s="52"/>
    </row>
    <row r="113" spans="1:26">
      <c r="A113" s="1144"/>
      <c r="B113" s="1144"/>
      <c r="C113" s="69"/>
      <c r="D113" s="69"/>
      <c r="E113" s="69"/>
      <c r="F113" s="69"/>
      <c r="G113" s="69"/>
      <c r="H113" s="69"/>
      <c r="I113" s="69"/>
      <c r="J113" s="69"/>
      <c r="K113" s="69"/>
      <c r="L113" s="69"/>
      <c r="M113" s="69"/>
      <c r="N113" s="903"/>
      <c r="O113" s="69"/>
      <c r="P113" s="69"/>
      <c r="Q113" s="52"/>
      <c r="R113" s="52"/>
      <c r="S113" s="52"/>
      <c r="T113" s="52"/>
      <c r="U113" s="52"/>
      <c r="V113" s="52"/>
      <c r="W113" s="52"/>
      <c r="X113" s="52"/>
      <c r="Y113" s="52"/>
      <c r="Z113" s="52"/>
    </row>
    <row r="114" spans="1:26">
      <c r="A114" s="1144"/>
      <c r="B114" s="1144"/>
      <c r="C114" s="69"/>
      <c r="D114" s="69"/>
      <c r="E114" s="69"/>
      <c r="F114" s="69"/>
      <c r="G114" s="69"/>
      <c r="H114" s="69"/>
      <c r="I114" s="69"/>
      <c r="J114" s="69"/>
      <c r="K114" s="69"/>
      <c r="L114" s="69"/>
      <c r="M114" s="69"/>
      <c r="N114" s="903"/>
      <c r="O114" s="69"/>
      <c r="P114" s="69"/>
      <c r="Q114" s="52"/>
      <c r="R114" s="52"/>
      <c r="S114" s="52"/>
      <c r="T114" s="52"/>
      <c r="U114" s="52"/>
      <c r="V114" s="52"/>
      <c r="W114" s="52"/>
      <c r="X114" s="52"/>
      <c r="Y114" s="52"/>
      <c r="Z114" s="52"/>
    </row>
    <row r="115" spans="1:26">
      <c r="A115" s="1144"/>
      <c r="B115" s="1144"/>
      <c r="C115" s="69"/>
      <c r="D115" s="69"/>
      <c r="E115" s="69"/>
      <c r="F115" s="69"/>
      <c r="G115" s="69"/>
      <c r="H115" s="69"/>
      <c r="I115" s="69"/>
      <c r="J115" s="69"/>
      <c r="K115" s="69"/>
      <c r="L115" s="69"/>
      <c r="M115" s="69"/>
      <c r="N115" s="903"/>
      <c r="O115" s="69"/>
      <c r="P115" s="69"/>
      <c r="Q115" s="52"/>
      <c r="R115" s="52"/>
      <c r="S115" s="52"/>
      <c r="T115" s="52"/>
      <c r="U115" s="52"/>
      <c r="V115" s="52"/>
      <c r="W115" s="52"/>
      <c r="X115" s="52"/>
      <c r="Y115" s="52"/>
      <c r="Z115" s="52"/>
    </row>
    <row r="116" spans="1:26">
      <c r="A116" s="1144"/>
      <c r="B116" s="1144"/>
      <c r="C116" s="69"/>
      <c r="D116" s="69"/>
      <c r="E116" s="69"/>
      <c r="F116" s="69"/>
      <c r="G116" s="69"/>
      <c r="H116" s="69"/>
      <c r="I116" s="69"/>
      <c r="J116" s="69"/>
      <c r="K116" s="69"/>
      <c r="L116" s="69"/>
      <c r="M116" s="69"/>
      <c r="N116" s="903"/>
      <c r="O116" s="69"/>
      <c r="P116" s="69"/>
      <c r="Q116" s="52"/>
      <c r="R116" s="52"/>
      <c r="S116" s="52"/>
      <c r="T116" s="52"/>
      <c r="U116" s="52"/>
      <c r="V116" s="52"/>
      <c r="W116" s="52"/>
      <c r="X116" s="52"/>
      <c r="Y116" s="52"/>
      <c r="Z116" s="52"/>
    </row>
    <row r="117" spans="1:26">
      <c r="A117" s="1144"/>
      <c r="B117" s="1144"/>
      <c r="C117" s="69"/>
      <c r="D117" s="69"/>
      <c r="E117" s="69"/>
      <c r="F117" s="69"/>
      <c r="G117" s="69"/>
      <c r="H117" s="69"/>
      <c r="I117" s="69"/>
      <c r="J117" s="69"/>
      <c r="K117" s="69"/>
      <c r="L117" s="69"/>
      <c r="M117" s="69"/>
      <c r="N117" s="903"/>
      <c r="O117" s="69"/>
      <c r="P117" s="69"/>
      <c r="Q117" s="52"/>
      <c r="R117" s="52"/>
      <c r="S117" s="52"/>
      <c r="T117" s="52"/>
      <c r="U117" s="52"/>
      <c r="V117" s="52"/>
      <c r="W117" s="52"/>
      <c r="X117" s="52"/>
      <c r="Y117" s="52"/>
      <c r="Z117" s="52"/>
    </row>
    <row r="118" spans="1:26">
      <c r="A118" s="1144"/>
      <c r="B118" s="1144"/>
      <c r="C118" s="69"/>
      <c r="D118" s="69"/>
      <c r="E118" s="69"/>
      <c r="F118" s="69"/>
      <c r="G118" s="69"/>
      <c r="H118" s="69"/>
      <c r="I118" s="69"/>
      <c r="J118" s="69"/>
      <c r="K118" s="69"/>
      <c r="L118" s="69"/>
      <c r="M118" s="69"/>
      <c r="N118" s="903"/>
      <c r="O118" s="69"/>
      <c r="P118" s="69"/>
      <c r="Q118" s="52"/>
      <c r="R118" s="52"/>
      <c r="S118" s="52"/>
      <c r="T118" s="52"/>
      <c r="U118" s="52"/>
      <c r="V118" s="52"/>
      <c r="W118" s="52"/>
      <c r="X118" s="52"/>
      <c r="Y118" s="52"/>
      <c r="Z118" s="52"/>
    </row>
    <row r="119" spans="1:26">
      <c r="A119" s="1144"/>
      <c r="B119" s="1144"/>
      <c r="C119" s="69"/>
      <c r="D119" s="69"/>
      <c r="E119" s="69"/>
      <c r="F119" s="69"/>
      <c r="G119" s="69"/>
      <c r="H119" s="69"/>
      <c r="I119" s="69"/>
      <c r="J119" s="69"/>
      <c r="K119" s="69"/>
      <c r="L119" s="69"/>
      <c r="M119" s="69"/>
      <c r="N119" s="903"/>
      <c r="O119" s="69"/>
      <c r="P119" s="69"/>
      <c r="Q119" s="52"/>
      <c r="R119" s="52"/>
      <c r="S119" s="52"/>
      <c r="T119" s="52"/>
      <c r="U119" s="52"/>
      <c r="V119" s="52"/>
      <c r="W119" s="52"/>
      <c r="X119" s="52"/>
      <c r="Y119" s="52"/>
      <c r="Z119" s="52"/>
    </row>
    <row r="120" spans="1:26">
      <c r="A120" s="1144"/>
      <c r="B120" s="1144"/>
      <c r="C120" s="69"/>
      <c r="D120" s="69"/>
      <c r="E120" s="69"/>
      <c r="F120" s="69"/>
      <c r="G120" s="69"/>
      <c r="H120" s="69"/>
      <c r="I120" s="69"/>
      <c r="J120" s="69"/>
      <c r="K120" s="69"/>
      <c r="L120" s="69"/>
      <c r="M120" s="69"/>
      <c r="N120" s="903"/>
      <c r="O120" s="69"/>
      <c r="P120" s="69"/>
      <c r="Q120" s="52"/>
      <c r="R120" s="52"/>
      <c r="S120" s="52"/>
      <c r="T120" s="52"/>
      <c r="U120" s="52"/>
      <c r="V120" s="52"/>
      <c r="W120" s="52"/>
      <c r="X120" s="52"/>
      <c r="Y120" s="52"/>
      <c r="Z120" s="52"/>
    </row>
    <row r="121" spans="1:26">
      <c r="A121" s="1144"/>
      <c r="B121" s="1144"/>
      <c r="C121" s="69"/>
      <c r="D121" s="69"/>
      <c r="E121" s="69"/>
      <c r="F121" s="69"/>
      <c r="G121" s="69"/>
      <c r="H121" s="69"/>
      <c r="I121" s="69"/>
      <c r="J121" s="69"/>
      <c r="K121" s="69"/>
      <c r="L121" s="69"/>
      <c r="M121" s="69"/>
      <c r="N121" s="903"/>
      <c r="O121" s="69"/>
      <c r="P121" s="69"/>
      <c r="Q121" s="52"/>
      <c r="R121" s="52"/>
      <c r="S121" s="52"/>
      <c r="T121" s="52"/>
      <c r="U121" s="52"/>
      <c r="V121" s="52"/>
      <c r="W121" s="52"/>
      <c r="X121" s="52"/>
      <c r="Y121" s="52"/>
      <c r="Z121" s="52"/>
    </row>
    <row r="122" spans="1:26">
      <c r="A122" s="1144"/>
      <c r="B122" s="1144"/>
      <c r="C122" s="69"/>
      <c r="D122" s="69"/>
      <c r="E122" s="69"/>
      <c r="F122" s="69"/>
      <c r="G122" s="69"/>
      <c r="H122" s="69"/>
      <c r="I122" s="69"/>
      <c r="J122" s="69"/>
      <c r="K122" s="69"/>
      <c r="L122" s="69"/>
      <c r="M122" s="69"/>
      <c r="N122" s="903"/>
      <c r="O122" s="69"/>
      <c r="P122" s="69"/>
      <c r="Q122" s="52"/>
      <c r="R122" s="52"/>
      <c r="S122" s="52"/>
      <c r="T122" s="52"/>
      <c r="U122" s="52"/>
      <c r="V122" s="52"/>
      <c r="W122" s="52"/>
      <c r="X122" s="52"/>
      <c r="Y122" s="52"/>
      <c r="Z122" s="52"/>
    </row>
    <row r="123" spans="1:26">
      <c r="A123" s="1144"/>
      <c r="B123" s="1144"/>
      <c r="C123" s="69"/>
      <c r="D123" s="69"/>
      <c r="E123" s="69"/>
      <c r="F123" s="69"/>
      <c r="G123" s="69"/>
      <c r="H123" s="69"/>
      <c r="I123" s="69"/>
      <c r="J123" s="69"/>
      <c r="K123" s="69"/>
      <c r="L123" s="69"/>
      <c r="M123" s="69"/>
      <c r="N123" s="903"/>
      <c r="O123" s="69"/>
      <c r="P123" s="69"/>
      <c r="Q123" s="52"/>
      <c r="R123" s="52"/>
      <c r="S123" s="52"/>
      <c r="T123" s="52"/>
      <c r="U123" s="52"/>
      <c r="V123" s="52"/>
      <c r="W123" s="52"/>
      <c r="X123" s="52"/>
      <c r="Y123" s="52"/>
      <c r="Z123" s="52"/>
    </row>
    <row r="124" spans="1:26">
      <c r="A124" s="1144"/>
      <c r="B124" s="1144"/>
      <c r="C124" s="69"/>
      <c r="D124" s="69"/>
      <c r="E124" s="69"/>
      <c r="F124" s="69"/>
      <c r="G124" s="69"/>
      <c r="H124" s="69"/>
      <c r="I124" s="69"/>
      <c r="J124" s="69"/>
      <c r="K124" s="69"/>
      <c r="L124" s="69"/>
      <c r="M124" s="69"/>
      <c r="N124" s="903"/>
      <c r="O124" s="69"/>
      <c r="P124" s="69"/>
      <c r="Q124" s="52"/>
      <c r="R124" s="52"/>
      <c r="S124" s="52"/>
      <c r="T124" s="52"/>
      <c r="U124" s="52"/>
      <c r="V124" s="52"/>
      <c r="W124" s="52"/>
      <c r="X124" s="52"/>
      <c r="Y124" s="52"/>
      <c r="Z124" s="52"/>
    </row>
    <row r="125" spans="1:26">
      <c r="A125" s="1144"/>
      <c r="B125" s="1144"/>
      <c r="C125" s="69"/>
      <c r="D125" s="69"/>
      <c r="E125" s="69"/>
      <c r="F125" s="69"/>
      <c r="G125" s="69"/>
      <c r="H125" s="69"/>
      <c r="I125" s="69"/>
      <c r="J125" s="69"/>
      <c r="K125" s="69"/>
      <c r="L125" s="69"/>
      <c r="M125" s="69"/>
      <c r="N125" s="903"/>
      <c r="O125" s="69"/>
      <c r="P125" s="69"/>
      <c r="Q125" s="52"/>
      <c r="R125" s="52"/>
      <c r="S125" s="52"/>
      <c r="T125" s="52"/>
      <c r="U125" s="52"/>
      <c r="V125" s="52"/>
      <c r="W125" s="52"/>
      <c r="X125" s="52"/>
      <c r="Y125" s="52"/>
      <c r="Z125" s="52"/>
    </row>
    <row r="126" spans="1:26">
      <c r="A126" s="1144"/>
      <c r="B126" s="1144"/>
      <c r="C126" s="69"/>
      <c r="D126" s="69"/>
      <c r="E126" s="69"/>
      <c r="F126" s="69"/>
      <c r="G126" s="69"/>
      <c r="H126" s="69"/>
      <c r="I126" s="69"/>
      <c r="J126" s="69"/>
      <c r="K126" s="69"/>
      <c r="L126" s="69"/>
      <c r="M126" s="69"/>
      <c r="N126" s="903"/>
      <c r="O126" s="69"/>
      <c r="P126" s="69"/>
      <c r="Q126" s="52"/>
      <c r="R126" s="52"/>
      <c r="S126" s="52"/>
      <c r="T126" s="52"/>
      <c r="U126" s="52"/>
      <c r="V126" s="52"/>
      <c r="W126" s="52"/>
      <c r="X126" s="52"/>
      <c r="Y126" s="52"/>
      <c r="Z126" s="52"/>
    </row>
    <row r="127" spans="1:26">
      <c r="A127" s="1144"/>
      <c r="B127" s="1144"/>
      <c r="C127" s="69"/>
      <c r="D127" s="69"/>
      <c r="E127" s="69"/>
      <c r="F127" s="69"/>
      <c r="G127" s="69"/>
      <c r="H127" s="69"/>
      <c r="I127" s="69"/>
      <c r="J127" s="69"/>
      <c r="K127" s="69"/>
      <c r="L127" s="69"/>
      <c r="M127" s="69"/>
      <c r="N127" s="903"/>
      <c r="O127" s="69"/>
      <c r="P127" s="69"/>
      <c r="Q127" s="52"/>
      <c r="R127" s="52"/>
      <c r="S127" s="52"/>
      <c r="T127" s="52"/>
      <c r="U127" s="52"/>
      <c r="V127" s="52"/>
      <c r="W127" s="52"/>
      <c r="X127" s="52"/>
      <c r="Y127" s="52"/>
      <c r="Z127" s="52"/>
    </row>
    <row r="128" spans="1:26">
      <c r="A128" s="1144"/>
      <c r="B128" s="1144"/>
      <c r="C128" s="69"/>
      <c r="D128" s="69"/>
      <c r="E128" s="69"/>
      <c r="F128" s="69"/>
      <c r="G128" s="69"/>
      <c r="H128" s="69"/>
      <c r="I128" s="69"/>
      <c r="J128" s="69"/>
      <c r="K128" s="69"/>
      <c r="L128" s="69"/>
      <c r="M128" s="69"/>
      <c r="N128" s="903"/>
      <c r="O128" s="69"/>
      <c r="P128" s="69"/>
      <c r="Q128" s="52"/>
      <c r="R128" s="52"/>
      <c r="S128" s="52"/>
      <c r="T128" s="52"/>
      <c r="U128" s="52"/>
      <c r="V128" s="52"/>
      <c r="W128" s="52"/>
      <c r="X128" s="52"/>
      <c r="Y128" s="52"/>
      <c r="Z128" s="52"/>
    </row>
    <row r="129" spans="1:26">
      <c r="A129" s="1144"/>
      <c r="B129" s="1144"/>
      <c r="C129" s="69"/>
      <c r="D129" s="69"/>
      <c r="E129" s="69"/>
      <c r="F129" s="69"/>
      <c r="G129" s="69"/>
      <c r="H129" s="69"/>
      <c r="I129" s="69"/>
      <c r="J129" s="69"/>
      <c r="K129" s="69"/>
      <c r="L129" s="69"/>
      <c r="M129" s="69"/>
      <c r="N129" s="903"/>
      <c r="O129" s="69"/>
      <c r="P129" s="69"/>
      <c r="Q129" s="52"/>
      <c r="R129" s="52"/>
      <c r="S129" s="52"/>
      <c r="T129" s="52"/>
      <c r="U129" s="52"/>
      <c r="V129" s="52"/>
      <c r="W129" s="52"/>
      <c r="X129" s="52"/>
      <c r="Y129" s="52"/>
      <c r="Z129" s="52"/>
    </row>
    <row r="130" spans="1:26">
      <c r="A130" s="1144"/>
      <c r="B130" s="1144"/>
      <c r="C130" s="69"/>
      <c r="D130" s="69"/>
      <c r="E130" s="69"/>
      <c r="F130" s="69"/>
      <c r="G130" s="69"/>
      <c r="H130" s="69"/>
      <c r="I130" s="69"/>
      <c r="J130" s="69"/>
      <c r="K130" s="69"/>
      <c r="L130" s="69"/>
      <c r="M130" s="69"/>
      <c r="N130" s="903"/>
      <c r="O130" s="69"/>
      <c r="P130" s="69"/>
      <c r="Q130" s="52"/>
      <c r="R130" s="52"/>
      <c r="S130" s="52"/>
      <c r="T130" s="52"/>
      <c r="U130" s="52"/>
      <c r="V130" s="52"/>
      <c r="W130" s="52"/>
      <c r="X130" s="52"/>
      <c r="Y130" s="52"/>
      <c r="Z130" s="52"/>
    </row>
    <row r="131" spans="1:26">
      <c r="A131" s="1144"/>
      <c r="B131" s="1144"/>
      <c r="C131" s="69"/>
      <c r="D131" s="69"/>
      <c r="E131" s="69"/>
      <c r="F131" s="69"/>
      <c r="G131" s="69"/>
      <c r="H131" s="69"/>
      <c r="I131" s="69"/>
      <c r="J131" s="69"/>
      <c r="K131" s="69"/>
      <c r="L131" s="69"/>
      <c r="M131" s="69"/>
      <c r="N131" s="903"/>
      <c r="O131" s="69"/>
      <c r="P131" s="69"/>
      <c r="Q131" s="52"/>
      <c r="R131" s="52"/>
      <c r="S131" s="52"/>
      <c r="T131" s="52"/>
      <c r="U131" s="52"/>
      <c r="V131" s="52"/>
      <c r="W131" s="52"/>
      <c r="X131" s="52"/>
      <c r="Y131" s="52"/>
      <c r="Z131" s="52"/>
    </row>
    <row r="132" spans="1:26">
      <c r="A132" s="1144"/>
      <c r="B132" s="1144"/>
      <c r="C132" s="69"/>
      <c r="D132" s="69"/>
      <c r="E132" s="69"/>
      <c r="F132" s="69"/>
      <c r="G132" s="69"/>
      <c r="H132" s="69"/>
      <c r="I132" s="69"/>
      <c r="J132" s="69"/>
      <c r="K132" s="69"/>
      <c r="L132" s="69"/>
      <c r="M132" s="69"/>
      <c r="N132" s="903"/>
      <c r="O132" s="69"/>
      <c r="P132" s="69"/>
      <c r="Q132" s="52"/>
      <c r="R132" s="52"/>
      <c r="S132" s="52"/>
      <c r="T132" s="52"/>
      <c r="U132" s="52"/>
      <c r="V132" s="52"/>
      <c r="W132" s="52"/>
      <c r="X132" s="52"/>
      <c r="Y132" s="52"/>
      <c r="Z132" s="52"/>
    </row>
    <row r="133" spans="1:26">
      <c r="A133" s="1144"/>
      <c r="B133" s="1144"/>
      <c r="C133" s="69"/>
      <c r="D133" s="69"/>
      <c r="E133" s="69"/>
      <c r="F133" s="69"/>
      <c r="G133" s="69"/>
      <c r="H133" s="69"/>
      <c r="I133" s="69"/>
      <c r="J133" s="69"/>
      <c r="K133" s="69"/>
      <c r="L133" s="69"/>
      <c r="M133" s="69"/>
      <c r="N133" s="903"/>
      <c r="O133" s="69"/>
      <c r="P133" s="69"/>
      <c r="Q133" s="52"/>
      <c r="R133" s="52"/>
      <c r="S133" s="52"/>
      <c r="T133" s="52"/>
      <c r="U133" s="52"/>
      <c r="V133" s="52"/>
      <c r="W133" s="52"/>
      <c r="X133" s="52"/>
      <c r="Y133" s="52"/>
      <c r="Z133" s="52"/>
    </row>
    <row r="134" spans="1:26">
      <c r="A134" s="52"/>
      <c r="B134" s="52"/>
      <c r="C134" s="52"/>
      <c r="D134" s="52"/>
      <c r="E134" s="52"/>
      <c r="F134" s="52"/>
      <c r="G134" s="52"/>
      <c r="H134" s="52"/>
      <c r="I134" s="52"/>
      <c r="J134" s="52"/>
      <c r="K134" s="52"/>
      <c r="L134" s="52"/>
      <c r="M134" s="52"/>
      <c r="N134" s="242"/>
      <c r="O134" s="52"/>
      <c r="P134" s="52"/>
      <c r="Q134" s="52"/>
      <c r="R134" s="52"/>
      <c r="S134" s="52"/>
      <c r="T134" s="52"/>
      <c r="U134" s="52"/>
      <c r="V134" s="52"/>
      <c r="W134" s="52"/>
      <c r="X134" s="52"/>
      <c r="Y134" s="52"/>
      <c r="Z134" s="52"/>
    </row>
    <row r="135" spans="1:26">
      <c r="A135" s="52"/>
      <c r="B135" s="52"/>
      <c r="C135" s="52"/>
      <c r="D135" s="52"/>
      <c r="E135" s="52"/>
      <c r="F135" s="52"/>
      <c r="G135" s="1137" t="s">
        <v>1050</v>
      </c>
      <c r="H135" s="903"/>
      <c r="I135" s="903"/>
      <c r="J135" s="903"/>
      <c r="K135" s="903"/>
      <c r="L135" s="903"/>
      <c r="M135" s="903"/>
      <c r="N135" s="903"/>
      <c r="O135" s="52"/>
      <c r="P135" s="52"/>
      <c r="Q135" s="52"/>
      <c r="R135" s="52"/>
      <c r="S135" s="52"/>
      <c r="T135" s="52"/>
      <c r="U135" s="52"/>
      <c r="V135" s="52"/>
      <c r="W135" s="52"/>
      <c r="X135" s="52"/>
      <c r="Y135" s="52"/>
      <c r="Z135" s="52"/>
    </row>
    <row r="136" spans="1:26" ht="13.5">
      <c r="A136" s="52"/>
      <c r="B136" s="52"/>
      <c r="C136" s="52"/>
      <c r="D136" s="52"/>
      <c r="E136" s="52"/>
      <c r="F136" s="52"/>
      <c r="G136" s="1138" t="s">
        <v>1051</v>
      </c>
      <c r="H136" s="1145">
        <v>9009</v>
      </c>
      <c r="I136" s="1141"/>
      <c r="J136" s="1140">
        <v>3582</v>
      </c>
      <c r="K136" s="1146">
        <v>5427</v>
      </c>
      <c r="L136" s="1140">
        <v>5082</v>
      </c>
      <c r="M136" s="1140">
        <v>345</v>
      </c>
      <c r="N136" s="903"/>
      <c r="O136" s="52"/>
      <c r="P136" s="52"/>
      <c r="Q136" s="52"/>
      <c r="R136" s="52"/>
      <c r="S136" s="52"/>
      <c r="T136" s="52"/>
      <c r="U136" s="52"/>
      <c r="V136" s="52"/>
      <c r="W136" s="52"/>
      <c r="X136" s="52"/>
      <c r="Y136" s="52"/>
      <c r="Z136" s="52"/>
    </row>
    <row r="137" spans="1:26" ht="13.5">
      <c r="A137" s="52"/>
      <c r="B137" s="52"/>
      <c r="C137" s="52"/>
      <c r="D137" s="52"/>
      <c r="E137" s="52"/>
      <c r="F137" s="52"/>
      <c r="G137" s="1142" t="s">
        <v>1052</v>
      </c>
      <c r="H137" s="1141"/>
      <c r="I137" s="1141"/>
      <c r="J137" s="1141"/>
      <c r="K137" s="1141"/>
      <c r="L137" s="1141"/>
      <c r="M137" s="1141"/>
      <c r="N137" s="903"/>
      <c r="O137" s="52"/>
      <c r="P137" s="52"/>
      <c r="Q137" s="52"/>
      <c r="R137" s="52"/>
      <c r="S137" s="52"/>
      <c r="T137" s="52"/>
      <c r="U137" s="52"/>
      <c r="V137" s="52"/>
      <c r="W137" s="52"/>
      <c r="X137" s="52"/>
      <c r="Y137" s="52"/>
      <c r="Z137" s="52"/>
    </row>
    <row r="138" spans="1:26" ht="13.5">
      <c r="A138" s="52"/>
      <c r="B138" s="52"/>
      <c r="C138" s="52"/>
      <c r="D138" s="52"/>
      <c r="E138" s="52"/>
      <c r="F138" s="52"/>
      <c r="G138" s="1138" t="s">
        <v>1051</v>
      </c>
      <c r="H138" s="1145">
        <v>4721</v>
      </c>
      <c r="I138" s="1141"/>
      <c r="J138" s="1145">
        <v>1877</v>
      </c>
      <c r="K138" s="1145">
        <v>2844</v>
      </c>
      <c r="L138" s="1143"/>
      <c r="M138" s="1143"/>
      <c r="N138" s="1147"/>
      <c r="O138" s="52"/>
      <c r="P138" s="52"/>
      <c r="Q138" s="52"/>
      <c r="R138" s="52"/>
      <c r="S138" s="52"/>
      <c r="T138" s="52"/>
      <c r="U138" s="52"/>
      <c r="V138" s="52"/>
      <c r="W138" s="52"/>
      <c r="X138" s="52"/>
      <c r="Y138" s="52"/>
      <c r="Z138" s="52"/>
    </row>
    <row r="139" spans="1:26" ht="13.5">
      <c r="A139" s="52"/>
      <c r="B139" s="52"/>
      <c r="C139" s="52"/>
      <c r="D139" s="52"/>
      <c r="E139" s="52"/>
      <c r="F139" s="52"/>
      <c r="G139" s="1148"/>
      <c r="H139" s="1149"/>
      <c r="I139" s="421"/>
      <c r="J139" s="1149"/>
      <c r="K139" s="1149"/>
      <c r="L139" s="1150"/>
      <c r="M139" s="1150"/>
      <c r="N139" s="73"/>
      <c r="O139" s="52"/>
      <c r="P139" s="52"/>
      <c r="Q139" s="52"/>
      <c r="R139" s="52"/>
      <c r="S139" s="52"/>
      <c r="T139" s="52"/>
      <c r="U139" s="52"/>
      <c r="V139" s="52"/>
      <c r="W139" s="52"/>
      <c r="X139" s="52"/>
      <c r="Y139" s="52"/>
      <c r="Z139" s="52"/>
    </row>
    <row r="140" spans="1:26">
      <c r="A140" s="52"/>
      <c r="B140" s="52"/>
      <c r="C140" s="52"/>
      <c r="D140" s="52"/>
      <c r="E140" s="52"/>
      <c r="F140" s="52"/>
      <c r="G140" s="929" t="s">
        <v>900</v>
      </c>
      <c r="H140" s="52"/>
      <c r="I140" s="52"/>
      <c r="J140" s="52"/>
      <c r="K140" s="52"/>
      <c r="L140" s="52"/>
      <c r="M140" s="52"/>
      <c r="N140" s="52"/>
      <c r="O140" s="52"/>
      <c r="P140" s="52"/>
      <c r="Q140" s="52"/>
      <c r="R140" s="52"/>
      <c r="S140" s="52"/>
      <c r="T140" s="52"/>
      <c r="U140" s="52"/>
      <c r="V140" s="52"/>
      <c r="W140" s="52"/>
      <c r="X140" s="52"/>
      <c r="Y140" s="52"/>
      <c r="Z140" s="52"/>
    </row>
    <row r="141" spans="1:26">
      <c r="A141" s="52"/>
      <c r="B141" s="52"/>
      <c r="C141" s="52"/>
      <c r="D141" s="52"/>
      <c r="E141" s="52"/>
      <c r="F141" s="52"/>
      <c r="G141" s="1151" t="s">
        <v>804</v>
      </c>
      <c r="H141" s="1152"/>
      <c r="I141" s="1153" t="s">
        <v>723</v>
      </c>
      <c r="J141" s="1154" t="s">
        <v>608</v>
      </c>
      <c r="K141" s="1154" t="s">
        <v>754</v>
      </c>
      <c r="L141" s="1154" t="s">
        <v>771</v>
      </c>
      <c r="M141" s="1154" t="s">
        <v>770</v>
      </c>
      <c r="N141" s="52"/>
      <c r="O141" s="52"/>
      <c r="P141" s="52"/>
      <c r="Q141" s="52"/>
      <c r="R141" s="52"/>
      <c r="S141" s="52"/>
      <c r="T141" s="52"/>
      <c r="U141" s="52"/>
      <c r="V141" s="52"/>
      <c r="W141" s="52"/>
      <c r="X141" s="52"/>
      <c r="Y141" s="52"/>
      <c r="Z141" s="52"/>
    </row>
    <row r="142" spans="1:26">
      <c r="A142" s="52"/>
      <c r="B142" s="52"/>
      <c r="C142" s="52"/>
      <c r="D142" s="52"/>
      <c r="E142" s="52"/>
      <c r="F142" s="52"/>
      <c r="G142" s="1151"/>
      <c r="H142" s="1151"/>
      <c r="I142" s="1155">
        <f>'15b-Charts Comp'!M435</f>
        <v>1</v>
      </c>
      <c r="J142" s="396">
        <f>J106/$H$106</f>
        <v>0.75295536791314832</v>
      </c>
      <c r="K142" s="396">
        <f>K106/$H$106</f>
        <v>0.24704463208685162</v>
      </c>
      <c r="L142" s="396">
        <f>L106/$H$106</f>
        <v>9.1917973462002409E-2</v>
      </c>
      <c r="M142" s="396">
        <f>M106/$H$106</f>
        <v>0.15512665862484923</v>
      </c>
      <c r="N142" s="52"/>
      <c r="O142" s="52"/>
      <c r="P142" s="52"/>
      <c r="Q142" s="52"/>
      <c r="R142" s="52"/>
      <c r="S142" s="52"/>
      <c r="T142" s="52"/>
      <c r="U142" s="52"/>
      <c r="V142" s="52"/>
      <c r="W142" s="52"/>
      <c r="X142" s="52"/>
      <c r="Y142" s="52"/>
      <c r="Z142" s="52"/>
    </row>
    <row r="143" spans="1:26">
      <c r="A143" s="52"/>
      <c r="B143" s="52"/>
      <c r="C143" s="52"/>
      <c r="D143" s="52"/>
      <c r="E143" s="52"/>
      <c r="F143" s="52"/>
      <c r="G143" s="1151"/>
      <c r="H143" s="1151"/>
      <c r="I143" s="1151"/>
      <c r="J143" s="1151"/>
      <c r="K143" s="1151"/>
      <c r="L143" s="1151"/>
      <c r="M143" s="1151"/>
      <c r="N143" s="52"/>
      <c r="O143" s="52"/>
      <c r="P143" s="52"/>
      <c r="Q143" s="52"/>
      <c r="R143" s="52"/>
      <c r="S143" s="52"/>
      <c r="T143" s="52"/>
      <c r="U143" s="52"/>
      <c r="V143" s="52"/>
      <c r="W143" s="52"/>
      <c r="X143" s="52"/>
      <c r="Y143" s="52"/>
      <c r="Z143" s="52"/>
    </row>
    <row r="144" spans="1:26">
      <c r="A144" s="52"/>
      <c r="B144" s="52"/>
      <c r="C144" s="52"/>
      <c r="D144" s="52"/>
      <c r="E144" s="52"/>
      <c r="F144" s="52"/>
      <c r="G144" s="1151" t="s">
        <v>803</v>
      </c>
      <c r="H144" s="1152"/>
      <c r="I144" s="1153" t="s">
        <v>723</v>
      </c>
      <c r="J144" s="1154" t="s">
        <v>608</v>
      </c>
      <c r="K144" s="1154" t="s">
        <v>754</v>
      </c>
      <c r="L144" s="1154" t="s">
        <v>771</v>
      </c>
      <c r="M144" s="1154" t="s">
        <v>770</v>
      </c>
      <c r="N144" s="52"/>
      <c r="O144" s="52"/>
      <c r="P144" s="52"/>
      <c r="Q144" s="52"/>
      <c r="R144" s="52"/>
      <c r="S144" s="52"/>
      <c r="T144" s="52"/>
      <c r="U144" s="52"/>
      <c r="V144" s="52"/>
      <c r="W144" s="52"/>
      <c r="X144" s="52"/>
      <c r="Y144" s="52"/>
      <c r="Z144" s="52"/>
    </row>
    <row r="145" spans="1:26">
      <c r="A145" s="52"/>
      <c r="B145" s="52"/>
      <c r="C145" s="52"/>
      <c r="D145" s="52"/>
      <c r="E145" s="52"/>
      <c r="F145" s="52"/>
      <c r="G145" s="1151"/>
      <c r="H145" s="1151"/>
      <c r="I145" s="1155" t="e">
        <f>'15b-Charts Comp'!M462</f>
        <v>#REF!</v>
      </c>
      <c r="J145" s="396">
        <f>J136/$H$136</f>
        <v>0.39760239760239763</v>
      </c>
      <c r="K145" s="396">
        <f>K136/$H$136</f>
        <v>0.60239760239760243</v>
      </c>
      <c r="L145" s="396">
        <f>L136/$H$136</f>
        <v>0.5641025641025641</v>
      </c>
      <c r="M145" s="396">
        <f>M136/$H$136</f>
        <v>3.8295038295038296E-2</v>
      </c>
      <c r="N145" s="52"/>
      <c r="O145" s="52"/>
      <c r="P145" s="52"/>
      <c r="Q145" s="52"/>
      <c r="R145" s="52"/>
      <c r="S145" s="52"/>
      <c r="T145" s="52"/>
      <c r="U145" s="52"/>
      <c r="V145" s="52"/>
      <c r="W145" s="52"/>
      <c r="X145" s="52"/>
      <c r="Y145" s="52"/>
      <c r="Z145" s="52"/>
    </row>
    <row r="146" spans="1:26">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sheetData>
  <mergeCells count="2">
    <mergeCell ref="I1:K1"/>
    <mergeCell ref="A1:D1"/>
  </mergeCells>
  <pageMargins left="0.70866141732283472" right="0.70866141732283472" top="0.74803149606299213" bottom="0.74803149606299213" header="0.31496062992125984" footer="0.31496062992125984"/>
  <pageSetup paperSize="9" scale="45" orientation="portrait" horizontalDpi="0" verticalDpi="0" r:id="rId1"/>
  <headerFooter>
    <oddHeader>&amp;L&amp;8&amp;D&amp;C&amp;8DRAFT&amp;R&amp;8&amp;A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0D4F0-A524-49BD-B0E6-A7185375D756}">
  <sheetPr>
    <tabColor theme="0" tint="-4.9989318521683403E-2"/>
    <pageSetUpPr fitToPage="1"/>
  </sheetPr>
  <dimension ref="A1:AA25"/>
  <sheetViews>
    <sheetView zoomScaleNormal="100" workbookViewId="0">
      <selection activeCell="C8" sqref="C8"/>
    </sheetView>
  </sheetViews>
  <sheetFormatPr defaultRowHeight="12.75"/>
  <cols>
    <col min="2" max="2" width="29.28515625" customWidth="1"/>
    <col min="3" max="3" width="23.5703125" customWidth="1"/>
    <col min="19" max="19" width="26.140625" customWidth="1"/>
    <col min="22" max="22" width="3.5703125" customWidth="1"/>
    <col min="23" max="23" width="4.28515625" customWidth="1"/>
  </cols>
  <sheetData>
    <row r="1" spans="1:27" ht="18" customHeight="1">
      <c r="A1" s="1114" t="s">
        <v>14</v>
      </c>
      <c r="B1" s="799"/>
      <c r="C1" s="904"/>
      <c r="D1" s="904"/>
      <c r="E1" s="1425" t="s">
        <v>1412</v>
      </c>
      <c r="F1" s="1426"/>
      <c r="G1" s="1426"/>
      <c r="H1" s="1426"/>
      <c r="I1" s="1426"/>
      <c r="J1" s="1427"/>
      <c r="K1" s="392"/>
      <c r="L1" s="38" t="s">
        <v>1440</v>
      </c>
      <c r="M1" s="1219"/>
      <c r="N1" s="1219"/>
      <c r="O1" s="914"/>
      <c r="P1" s="1424"/>
      <c r="Q1" s="1424"/>
      <c r="R1" s="1424"/>
      <c r="S1" s="1424"/>
      <c r="T1" s="1424"/>
      <c r="U1" s="1423"/>
      <c r="V1" s="1423"/>
      <c r="W1" s="1423"/>
      <c r="X1" s="23"/>
      <c r="Y1" s="23"/>
      <c r="Z1" s="23"/>
      <c r="AA1" s="23"/>
    </row>
    <row r="2" spans="1:27" s="776" customFormat="1" ht="18" customHeight="1">
      <c r="A2" s="1114" t="s">
        <v>1451</v>
      </c>
      <c r="B2" s="1114"/>
      <c r="C2" s="1194"/>
      <c r="D2" s="1194"/>
      <c r="E2" s="1428" t="s">
        <v>1438</v>
      </c>
      <c r="F2" s="1428"/>
      <c r="G2" s="1428"/>
      <c r="H2" s="1428"/>
      <c r="I2" s="1428"/>
      <c r="J2" s="1428"/>
      <c r="K2" s="10"/>
      <c r="L2" s="10"/>
      <c r="M2" s="1361"/>
      <c r="N2" s="1361"/>
      <c r="O2" s="1213"/>
      <c r="P2" s="1362"/>
      <c r="Q2" s="881"/>
      <c r="R2" s="1363"/>
      <c r="S2" s="1363"/>
      <c r="T2" s="1363"/>
      <c r="U2" s="1374"/>
      <c r="V2" s="1374"/>
      <c r="W2" s="1374"/>
      <c r="X2" s="23"/>
      <c r="Y2" s="23"/>
      <c r="Z2" s="23"/>
      <c r="AA2" s="23"/>
    </row>
    <row r="3" spans="1:27" ht="14.25">
      <c r="A3" s="1351"/>
      <c r="B3" s="4"/>
      <c r="C3" s="1351"/>
      <c r="D3" s="1351"/>
      <c r="E3" s="1351"/>
      <c r="F3" s="1351"/>
      <c r="G3" s="1351"/>
      <c r="H3" s="1351"/>
      <c r="I3" s="4"/>
      <c r="J3" s="4"/>
      <c r="K3" s="4"/>
      <c r="L3" s="4"/>
      <c r="M3" s="4"/>
      <c r="N3" s="4"/>
      <c r="O3" s="4"/>
      <c r="P3" s="4"/>
      <c r="Q3" s="4"/>
      <c r="R3" s="4"/>
      <c r="S3" s="4"/>
      <c r="T3" s="4"/>
      <c r="U3" s="10"/>
      <c r="V3" s="10"/>
      <c r="W3" s="10"/>
      <c r="X3" s="23"/>
      <c r="Y3" s="23"/>
      <c r="Z3" s="23"/>
      <c r="AA3" s="23"/>
    </row>
    <row r="4" spans="1:27" s="776" customFormat="1" ht="14.25">
      <c r="A4" s="19"/>
      <c r="B4" s="19"/>
      <c r="C4" s="19"/>
      <c r="D4" s="19"/>
      <c r="E4" s="19"/>
      <c r="F4" s="19"/>
      <c r="G4" s="19"/>
      <c r="H4" s="19"/>
      <c r="U4" s="10"/>
      <c r="V4" s="10"/>
      <c r="W4" s="10"/>
      <c r="X4" s="23"/>
      <c r="Y4" s="23"/>
      <c r="Z4" s="23"/>
      <c r="AA4" s="23"/>
    </row>
    <row r="5" spans="1:27" ht="15.75">
      <c r="A5" s="1383">
        <v>1</v>
      </c>
      <c r="B5" s="1235" t="s">
        <v>1409</v>
      </c>
      <c r="C5" s="967" t="s">
        <v>1413</v>
      </c>
      <c r="D5" s="967"/>
      <c r="E5" s="967"/>
      <c r="F5" s="967"/>
      <c r="G5" s="967"/>
      <c r="H5" s="967"/>
      <c r="I5" s="967"/>
      <c r="J5" s="967"/>
      <c r="K5" s="967"/>
      <c r="L5" s="967"/>
      <c r="M5" s="967"/>
      <c r="N5" s="967"/>
      <c r="O5" s="967"/>
      <c r="P5" s="967"/>
      <c r="Q5" s="967"/>
      <c r="R5" s="967"/>
      <c r="S5" s="967"/>
      <c r="U5" s="10"/>
      <c r="V5" s="10"/>
      <c r="W5" s="10"/>
      <c r="X5" s="23"/>
      <c r="Y5" s="23"/>
      <c r="Z5" s="23"/>
      <c r="AA5" s="23"/>
    </row>
    <row r="6" spans="1:27" s="776" customFormat="1" ht="15">
      <c r="A6" s="1383"/>
      <c r="B6" s="967"/>
      <c r="C6" s="967" t="s">
        <v>1414</v>
      </c>
      <c r="D6" s="967"/>
      <c r="E6" s="967"/>
      <c r="F6" s="967"/>
      <c r="G6" s="967"/>
      <c r="H6" s="967"/>
      <c r="I6" s="967"/>
      <c r="J6" s="967"/>
      <c r="K6" s="967"/>
      <c r="L6" s="967"/>
      <c r="M6" s="967"/>
      <c r="N6" s="967"/>
      <c r="O6" s="967"/>
      <c r="P6" s="967"/>
      <c r="Q6" s="967"/>
      <c r="R6" s="967"/>
      <c r="S6" s="967"/>
      <c r="U6" s="10"/>
      <c r="V6" s="10"/>
      <c r="W6" s="10"/>
      <c r="X6" s="23"/>
      <c r="Y6" s="23"/>
      <c r="Z6" s="23"/>
      <c r="AA6" s="23"/>
    </row>
    <row r="7" spans="1:27" ht="15">
      <c r="A7" s="1383"/>
      <c r="B7" s="967"/>
      <c r="C7" s="967" t="s">
        <v>1415</v>
      </c>
      <c r="D7" s="967"/>
      <c r="E7" s="967"/>
      <c r="F7" s="967"/>
      <c r="G7" s="967"/>
      <c r="H7" s="967"/>
      <c r="I7" s="967"/>
      <c r="J7" s="967"/>
      <c r="K7" s="967"/>
      <c r="L7" s="967"/>
      <c r="M7" s="967"/>
      <c r="N7" s="967"/>
      <c r="O7" s="967"/>
      <c r="P7" s="967"/>
      <c r="Q7" s="967"/>
      <c r="R7" s="967"/>
      <c r="S7" s="967"/>
      <c r="U7" s="10"/>
      <c r="V7" s="10"/>
      <c r="W7" s="10"/>
      <c r="X7" s="23"/>
      <c r="Y7" s="23"/>
      <c r="Z7" s="23"/>
      <c r="AA7" s="23"/>
    </row>
    <row r="8" spans="1:27" s="776" customFormat="1" ht="15">
      <c r="A8" s="1383"/>
      <c r="B8" s="967"/>
      <c r="C8" s="967" t="s">
        <v>1471</v>
      </c>
      <c r="D8" s="967"/>
      <c r="E8" s="967"/>
      <c r="F8" s="967"/>
      <c r="G8" s="967"/>
      <c r="H8" s="967"/>
      <c r="I8" s="967"/>
      <c r="J8" s="967"/>
      <c r="K8" s="967"/>
      <c r="L8" s="967"/>
      <c r="M8" s="967"/>
      <c r="N8" s="967"/>
      <c r="O8" s="967"/>
      <c r="P8" s="967"/>
      <c r="Q8" s="967"/>
      <c r="R8" s="967"/>
      <c r="S8" s="967"/>
      <c r="U8" s="10"/>
      <c r="V8" s="10"/>
      <c r="W8" s="10"/>
      <c r="X8" s="23"/>
      <c r="Y8" s="23"/>
      <c r="Z8" s="23"/>
      <c r="AA8" s="23"/>
    </row>
    <row r="9" spans="1:27" s="776" customFormat="1" ht="15">
      <c r="A9" s="1383"/>
      <c r="B9" s="967"/>
      <c r="C9" s="967" t="s">
        <v>1416</v>
      </c>
      <c r="D9" s="967"/>
      <c r="E9" s="967"/>
      <c r="F9" s="967"/>
      <c r="G9" s="967"/>
      <c r="H9" s="967"/>
      <c r="I9" s="967"/>
      <c r="J9" s="967"/>
      <c r="K9" s="967"/>
      <c r="L9" s="967"/>
      <c r="M9" s="967"/>
      <c r="N9" s="967"/>
      <c r="O9" s="967"/>
      <c r="P9" s="967"/>
      <c r="Q9" s="967"/>
      <c r="R9" s="967"/>
      <c r="S9" s="967"/>
      <c r="U9" s="10"/>
      <c r="V9" s="10"/>
      <c r="W9" s="10"/>
      <c r="X9" s="23"/>
      <c r="Y9" s="23"/>
      <c r="Z9" s="23"/>
      <c r="AA9" s="23"/>
    </row>
    <row r="10" spans="1:27" s="776" customFormat="1" ht="15">
      <c r="A10" s="1383"/>
      <c r="B10" s="967"/>
      <c r="C10" s="967"/>
      <c r="D10" s="967"/>
      <c r="E10" s="967"/>
      <c r="F10" s="967"/>
      <c r="G10" s="967"/>
      <c r="H10" s="967"/>
      <c r="I10" s="967"/>
      <c r="J10" s="967"/>
      <c r="K10" s="967"/>
      <c r="L10" s="967"/>
      <c r="M10" s="967"/>
      <c r="N10" s="967"/>
      <c r="O10" s="967"/>
      <c r="P10" s="967"/>
      <c r="Q10" s="967"/>
      <c r="R10" s="967"/>
      <c r="S10" s="967"/>
      <c r="U10" s="10"/>
      <c r="V10" s="10"/>
      <c r="W10" s="10"/>
      <c r="X10" s="23"/>
      <c r="Y10" s="23"/>
      <c r="Z10" s="23"/>
      <c r="AA10" s="23"/>
    </row>
    <row r="11" spans="1:27" ht="15.75">
      <c r="A11" s="1383">
        <v>2</v>
      </c>
      <c r="B11" s="1235" t="s">
        <v>625</v>
      </c>
      <c r="C11" s="967" t="s">
        <v>1417</v>
      </c>
      <c r="D11" s="967"/>
      <c r="E11" s="967"/>
      <c r="F11" s="967"/>
      <c r="G11" s="967"/>
      <c r="H11" s="967"/>
      <c r="I11" s="967"/>
      <c r="J11" s="967"/>
      <c r="K11" s="967"/>
      <c r="L11" s="967"/>
      <c r="M11" s="967"/>
      <c r="N11" s="967"/>
      <c r="O11" s="967"/>
      <c r="P11" s="967"/>
      <c r="Q11" s="967"/>
      <c r="R11" s="967"/>
      <c r="S11" s="967"/>
      <c r="U11" s="10"/>
      <c r="V11" s="10"/>
      <c r="W11" s="10"/>
      <c r="X11" s="23"/>
      <c r="Y11" s="23"/>
      <c r="Z11" s="23"/>
      <c r="AA11" s="23"/>
    </row>
    <row r="12" spans="1:27" ht="15">
      <c r="A12" s="1383"/>
      <c r="B12" s="967"/>
      <c r="C12" s="967"/>
      <c r="D12" s="967"/>
      <c r="E12" s="967"/>
      <c r="F12" s="967"/>
      <c r="G12" s="967"/>
      <c r="H12" s="967"/>
      <c r="I12" s="967"/>
      <c r="J12" s="967"/>
      <c r="K12" s="967"/>
      <c r="L12" s="967"/>
      <c r="M12" s="967"/>
      <c r="N12" s="967"/>
      <c r="O12" s="967"/>
      <c r="P12" s="967"/>
      <c r="Q12" s="967"/>
      <c r="R12" s="967"/>
      <c r="S12" s="967"/>
      <c r="U12" s="10"/>
      <c r="V12" s="10"/>
      <c r="W12" s="10"/>
      <c r="X12" s="23"/>
      <c r="Y12" s="23"/>
      <c r="Z12" s="23"/>
      <c r="AA12" s="23"/>
    </row>
    <row r="13" spans="1:27" s="776" customFormat="1" ht="15.75">
      <c r="A13" s="1383">
        <v>3</v>
      </c>
      <c r="B13" s="967" t="s">
        <v>1454</v>
      </c>
      <c r="C13" s="967" t="s">
        <v>1419</v>
      </c>
      <c r="D13" s="967"/>
      <c r="E13" s="967"/>
      <c r="F13" s="967"/>
      <c r="G13" s="967"/>
      <c r="H13" s="967"/>
      <c r="I13" s="967"/>
      <c r="J13" s="967"/>
      <c r="K13" s="967"/>
      <c r="L13" s="967"/>
      <c r="M13" s="967"/>
      <c r="N13" s="967"/>
      <c r="O13" s="967"/>
      <c r="P13" s="967"/>
      <c r="Q13" s="967"/>
      <c r="R13" s="967"/>
      <c r="S13" s="967"/>
      <c r="U13" s="10"/>
      <c r="V13" s="10"/>
      <c r="W13" s="10"/>
      <c r="X13" s="23"/>
      <c r="Y13" s="23"/>
      <c r="Z13" s="23"/>
      <c r="AA13" s="23"/>
    </row>
    <row r="14" spans="1:27" s="776" customFormat="1" ht="15">
      <c r="A14" s="1383"/>
      <c r="B14" s="967"/>
      <c r="C14" s="967"/>
      <c r="D14" s="967"/>
      <c r="E14" s="967"/>
      <c r="F14" s="967"/>
      <c r="G14" s="967"/>
      <c r="H14" s="967"/>
      <c r="I14" s="967"/>
      <c r="J14" s="967"/>
      <c r="K14" s="967"/>
      <c r="L14" s="967"/>
      <c r="M14" s="967"/>
      <c r="N14" s="967"/>
      <c r="O14" s="967"/>
      <c r="P14" s="967"/>
      <c r="Q14" s="967"/>
      <c r="R14" s="967"/>
      <c r="S14" s="967"/>
      <c r="U14" s="10"/>
      <c r="V14" s="10"/>
      <c r="W14" s="10"/>
      <c r="X14" s="23"/>
      <c r="Y14" s="23"/>
      <c r="Z14" s="23"/>
      <c r="AA14" s="23"/>
    </row>
    <row r="15" spans="1:27" ht="15.75">
      <c r="A15" s="1383">
        <v>4</v>
      </c>
      <c r="B15" s="967" t="s">
        <v>1455</v>
      </c>
      <c r="C15" s="967"/>
      <c r="D15" s="967"/>
      <c r="E15" s="967"/>
      <c r="F15" s="967"/>
      <c r="G15" s="967"/>
      <c r="H15" s="967"/>
      <c r="I15" s="967"/>
      <c r="J15" s="967"/>
      <c r="K15" s="967"/>
      <c r="L15" s="967"/>
      <c r="M15" s="967"/>
      <c r="N15" s="967"/>
      <c r="O15" s="967"/>
      <c r="P15" s="967"/>
      <c r="Q15" s="967"/>
      <c r="R15" s="967"/>
      <c r="S15" s="967"/>
      <c r="U15" s="10"/>
      <c r="V15" s="10"/>
      <c r="W15" s="10"/>
      <c r="X15" s="23"/>
      <c r="Y15" s="23"/>
      <c r="Z15" s="23"/>
      <c r="AA15" s="23"/>
    </row>
    <row r="16" spans="1:27" s="776" customFormat="1" ht="15">
      <c r="A16" s="1383"/>
      <c r="B16" s="967"/>
      <c r="C16" s="967"/>
      <c r="D16" s="967"/>
      <c r="E16" s="967"/>
      <c r="F16" s="967"/>
      <c r="G16" s="967"/>
      <c r="H16" s="967"/>
      <c r="I16" s="967"/>
      <c r="J16" s="967"/>
      <c r="K16" s="967"/>
      <c r="L16" s="967"/>
      <c r="M16" s="967"/>
      <c r="N16" s="967"/>
      <c r="O16" s="967"/>
      <c r="P16" s="967"/>
      <c r="Q16" s="967"/>
      <c r="R16" s="967"/>
      <c r="S16" s="967"/>
      <c r="U16" s="10"/>
      <c r="V16" s="10"/>
      <c r="W16" s="10"/>
      <c r="X16" s="23"/>
      <c r="Y16" s="23"/>
      <c r="Z16" s="23"/>
      <c r="AA16" s="23"/>
    </row>
    <row r="17" spans="1:27" ht="15.75">
      <c r="A17" s="1383">
        <v>5</v>
      </c>
      <c r="B17" s="967" t="s">
        <v>1456</v>
      </c>
      <c r="C17" s="967"/>
      <c r="D17" s="967"/>
      <c r="E17" s="967"/>
      <c r="F17" s="967"/>
      <c r="G17" s="967"/>
      <c r="H17" s="967"/>
      <c r="I17" s="967"/>
      <c r="J17" s="967"/>
      <c r="K17" s="967"/>
      <c r="L17" s="967"/>
      <c r="M17" s="967"/>
      <c r="N17" s="967"/>
      <c r="O17" s="967"/>
      <c r="P17" s="967"/>
      <c r="Q17" s="967"/>
      <c r="R17" s="967"/>
      <c r="S17" s="967"/>
      <c r="U17" s="10"/>
      <c r="V17" s="10"/>
      <c r="W17" s="10"/>
      <c r="X17" s="23"/>
      <c r="Y17" s="23"/>
      <c r="Z17" s="23"/>
      <c r="AA17" s="23"/>
    </row>
    <row r="18" spans="1:27" ht="15">
      <c r="A18" s="1383"/>
      <c r="B18" s="967"/>
      <c r="C18" s="967"/>
      <c r="D18" s="967"/>
      <c r="E18" s="967"/>
      <c r="F18" s="967"/>
      <c r="G18" s="967"/>
      <c r="H18" s="967"/>
      <c r="I18" s="967"/>
      <c r="J18" s="967"/>
      <c r="K18" s="967"/>
      <c r="L18" s="967"/>
      <c r="M18" s="967"/>
      <c r="N18" s="967"/>
      <c r="O18" s="967"/>
      <c r="P18" s="967"/>
      <c r="Q18" s="967"/>
      <c r="R18" s="967"/>
      <c r="S18" s="967"/>
      <c r="U18" s="10"/>
      <c r="V18" s="10"/>
      <c r="W18" s="10"/>
      <c r="X18" s="23"/>
      <c r="Y18" s="23"/>
      <c r="Z18" s="23"/>
      <c r="AA18" s="23"/>
    </row>
    <row r="19" spans="1:27" ht="15.75">
      <c r="A19" s="1383">
        <v>6</v>
      </c>
      <c r="B19" s="967" t="s">
        <v>1457</v>
      </c>
      <c r="C19" s="967"/>
      <c r="D19" s="967"/>
      <c r="E19" s="967"/>
      <c r="F19" s="967"/>
      <c r="G19" s="967"/>
      <c r="H19" s="967"/>
      <c r="I19" s="967"/>
      <c r="J19" s="967"/>
      <c r="K19" s="967"/>
      <c r="L19" s="967"/>
      <c r="M19" s="967"/>
      <c r="N19" s="967"/>
      <c r="O19" s="967"/>
      <c r="P19" s="967"/>
      <c r="Q19" s="967"/>
      <c r="R19" s="967"/>
      <c r="S19" s="967"/>
      <c r="U19" s="10"/>
      <c r="V19" s="10"/>
      <c r="W19" s="10"/>
      <c r="X19" s="23"/>
      <c r="Y19" s="23"/>
      <c r="Z19" s="23"/>
      <c r="AA19" s="23"/>
    </row>
    <row r="20" spans="1:27" ht="15">
      <c r="A20" s="1383"/>
      <c r="B20" s="967"/>
      <c r="C20" s="967"/>
      <c r="D20" s="967"/>
      <c r="E20" s="967"/>
      <c r="F20" s="967"/>
      <c r="G20" s="967"/>
      <c r="H20" s="967"/>
      <c r="I20" s="967"/>
      <c r="J20" s="967"/>
      <c r="K20" s="967"/>
      <c r="L20" s="967"/>
      <c r="M20" s="967"/>
      <c r="N20" s="967"/>
      <c r="O20" s="967"/>
      <c r="P20" s="967"/>
      <c r="Q20" s="967"/>
      <c r="R20" s="967"/>
      <c r="S20" s="967"/>
      <c r="U20" s="10"/>
      <c r="V20" s="10"/>
      <c r="W20" s="10"/>
      <c r="X20" s="23"/>
      <c r="Y20" s="23"/>
      <c r="Z20" s="23"/>
      <c r="AA20" s="23"/>
    </row>
    <row r="21" spans="1:27" ht="15.75">
      <c r="A21" s="1383">
        <v>7</v>
      </c>
      <c r="B21" s="967" t="s">
        <v>1458</v>
      </c>
      <c r="C21" s="967" t="s">
        <v>1418</v>
      </c>
      <c r="D21" s="967"/>
      <c r="E21" s="967"/>
      <c r="F21" s="967"/>
      <c r="G21" s="967"/>
      <c r="H21" s="967"/>
      <c r="I21" s="967"/>
      <c r="J21" s="967"/>
      <c r="K21" s="967"/>
      <c r="L21" s="967"/>
      <c r="M21" s="967"/>
      <c r="N21" s="967"/>
      <c r="O21" s="967"/>
      <c r="P21" s="967"/>
      <c r="Q21" s="967"/>
      <c r="R21" s="967"/>
      <c r="S21" s="967"/>
      <c r="U21" s="10"/>
      <c r="V21" s="10"/>
      <c r="W21" s="10"/>
      <c r="X21" s="23"/>
      <c r="Y21" s="23"/>
      <c r="Z21" s="23"/>
      <c r="AA21" s="23"/>
    </row>
    <row r="22" spans="1:27" ht="15">
      <c r="A22" s="1368"/>
      <c r="B22" s="1368"/>
      <c r="C22" s="1368"/>
      <c r="D22" s="1368"/>
      <c r="E22" s="1368"/>
      <c r="F22" s="1368"/>
      <c r="G22" s="1368"/>
      <c r="H22" s="1368"/>
      <c r="I22" s="1368"/>
      <c r="J22" s="1368"/>
      <c r="K22" s="1368"/>
      <c r="L22" s="1368"/>
      <c r="M22" s="1368"/>
      <c r="N22" s="1368"/>
      <c r="O22" s="1368"/>
      <c r="P22" s="1368"/>
      <c r="Q22" s="1368"/>
      <c r="R22" s="1368"/>
      <c r="S22" s="1368"/>
      <c r="T22" s="10"/>
      <c r="U22" s="10"/>
      <c r="V22" s="10"/>
      <c r="W22" s="10"/>
      <c r="X22" s="23"/>
      <c r="Y22" s="23"/>
      <c r="Z22" s="23"/>
      <c r="AA22" s="23"/>
    </row>
    <row r="23" spans="1:27" ht="15">
      <c r="A23" s="1045"/>
      <c r="B23" s="1045"/>
      <c r="C23" s="1045"/>
      <c r="D23" s="1045"/>
      <c r="E23" s="1045"/>
      <c r="F23" s="1045"/>
      <c r="G23" s="1045"/>
      <c r="H23" s="1045"/>
      <c r="I23" s="1045"/>
      <c r="J23" s="1045"/>
      <c r="K23" s="1045"/>
      <c r="L23" s="1045"/>
      <c r="M23" s="1045"/>
      <c r="N23" s="1045"/>
      <c r="O23" s="1045"/>
      <c r="P23" s="1045"/>
      <c r="Q23" s="1045"/>
      <c r="R23" s="1045"/>
      <c r="S23" s="1045"/>
      <c r="T23" s="4"/>
      <c r="U23" s="10"/>
      <c r="V23" s="10"/>
      <c r="W23" s="10"/>
      <c r="X23" s="23"/>
      <c r="Y23" s="23"/>
      <c r="Z23" s="23"/>
      <c r="AA23" s="23"/>
    </row>
    <row r="24" spans="1:27" ht="15">
      <c r="A24" s="967"/>
      <c r="B24" s="967"/>
      <c r="C24" s="967"/>
      <c r="D24" s="967"/>
      <c r="E24" s="967"/>
      <c r="F24" s="967"/>
      <c r="G24" s="967"/>
      <c r="H24" s="967"/>
      <c r="I24" s="967"/>
      <c r="J24" s="967"/>
      <c r="K24" s="967"/>
      <c r="L24" s="967"/>
      <c r="M24" s="967"/>
      <c r="N24" s="967"/>
      <c r="O24" s="967"/>
      <c r="P24" s="967"/>
      <c r="Q24" s="967"/>
      <c r="R24" s="967"/>
      <c r="S24" s="967"/>
      <c r="U24" s="10"/>
      <c r="V24" s="10"/>
      <c r="W24" s="10"/>
      <c r="X24" s="23"/>
      <c r="Y24" s="23"/>
      <c r="Z24" s="23"/>
      <c r="AA24" s="23"/>
    </row>
    <row r="25" spans="1:27">
      <c r="U25" s="10"/>
      <c r="V25" s="10"/>
      <c r="W25" s="10"/>
    </row>
  </sheetData>
  <mergeCells count="4">
    <mergeCell ref="U1:W1"/>
    <mergeCell ref="P1:T1"/>
    <mergeCell ref="E1:J1"/>
    <mergeCell ref="E2:J2"/>
  </mergeCells>
  <pageMargins left="0.7" right="0.7" top="0.75" bottom="0.75" header="0.3" footer="0.3"/>
  <pageSetup paperSize="9" scale="53" fitToHeight="0" orientation="landscape" r:id="rId1"/>
  <headerFooter>
    <oddFooter>&amp;L&amp;P&amp;RIreland, Wallace &amp; Associates Limited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6699"/>
  </sheetPr>
  <dimension ref="A1:AB60"/>
  <sheetViews>
    <sheetView workbookViewId="0">
      <selection sqref="A1:D1"/>
    </sheetView>
  </sheetViews>
  <sheetFormatPr defaultRowHeight="12.75"/>
  <cols>
    <col min="1" max="1" width="3.28515625" customWidth="1"/>
    <col min="2" max="2" width="11.85546875" customWidth="1"/>
    <col min="7" max="7" width="9" style="592"/>
  </cols>
  <sheetData>
    <row r="1" spans="1:28" s="776" customFormat="1" ht="24.75" customHeight="1" thickBot="1">
      <c r="A1" s="1486" t="s">
        <v>0</v>
      </c>
      <c r="B1" s="1487"/>
      <c r="C1" s="1487"/>
      <c r="D1" s="1487"/>
      <c r="E1" s="1044" t="e">
        <f>'1_Contents'!#REF!</f>
        <v>#REF!</v>
      </c>
      <c r="F1" s="1476" t="e">
        <f>'1_Contents'!#REF!</f>
        <v>#REF!</v>
      </c>
      <c r="G1" s="1476"/>
      <c r="H1" s="1477">
        <f ca="1">NOW()</f>
        <v>44487.543585879626</v>
      </c>
      <c r="I1" s="1477"/>
      <c r="J1" s="1477"/>
      <c r="K1" s="1047"/>
      <c r="L1" s="1047"/>
      <c r="M1" s="1048"/>
      <c r="N1" s="968"/>
      <c r="O1" s="968"/>
      <c r="P1" s="967"/>
      <c r="Q1" s="967"/>
      <c r="R1" s="967"/>
      <c r="S1" s="967"/>
      <c r="T1" s="967"/>
      <c r="U1" s="967"/>
      <c r="V1" s="967"/>
      <c r="W1" s="967"/>
      <c r="X1" s="967"/>
      <c r="Y1" s="968"/>
      <c r="Z1" s="968"/>
      <c r="AA1" s="968" t="e">
        <f>'1_Contents'!#REF!</f>
        <v>#REF!</v>
      </c>
      <c r="AB1" s="967"/>
    </row>
    <row r="2" spans="1:28" s="776" customFormat="1">
      <c r="A2" s="1105" t="s">
        <v>168</v>
      </c>
      <c r="B2" s="321"/>
      <c r="C2" s="636"/>
      <c r="D2" s="636"/>
      <c r="E2" s="801"/>
      <c r="F2" s="69">
        <v>0</v>
      </c>
      <c r="G2" s="69">
        <f>F2+1</f>
        <v>1</v>
      </c>
      <c r="H2" s="69">
        <f t="shared" ref="H2:W3" si="0">G2+1</f>
        <v>2</v>
      </c>
      <c r="I2" s="69">
        <f t="shared" si="0"/>
        <v>3</v>
      </c>
      <c r="J2" s="69">
        <f t="shared" si="0"/>
        <v>4</v>
      </c>
      <c r="K2" s="69">
        <f t="shared" si="0"/>
        <v>5</v>
      </c>
      <c r="L2" s="69">
        <f t="shared" si="0"/>
        <v>6</v>
      </c>
      <c r="M2" s="69">
        <f t="shared" si="0"/>
        <v>7</v>
      </c>
      <c r="N2" s="69">
        <f t="shared" si="0"/>
        <v>8</v>
      </c>
      <c r="O2" s="69">
        <f t="shared" si="0"/>
        <v>9</v>
      </c>
      <c r="P2" s="69">
        <f t="shared" si="0"/>
        <v>10</v>
      </c>
      <c r="Q2" s="69">
        <f t="shared" si="0"/>
        <v>11</v>
      </c>
      <c r="R2" s="69">
        <f t="shared" si="0"/>
        <v>12</v>
      </c>
      <c r="S2" s="69">
        <f t="shared" si="0"/>
        <v>13</v>
      </c>
      <c r="T2" s="69">
        <f t="shared" si="0"/>
        <v>14</v>
      </c>
      <c r="U2" s="69">
        <f t="shared" si="0"/>
        <v>15</v>
      </c>
      <c r="V2" s="69">
        <f t="shared" si="0"/>
        <v>16</v>
      </c>
      <c r="W2" s="69">
        <f t="shared" si="0"/>
        <v>17</v>
      </c>
      <c r="X2" s="69">
        <f t="shared" ref="X2:AA3" si="1">W2+1</f>
        <v>18</v>
      </c>
      <c r="Y2" s="69">
        <f t="shared" si="1"/>
        <v>19</v>
      </c>
      <c r="Z2" s="69">
        <f t="shared" si="1"/>
        <v>20</v>
      </c>
      <c r="AA2" s="69">
        <f t="shared" si="1"/>
        <v>21</v>
      </c>
    </row>
    <row r="3" spans="1:28" s="776" customFormat="1">
      <c r="A3" s="52"/>
      <c r="B3" s="52"/>
      <c r="C3" s="52"/>
      <c r="D3" s="52"/>
      <c r="E3" s="1266" t="s">
        <v>3</v>
      </c>
      <c r="F3" s="953">
        <v>1999</v>
      </c>
      <c r="G3" s="953">
        <f t="shared" ref="G3:M3" si="2">F3+1</f>
        <v>2000</v>
      </c>
      <c r="H3" s="953">
        <f t="shared" si="2"/>
        <v>2001</v>
      </c>
      <c r="I3" s="953">
        <f t="shared" si="2"/>
        <v>2002</v>
      </c>
      <c r="J3" s="953">
        <f t="shared" si="2"/>
        <v>2003</v>
      </c>
      <c r="K3" s="953">
        <f t="shared" si="2"/>
        <v>2004</v>
      </c>
      <c r="L3" s="953">
        <f t="shared" si="2"/>
        <v>2005</v>
      </c>
      <c r="M3" s="953">
        <f t="shared" si="2"/>
        <v>2006</v>
      </c>
      <c r="N3" s="953">
        <v>2007</v>
      </c>
      <c r="O3" s="953">
        <f>N3+1</f>
        <v>2008</v>
      </c>
      <c r="P3" s="953">
        <f t="shared" si="0"/>
        <v>2009</v>
      </c>
      <c r="Q3" s="953">
        <f t="shared" si="0"/>
        <v>2010</v>
      </c>
      <c r="R3" s="953">
        <f t="shared" si="0"/>
        <v>2011</v>
      </c>
      <c r="S3" s="953">
        <f t="shared" si="0"/>
        <v>2012</v>
      </c>
      <c r="T3" s="953">
        <f t="shared" si="0"/>
        <v>2013</v>
      </c>
      <c r="U3" s="953">
        <f t="shared" si="0"/>
        <v>2014</v>
      </c>
      <c r="V3" s="953">
        <f t="shared" si="0"/>
        <v>2015</v>
      </c>
      <c r="W3" s="953">
        <f t="shared" si="0"/>
        <v>2016</v>
      </c>
      <c r="X3" s="953">
        <f t="shared" si="1"/>
        <v>2017</v>
      </c>
      <c r="Y3" s="953">
        <f t="shared" si="1"/>
        <v>2018</v>
      </c>
      <c r="Z3" s="953">
        <f t="shared" si="1"/>
        <v>2019</v>
      </c>
      <c r="AA3" s="953">
        <f t="shared" si="1"/>
        <v>2020</v>
      </c>
    </row>
    <row r="4" spans="1:28" s="592" customFormat="1">
      <c r="A4" s="929" t="s">
        <v>1053</v>
      </c>
      <c r="B4" s="52"/>
      <c r="C4" s="52"/>
      <c r="D4" s="52"/>
      <c r="E4" s="52"/>
      <c r="F4" s="52"/>
      <c r="G4" s="52"/>
      <c r="H4" s="52"/>
      <c r="I4" s="52"/>
      <c r="J4" s="52"/>
      <c r="K4" s="52"/>
      <c r="L4" s="52"/>
      <c r="M4" s="52"/>
      <c r="N4" s="52"/>
      <c r="O4" s="52"/>
      <c r="P4" s="52"/>
      <c r="Q4" s="52"/>
      <c r="R4" s="52"/>
      <c r="S4" s="52"/>
      <c r="T4" s="52"/>
      <c r="U4" s="52"/>
      <c r="V4" s="52"/>
      <c r="W4" s="52"/>
      <c r="X4" s="52"/>
      <c r="Y4" s="52"/>
      <c r="Z4" s="776"/>
      <c r="AA4" s="776"/>
      <c r="AB4" s="776"/>
    </row>
    <row r="5" spans="1:28" s="592" customFormat="1">
      <c r="A5" s="929"/>
      <c r="B5" s="52"/>
      <c r="C5" s="52"/>
      <c r="D5" s="52"/>
      <c r="E5" s="52"/>
      <c r="F5" s="52"/>
      <c r="G5" s="52"/>
      <c r="H5" s="52"/>
      <c r="I5" s="52"/>
      <c r="J5" s="52"/>
      <c r="K5" s="52"/>
      <c r="L5" s="52"/>
      <c r="M5" s="52"/>
      <c r="N5" s="52"/>
      <c r="O5" s="52"/>
      <c r="P5" s="52"/>
      <c r="Q5" s="52"/>
      <c r="R5" s="52"/>
      <c r="S5" s="52"/>
      <c r="T5" s="52"/>
      <c r="U5" s="52"/>
      <c r="V5" s="52"/>
      <c r="W5" s="52"/>
      <c r="X5" s="52"/>
      <c r="Y5" s="52"/>
      <c r="Z5" s="776"/>
      <c r="AA5" s="776"/>
      <c r="AB5" s="776"/>
    </row>
    <row r="6" spans="1:28" s="592" customFormat="1">
      <c r="A6" s="929"/>
      <c r="B6" s="52"/>
      <c r="C6" s="52"/>
      <c r="D6" s="52"/>
      <c r="E6" s="52"/>
      <c r="F6" s="52"/>
      <c r="G6" s="52"/>
      <c r="H6" s="52"/>
      <c r="I6" s="52"/>
      <c r="J6" s="52"/>
      <c r="K6" s="52"/>
      <c r="L6" s="52"/>
      <c r="M6" s="52"/>
      <c r="N6" s="52"/>
      <c r="O6" s="52"/>
      <c r="P6" s="52"/>
      <c r="Q6" s="52"/>
      <c r="R6" s="52"/>
      <c r="S6" s="52"/>
      <c r="T6" s="52"/>
      <c r="U6" s="52"/>
      <c r="V6" s="52"/>
      <c r="W6" s="52"/>
      <c r="X6" s="52"/>
      <c r="Y6" s="52"/>
      <c r="Z6" s="776"/>
      <c r="AA6" s="776"/>
      <c r="AB6" s="776"/>
    </row>
    <row r="7" spans="1:28" s="592" customFormat="1" ht="13.5">
      <c r="A7" s="488"/>
      <c r="B7" s="488"/>
      <c r="C7" s="1125" t="s">
        <v>1054</v>
      </c>
      <c r="D7" s="488"/>
      <c r="E7" s="52"/>
      <c r="F7" s="488"/>
      <c r="G7" s="488"/>
      <c r="H7" s="488"/>
      <c r="I7" s="488"/>
      <c r="J7" s="488"/>
      <c r="K7" s="488"/>
      <c r="L7" s="52"/>
      <c r="M7" s="52">
        <v>1</v>
      </c>
      <c r="N7" s="52"/>
      <c r="O7" s="52"/>
      <c r="P7" s="52"/>
      <c r="Q7" s="52"/>
      <c r="R7" s="52"/>
      <c r="S7" s="52"/>
      <c r="T7" s="52"/>
      <c r="U7" s="52"/>
      <c r="V7" s="52"/>
      <c r="W7" s="52"/>
      <c r="X7" s="52"/>
      <c r="Y7" s="52"/>
      <c r="Z7" s="776"/>
      <c r="AA7" s="776"/>
      <c r="AB7" s="776"/>
    </row>
    <row r="8" spans="1:28" s="592" customFormat="1" ht="13.5">
      <c r="A8" s="1156">
        <v>11</v>
      </c>
      <c r="B8" s="488" t="s">
        <v>1055</v>
      </c>
      <c r="C8" s="488" t="s">
        <v>840</v>
      </c>
      <c r="D8" s="488"/>
      <c r="E8" s="488" t="s">
        <v>1028</v>
      </c>
      <c r="F8" s="488" t="s">
        <v>1029</v>
      </c>
      <c r="G8" s="421"/>
      <c r="H8" s="421"/>
      <c r="I8" s="52"/>
      <c r="J8" s="52"/>
      <c r="K8" s="488"/>
      <c r="L8" s="52"/>
      <c r="M8" s="52">
        <f>M7+1</f>
        <v>2</v>
      </c>
      <c r="N8" s="52"/>
      <c r="O8" s="52"/>
      <c r="P8" s="52"/>
      <c r="Q8" s="52"/>
      <c r="R8" s="52"/>
      <c r="S8" s="52"/>
      <c r="T8" s="52"/>
      <c r="U8" s="52"/>
      <c r="V8" s="52"/>
      <c r="W8" s="52"/>
      <c r="X8" s="52"/>
      <c r="Y8" s="52"/>
      <c r="Z8" s="776"/>
      <c r="AA8" s="776"/>
      <c r="AB8" s="776"/>
    </row>
    <row r="9" spans="1:28" s="592" customFormat="1" ht="13.5">
      <c r="A9" s="1156">
        <v>11</v>
      </c>
      <c r="B9" s="488" t="s">
        <v>1055</v>
      </c>
      <c r="C9" s="488" t="s">
        <v>839</v>
      </c>
      <c r="D9" s="488"/>
      <c r="E9" s="488" t="s">
        <v>1033</v>
      </c>
      <c r="F9" s="411"/>
      <c r="G9" s="421"/>
      <c r="H9" s="421"/>
      <c r="I9" s="52"/>
      <c r="J9" s="52"/>
      <c r="K9" s="488"/>
      <c r="L9" s="52"/>
      <c r="M9" s="52">
        <f>M8+1</f>
        <v>3</v>
      </c>
      <c r="N9" s="52"/>
      <c r="O9" s="52"/>
      <c r="P9" s="52"/>
      <c r="Q9" s="52"/>
      <c r="R9" s="52"/>
      <c r="S9" s="52"/>
      <c r="T9" s="52"/>
      <c r="U9" s="52"/>
      <c r="V9" s="52"/>
      <c r="W9" s="52"/>
      <c r="X9" s="52"/>
      <c r="Y9" s="52"/>
      <c r="Z9" s="776"/>
      <c r="AA9" s="776"/>
      <c r="AB9" s="776"/>
    </row>
    <row r="10" spans="1:28" s="592" customFormat="1" ht="13.5">
      <c r="A10" s="1156"/>
      <c r="B10" s="488"/>
      <c r="C10" s="1125" t="s">
        <v>1056</v>
      </c>
      <c r="D10" s="488"/>
      <c r="E10" s="488"/>
      <c r="F10" s="421"/>
      <c r="G10" s="421"/>
      <c r="H10" s="421"/>
      <c r="I10" s="52"/>
      <c r="J10" s="52"/>
      <c r="K10" s="488"/>
      <c r="L10" s="52"/>
      <c r="M10" s="52"/>
      <c r="N10" s="52"/>
      <c r="O10" s="52"/>
      <c r="P10" s="52"/>
      <c r="Q10" s="52"/>
      <c r="R10" s="52"/>
      <c r="S10" s="52"/>
      <c r="T10" s="52"/>
      <c r="U10" s="52"/>
      <c r="V10" s="52"/>
      <c r="W10" s="52"/>
      <c r="X10" s="52"/>
      <c r="Y10" s="52"/>
      <c r="Z10" s="776"/>
      <c r="AA10" s="776"/>
      <c r="AB10" s="776"/>
    </row>
    <row r="11" spans="1:28" s="592" customFormat="1" ht="13.5">
      <c r="A11" s="421">
        <v>10</v>
      </c>
      <c r="B11" s="488" t="s">
        <v>1055</v>
      </c>
      <c r="C11" s="488" t="s">
        <v>804</v>
      </c>
      <c r="D11" s="52"/>
      <c r="E11" s="52"/>
      <c r="F11" s="1157"/>
      <c r="G11" s="1157"/>
      <c r="H11" s="421"/>
      <c r="I11" s="488"/>
      <c r="J11" s="488"/>
      <c r="K11" s="488"/>
      <c r="L11" s="52"/>
      <c r="M11" s="52">
        <f>M9+1</f>
        <v>4</v>
      </c>
      <c r="N11" s="52"/>
      <c r="O11" s="52"/>
      <c r="P11" s="52"/>
      <c r="Q11" s="52"/>
      <c r="R11" s="52"/>
      <c r="S11" s="52"/>
      <c r="T11" s="52"/>
      <c r="U11" s="52"/>
      <c r="V11" s="52"/>
      <c r="W11" s="52"/>
      <c r="X11" s="52"/>
      <c r="Y11" s="52"/>
      <c r="Z11" s="776"/>
      <c r="AA11" s="776"/>
      <c r="AB11" s="776"/>
    </row>
    <row r="12" spans="1:28" s="592" customFormat="1" ht="13.5">
      <c r="A12" s="421">
        <v>10</v>
      </c>
      <c r="B12" s="488" t="s">
        <v>1055</v>
      </c>
      <c r="C12" s="488" t="s">
        <v>803</v>
      </c>
      <c r="D12" s="52"/>
      <c r="E12" s="52"/>
      <c r="F12" s="52"/>
      <c r="G12" s="52"/>
      <c r="H12" s="488"/>
      <c r="I12" s="488"/>
      <c r="J12" s="488"/>
      <c r="K12" s="488"/>
      <c r="L12" s="52"/>
      <c r="M12" s="52">
        <f t="shared" ref="M12:M21" si="3">M11+1</f>
        <v>5</v>
      </c>
      <c r="N12" s="52"/>
      <c r="O12" s="52"/>
      <c r="P12" s="52"/>
      <c r="Q12" s="52"/>
      <c r="R12" s="52"/>
      <c r="S12" s="52"/>
      <c r="T12" s="52"/>
      <c r="U12" s="52"/>
      <c r="V12" s="52"/>
      <c r="W12" s="52"/>
      <c r="X12" s="52"/>
      <c r="Y12" s="52"/>
      <c r="Z12" s="776"/>
      <c r="AA12" s="776"/>
      <c r="AB12" s="776"/>
    </row>
    <row r="13" spans="1:28" s="592" customFormat="1" ht="13.5">
      <c r="A13" s="421"/>
      <c r="B13" s="52"/>
      <c r="C13" s="52"/>
      <c r="D13" s="52"/>
      <c r="E13" s="52"/>
      <c r="F13" s="488"/>
      <c r="G13" s="488"/>
      <c r="H13" s="488"/>
      <c r="I13" s="488"/>
      <c r="J13" s="488"/>
      <c r="K13" s="488"/>
      <c r="L13" s="52"/>
      <c r="M13" s="52">
        <f t="shared" si="3"/>
        <v>6</v>
      </c>
      <c r="N13" s="52"/>
      <c r="O13" s="52"/>
      <c r="P13" s="52"/>
      <c r="Q13" s="52"/>
      <c r="R13" s="52"/>
      <c r="S13" s="52"/>
      <c r="T13" s="52"/>
      <c r="U13" s="52"/>
      <c r="V13" s="52"/>
      <c r="W13" s="52"/>
      <c r="X13" s="52"/>
      <c r="Y13" s="52"/>
      <c r="Z13" s="776"/>
      <c r="AA13" s="776"/>
      <c r="AB13" s="776"/>
    </row>
    <row r="14" spans="1:28" s="592" customFormat="1" ht="13.5">
      <c r="A14" s="421"/>
      <c r="B14" s="52"/>
      <c r="C14" s="52"/>
      <c r="D14" s="52"/>
      <c r="E14" s="52"/>
      <c r="F14" s="488"/>
      <c r="G14" s="488"/>
      <c r="H14" s="488"/>
      <c r="I14" s="488"/>
      <c r="J14" s="488"/>
      <c r="K14" s="488"/>
      <c r="L14" s="52"/>
      <c r="M14" s="52">
        <f t="shared" si="3"/>
        <v>7</v>
      </c>
      <c r="N14" s="52"/>
      <c r="O14" s="52"/>
      <c r="P14" s="52"/>
      <c r="Q14" s="52"/>
      <c r="R14" s="52"/>
      <c r="S14" s="52"/>
      <c r="T14" s="52"/>
      <c r="U14" s="52"/>
      <c r="V14" s="52"/>
      <c r="W14" s="52"/>
      <c r="X14" s="52"/>
      <c r="Y14" s="52"/>
      <c r="Z14" s="776"/>
      <c r="AA14" s="776"/>
      <c r="AB14" s="776"/>
    </row>
    <row r="15" spans="1:28" s="592" customFormat="1" ht="13.5">
      <c r="A15" s="421"/>
      <c r="B15" s="52"/>
      <c r="C15" s="52"/>
      <c r="D15" s="52"/>
      <c r="E15" s="52"/>
      <c r="F15" s="488"/>
      <c r="G15" s="488"/>
      <c r="H15" s="488"/>
      <c r="I15" s="488"/>
      <c r="J15" s="488"/>
      <c r="K15" s="488"/>
      <c r="L15" s="52"/>
      <c r="M15" s="52">
        <f t="shared" si="3"/>
        <v>8</v>
      </c>
      <c r="N15" s="52"/>
      <c r="O15" s="52"/>
      <c r="P15" s="52"/>
      <c r="Q15" s="52"/>
      <c r="R15" s="52"/>
      <c r="S15" s="52"/>
      <c r="T15" s="52"/>
      <c r="U15" s="52"/>
      <c r="V15" s="52"/>
      <c r="W15" s="52"/>
      <c r="X15" s="52"/>
      <c r="Y15" s="52"/>
      <c r="Z15" s="776"/>
      <c r="AA15" s="776"/>
      <c r="AB15" s="776"/>
    </row>
    <row r="16" spans="1:28" s="592" customFormat="1" ht="13.5">
      <c r="A16" s="429"/>
      <c r="B16" s="67"/>
      <c r="C16" s="429"/>
      <c r="D16" s="67"/>
      <c r="E16" s="67"/>
      <c r="F16" s="67"/>
      <c r="G16" s="67"/>
      <c r="H16" s="67"/>
      <c r="I16" s="67"/>
      <c r="J16" s="67"/>
      <c r="K16" s="67"/>
      <c r="L16" s="67"/>
      <c r="M16" s="52">
        <f t="shared" si="3"/>
        <v>9</v>
      </c>
      <c r="N16" s="52"/>
      <c r="O16" s="52"/>
      <c r="P16" s="52"/>
      <c r="Q16" s="52"/>
      <c r="R16" s="52"/>
      <c r="S16" s="52"/>
      <c r="T16" s="52"/>
      <c r="U16" s="52"/>
      <c r="V16" s="52"/>
      <c r="W16" s="52"/>
      <c r="X16" s="52"/>
      <c r="Y16" s="52"/>
      <c r="Z16" s="776"/>
      <c r="AA16" s="776"/>
      <c r="AB16" s="776"/>
    </row>
    <row r="17" spans="1:25" s="592" customFormat="1">
      <c r="A17" s="52"/>
      <c r="B17" s="52"/>
      <c r="C17" s="52"/>
      <c r="D17" s="52"/>
      <c r="E17" s="52"/>
      <c r="F17" s="52"/>
      <c r="G17" s="52"/>
      <c r="H17" s="52"/>
      <c r="I17" s="52"/>
      <c r="J17" s="52"/>
      <c r="K17" s="52"/>
      <c r="L17" s="52"/>
      <c r="M17" s="52">
        <f t="shared" si="3"/>
        <v>10</v>
      </c>
      <c r="N17" s="52"/>
      <c r="O17" s="52"/>
      <c r="P17" s="52"/>
      <c r="Q17" s="52"/>
      <c r="R17" s="52"/>
      <c r="S17" s="52"/>
      <c r="T17" s="52"/>
      <c r="U17" s="52"/>
      <c r="V17" s="52"/>
      <c r="W17" s="52"/>
      <c r="X17" s="52"/>
      <c r="Y17" s="52"/>
    </row>
    <row r="18" spans="1:25" s="592" customFormat="1" ht="13.5">
      <c r="A18" s="52"/>
      <c r="B18" s="1156" t="s">
        <v>1025</v>
      </c>
      <c r="C18" s="1156">
        <v>9</v>
      </c>
      <c r="D18" s="1118">
        <v>42774</v>
      </c>
      <c r="E18" s="488"/>
      <c r="F18" s="488" t="s">
        <v>1026</v>
      </c>
      <c r="G18" s="488"/>
      <c r="H18" s="488"/>
      <c r="I18" s="52"/>
      <c r="J18" s="52"/>
      <c r="K18" s="52"/>
      <c r="L18" s="52"/>
      <c r="M18" s="52">
        <f t="shared" si="3"/>
        <v>11</v>
      </c>
      <c r="N18" s="52"/>
      <c r="O18" s="52"/>
      <c r="P18" s="52"/>
      <c r="Q18" s="52"/>
      <c r="R18" s="52"/>
      <c r="S18" s="52"/>
      <c r="T18" s="52"/>
      <c r="U18" s="52"/>
      <c r="V18" s="52"/>
      <c r="W18" s="52"/>
      <c r="X18" s="52"/>
      <c r="Y18" s="52"/>
    </row>
    <row r="19" spans="1:25" s="592" customFormat="1" ht="13.5">
      <c r="A19" s="52"/>
      <c r="B19" s="1156" t="s">
        <v>1030</v>
      </c>
      <c r="C19" s="1156">
        <v>9</v>
      </c>
      <c r="D19" s="1118">
        <v>42778</v>
      </c>
      <c r="E19" s="488"/>
      <c r="F19" s="488" t="s">
        <v>1031</v>
      </c>
      <c r="G19" s="488"/>
      <c r="H19" s="488"/>
      <c r="I19" s="52"/>
      <c r="J19" s="52"/>
      <c r="K19" s="52"/>
      <c r="L19" s="52"/>
      <c r="M19" s="52">
        <f t="shared" si="3"/>
        <v>12</v>
      </c>
      <c r="N19" s="52"/>
      <c r="O19" s="52"/>
      <c r="P19" s="52"/>
      <c r="Q19" s="52"/>
      <c r="R19" s="52"/>
      <c r="S19" s="52"/>
      <c r="T19" s="52"/>
      <c r="U19" s="52"/>
      <c r="V19" s="52"/>
      <c r="W19" s="52"/>
      <c r="X19" s="52"/>
      <c r="Y19" s="52"/>
    </row>
    <row r="20" spans="1:25" s="592" customFormat="1" ht="13.5">
      <c r="A20" s="52"/>
      <c r="B20" s="1156" t="s">
        <v>1034</v>
      </c>
      <c r="C20" s="1156">
        <v>9</v>
      </c>
      <c r="D20" s="488" t="s">
        <v>31</v>
      </c>
      <c r="E20" s="488"/>
      <c r="F20" s="488" t="s">
        <v>1035</v>
      </c>
      <c r="G20" s="488"/>
      <c r="H20" s="488"/>
      <c r="I20" s="52"/>
      <c r="J20" s="52"/>
      <c r="K20" s="52"/>
      <c r="L20" s="52"/>
      <c r="M20" s="52">
        <f t="shared" si="3"/>
        <v>13</v>
      </c>
      <c r="N20" s="52"/>
      <c r="O20" s="52"/>
      <c r="P20" s="52"/>
      <c r="Q20" s="52"/>
      <c r="R20" s="52"/>
      <c r="S20" s="52"/>
      <c r="T20" s="52"/>
      <c r="U20" s="52"/>
      <c r="V20" s="52"/>
      <c r="W20" s="52"/>
      <c r="X20" s="52"/>
      <c r="Y20" s="52"/>
    </row>
    <row r="21" spans="1:25" s="592" customFormat="1" ht="13.5">
      <c r="A21" s="52"/>
      <c r="B21" s="1156"/>
      <c r="C21" s="1156">
        <v>9</v>
      </c>
      <c r="D21" s="1121" t="s">
        <v>1037</v>
      </c>
      <c r="E21" s="488"/>
      <c r="F21" s="421" t="s">
        <v>1038</v>
      </c>
      <c r="G21" s="421"/>
      <c r="H21" s="488"/>
      <c r="I21" s="52"/>
      <c r="J21" s="52"/>
      <c r="K21" s="52"/>
      <c r="L21" s="52"/>
      <c r="M21" s="52">
        <f t="shared" si="3"/>
        <v>14</v>
      </c>
      <c r="N21" s="52"/>
      <c r="O21" s="52"/>
      <c r="P21" s="52"/>
      <c r="Q21" s="52"/>
      <c r="R21" s="52"/>
      <c r="S21" s="52"/>
      <c r="T21" s="52"/>
      <c r="U21" s="52"/>
      <c r="V21" s="52"/>
      <c r="W21" s="52"/>
      <c r="X21" s="52"/>
      <c r="Y21" s="52"/>
    </row>
    <row r="22" spans="1:25" s="592" customFormat="1" ht="13.5">
      <c r="A22" s="52"/>
      <c r="B22" s="1156"/>
      <c r="C22" s="1156">
        <v>9</v>
      </c>
      <c r="D22" s="488" t="s">
        <v>1039</v>
      </c>
      <c r="E22" s="488"/>
      <c r="F22" s="421" t="s">
        <v>1040</v>
      </c>
      <c r="G22" s="421"/>
      <c r="H22" s="488"/>
      <c r="I22" s="52"/>
      <c r="J22" s="52"/>
      <c r="K22" s="52"/>
      <c r="L22" s="52"/>
      <c r="M22" s="52"/>
      <c r="N22" s="52"/>
      <c r="O22" s="52"/>
      <c r="P22" s="52"/>
      <c r="Q22" s="52"/>
      <c r="R22" s="52"/>
      <c r="S22" s="52"/>
      <c r="T22" s="52"/>
      <c r="U22" s="52"/>
      <c r="V22" s="52"/>
      <c r="W22" s="52"/>
      <c r="X22" s="52"/>
      <c r="Y22" s="52"/>
    </row>
    <row r="23" spans="1:25" s="592" customFormat="1" ht="13.5">
      <c r="A23" s="52"/>
      <c r="B23" s="1156"/>
      <c r="C23" s="1156">
        <v>9</v>
      </c>
      <c r="D23" s="488" t="s">
        <v>1041</v>
      </c>
      <c r="E23" s="488"/>
      <c r="F23" s="421" t="s">
        <v>928</v>
      </c>
      <c r="G23" s="421"/>
      <c r="H23" s="488"/>
      <c r="I23" s="52" t="s">
        <v>554</v>
      </c>
      <c r="J23" s="52"/>
      <c r="K23" s="52"/>
      <c r="L23" s="52"/>
      <c r="M23" s="52"/>
      <c r="N23" s="52"/>
      <c r="O23" s="52"/>
      <c r="P23" s="52"/>
      <c r="Q23" s="52"/>
      <c r="R23" s="52"/>
      <c r="S23" s="52"/>
      <c r="T23" s="52"/>
      <c r="U23" s="52"/>
      <c r="V23" s="52"/>
      <c r="W23" s="52"/>
      <c r="X23" s="52"/>
      <c r="Y23" s="52"/>
    </row>
    <row r="24" spans="1:25" s="592" customFormat="1" ht="13.5">
      <c r="A24" s="52"/>
      <c r="B24" s="1156"/>
      <c r="C24" s="1156"/>
      <c r="D24" s="1123">
        <v>42790</v>
      </c>
      <c r="E24" s="488"/>
      <c r="F24" s="421" t="s">
        <v>1042</v>
      </c>
      <c r="G24" s="421"/>
      <c r="H24" s="488"/>
      <c r="I24" s="52"/>
      <c r="J24" s="52"/>
      <c r="K24" s="52"/>
      <c r="L24" s="52"/>
      <c r="M24" s="52"/>
      <c r="N24" s="52"/>
      <c r="O24" s="52"/>
      <c r="P24" s="52"/>
      <c r="Q24" s="52"/>
      <c r="R24" s="52"/>
      <c r="S24" s="52"/>
      <c r="T24" s="52"/>
      <c r="U24" s="52"/>
      <c r="V24" s="52"/>
      <c r="W24" s="52"/>
      <c r="X24" s="52"/>
      <c r="Y24" s="52"/>
    </row>
    <row r="25" spans="1:25" s="592" customFormat="1" ht="13.5">
      <c r="A25" s="52"/>
      <c r="B25" s="67"/>
      <c r="C25" s="67"/>
      <c r="D25" s="67"/>
      <c r="E25" s="67"/>
      <c r="F25" s="1124" t="s">
        <v>658</v>
      </c>
      <c r="G25" s="1124"/>
      <c r="H25" s="1125"/>
      <c r="I25" s="67"/>
      <c r="J25" s="67"/>
      <c r="K25" s="67"/>
      <c r="L25" s="67"/>
      <c r="M25" s="52"/>
      <c r="N25" s="52"/>
      <c r="O25" s="52"/>
      <c r="P25" s="52"/>
      <c r="Q25" s="52"/>
      <c r="R25" s="52"/>
      <c r="S25" s="52"/>
      <c r="T25" s="52"/>
      <c r="U25" s="52"/>
      <c r="V25" s="52"/>
      <c r="W25" s="52"/>
      <c r="X25" s="52"/>
      <c r="Y25" s="52"/>
    </row>
    <row r="26" spans="1:25" s="592" customFormat="1">
      <c r="A26" s="52"/>
      <c r="B26" s="52"/>
      <c r="C26" s="52"/>
      <c r="D26" s="52"/>
      <c r="E26" s="52"/>
      <c r="F26" s="52"/>
      <c r="G26" s="52"/>
      <c r="H26" s="52"/>
      <c r="I26" s="52"/>
      <c r="J26" s="52"/>
      <c r="K26" s="52"/>
      <c r="L26" s="52"/>
      <c r="M26" s="52"/>
      <c r="N26" s="52"/>
      <c r="O26" s="52"/>
      <c r="P26" s="52"/>
      <c r="Q26" s="52"/>
      <c r="R26" s="52"/>
      <c r="S26" s="52"/>
      <c r="T26" s="52"/>
      <c r="U26" s="52"/>
      <c r="V26" s="52"/>
      <c r="W26" s="52"/>
      <c r="X26" s="52"/>
      <c r="Y26" s="52"/>
    </row>
    <row r="27" spans="1:25" s="592" customFormat="1">
      <c r="A27" s="52"/>
      <c r="B27" s="52"/>
      <c r="C27" s="52"/>
      <c r="D27" s="52"/>
      <c r="E27" s="52"/>
      <c r="F27" s="52"/>
      <c r="G27" s="52"/>
      <c r="H27" s="52"/>
      <c r="I27" s="52"/>
      <c r="J27" s="52"/>
      <c r="K27" s="52"/>
      <c r="L27" s="52"/>
      <c r="M27" s="52"/>
      <c r="N27" s="52"/>
      <c r="O27" s="52"/>
      <c r="P27" s="52"/>
      <c r="Q27" s="52"/>
      <c r="R27" s="52"/>
      <c r="S27" s="52"/>
      <c r="T27" s="52"/>
      <c r="U27" s="52"/>
      <c r="V27" s="52"/>
      <c r="W27" s="52"/>
      <c r="X27" s="52"/>
      <c r="Y27" s="52"/>
    </row>
    <row r="28" spans="1:25" s="592" customFormat="1">
      <c r="A28" s="52"/>
      <c r="B28" s="52"/>
      <c r="C28" s="52"/>
      <c r="D28" s="52"/>
      <c r="E28" s="52"/>
      <c r="F28" s="52"/>
      <c r="G28" s="52"/>
      <c r="H28" s="52"/>
      <c r="I28" s="52"/>
      <c r="J28" s="52"/>
      <c r="K28" s="52"/>
      <c r="L28" s="52"/>
      <c r="M28" s="52"/>
      <c r="N28" s="52"/>
      <c r="O28" s="52"/>
      <c r="P28" s="52"/>
      <c r="Q28" s="52"/>
      <c r="R28" s="52"/>
      <c r="S28" s="52"/>
      <c r="T28" s="52"/>
      <c r="U28" s="52"/>
      <c r="V28" s="52"/>
      <c r="W28" s="52"/>
      <c r="X28" s="52"/>
      <c r="Y28" s="52"/>
    </row>
    <row r="29" spans="1:25">
      <c r="A29" s="52"/>
      <c r="B29" s="52"/>
      <c r="C29" s="52"/>
      <c r="D29" s="52"/>
      <c r="E29" s="52"/>
      <c r="F29" s="52"/>
      <c r="G29" s="52"/>
      <c r="H29" s="52"/>
      <c r="I29" s="52"/>
      <c r="J29" s="52"/>
      <c r="K29" s="52"/>
      <c r="L29" s="52"/>
      <c r="M29" s="52"/>
      <c r="N29" s="52"/>
      <c r="O29" s="52"/>
      <c r="P29" s="52"/>
      <c r="Q29" s="52"/>
      <c r="R29" s="52"/>
      <c r="S29" s="52"/>
      <c r="T29" s="52"/>
      <c r="U29" s="52"/>
      <c r="V29" s="52"/>
      <c r="W29" s="52"/>
      <c r="X29" s="52"/>
      <c r="Y29" s="52"/>
    </row>
    <row r="30" spans="1:25">
      <c r="A30" s="52"/>
      <c r="B30" s="52"/>
      <c r="C30" s="52"/>
      <c r="D30" s="52"/>
      <c r="E30" s="52"/>
      <c r="F30" s="52"/>
      <c r="G30" s="52"/>
      <c r="H30" s="52"/>
      <c r="I30" s="52" t="s">
        <v>1057</v>
      </c>
      <c r="J30" s="242"/>
      <c r="K30" s="52"/>
      <c r="L30" s="52"/>
      <c r="M30" s="52"/>
      <c r="N30" s="1158"/>
      <c r="O30" s="52" t="s">
        <v>1058</v>
      </c>
      <c r="P30" s="52"/>
      <c r="Q30" s="52"/>
      <c r="R30" s="52"/>
      <c r="S30" s="52"/>
      <c r="T30" s="52"/>
      <c r="U30" s="52"/>
      <c r="V30" s="52"/>
      <c r="W30" s="52"/>
      <c r="X30" s="52"/>
      <c r="Y30" s="52"/>
    </row>
    <row r="31" spans="1:25">
      <c r="A31" s="52"/>
      <c r="B31" s="52"/>
      <c r="C31" s="52"/>
      <c r="D31" s="52"/>
      <c r="E31" s="52"/>
      <c r="F31" s="52"/>
      <c r="G31" s="52"/>
      <c r="H31" s="52"/>
      <c r="I31" s="52"/>
      <c r="J31" s="242"/>
      <c r="K31" s="52"/>
      <c r="L31" s="52"/>
      <c r="M31" s="52"/>
      <c r="N31" s="242"/>
      <c r="O31" s="52"/>
      <c r="P31" s="52"/>
      <c r="Q31" s="52"/>
      <c r="R31" s="52"/>
      <c r="S31" s="52"/>
      <c r="T31" s="52"/>
      <c r="U31" s="52"/>
      <c r="V31" s="52"/>
      <c r="W31" s="52"/>
      <c r="X31" s="52"/>
      <c r="Y31" s="52"/>
    </row>
    <row r="32" spans="1:25">
      <c r="A32" s="52"/>
      <c r="B32" s="52"/>
      <c r="C32" s="52"/>
      <c r="D32" s="52"/>
      <c r="E32" s="52"/>
      <c r="F32" s="52"/>
      <c r="G32" s="52"/>
      <c r="H32" s="52"/>
      <c r="I32" s="52"/>
      <c r="J32" s="52"/>
      <c r="K32" s="52"/>
      <c r="L32" s="52"/>
      <c r="M32" s="52"/>
      <c r="N32" s="242"/>
      <c r="O32" s="52"/>
      <c r="P32" s="52"/>
      <c r="Q32" s="52"/>
      <c r="R32" s="52"/>
      <c r="S32" s="52"/>
      <c r="T32" s="52"/>
      <c r="U32" s="52"/>
      <c r="V32" s="52"/>
      <c r="W32" s="52"/>
      <c r="X32" s="52"/>
      <c r="Y32" s="52"/>
    </row>
    <row r="33" spans="1:25">
      <c r="A33" s="52"/>
      <c r="B33" s="52"/>
      <c r="C33" s="52"/>
      <c r="D33" s="52"/>
      <c r="E33" s="52"/>
      <c r="F33" s="52"/>
      <c r="G33" s="52"/>
      <c r="H33" s="52"/>
      <c r="I33" s="52"/>
      <c r="J33" s="52"/>
      <c r="K33" s="242"/>
      <c r="L33" s="52"/>
      <c r="M33" s="242"/>
      <c r="N33" s="52"/>
      <c r="O33" s="52"/>
      <c r="P33" s="52"/>
      <c r="Q33" s="52"/>
      <c r="R33" s="52"/>
      <c r="S33" s="52"/>
      <c r="T33" s="52"/>
      <c r="U33" s="52"/>
      <c r="V33" s="52"/>
      <c r="W33" s="52"/>
      <c r="X33" s="52"/>
      <c r="Y33" s="52"/>
    </row>
    <row r="34" spans="1:25">
      <c r="A34" s="52"/>
      <c r="B34" s="52"/>
      <c r="C34" s="52"/>
      <c r="D34" s="52"/>
      <c r="E34" s="52"/>
      <c r="F34" s="52"/>
      <c r="G34" s="52"/>
      <c r="H34" s="52"/>
      <c r="I34" s="52"/>
      <c r="J34" s="242"/>
      <c r="K34" s="52"/>
      <c r="L34" s="52"/>
      <c r="M34" s="52"/>
      <c r="N34" s="52"/>
      <c r="O34" s="52"/>
      <c r="P34" s="52"/>
      <c r="Q34" s="52"/>
      <c r="R34" s="52"/>
      <c r="S34" s="52"/>
      <c r="T34" s="52"/>
      <c r="U34" s="52"/>
      <c r="V34" s="52"/>
      <c r="W34" s="52"/>
      <c r="X34" s="52"/>
      <c r="Y34" s="52"/>
    </row>
    <row r="35" spans="1:25">
      <c r="A35" s="52"/>
      <c r="B35" s="52"/>
      <c r="C35" s="52"/>
      <c r="D35" s="52"/>
      <c r="E35" s="52"/>
      <c r="F35" s="52"/>
      <c r="G35" s="52"/>
      <c r="H35" s="52"/>
      <c r="I35" s="52"/>
      <c r="J35" s="242"/>
      <c r="K35" s="52"/>
      <c r="L35" s="52"/>
      <c r="M35" s="52"/>
      <c r="N35" s="52"/>
      <c r="O35" s="52"/>
      <c r="P35" s="52"/>
      <c r="Q35" s="52"/>
      <c r="R35" s="52"/>
      <c r="S35" s="52"/>
      <c r="T35" s="52"/>
      <c r="U35" s="52"/>
      <c r="V35" s="52"/>
      <c r="W35" s="52"/>
      <c r="X35" s="52"/>
      <c r="Y35" s="52"/>
    </row>
    <row r="36" spans="1:25">
      <c r="A36" s="52"/>
      <c r="B36" s="52"/>
      <c r="C36" s="52"/>
      <c r="D36" s="52"/>
      <c r="E36" s="52"/>
      <c r="F36" s="52"/>
      <c r="G36" s="52"/>
      <c r="H36" s="52"/>
      <c r="I36" s="52"/>
      <c r="J36" s="52"/>
      <c r="K36" s="52"/>
      <c r="L36" s="52"/>
      <c r="M36" s="52"/>
      <c r="N36" s="52"/>
      <c r="O36" s="52"/>
      <c r="P36" s="52"/>
      <c r="Q36" s="52"/>
      <c r="R36" s="52"/>
      <c r="S36" s="52"/>
      <c r="T36" s="52"/>
      <c r="U36" s="52"/>
      <c r="V36" s="52"/>
      <c r="W36" s="52"/>
      <c r="X36" s="52"/>
      <c r="Y36" s="52"/>
    </row>
    <row r="37" spans="1:25">
      <c r="A37" s="52"/>
      <c r="B37" s="1159" t="s">
        <v>1059</v>
      </c>
      <c r="C37" s="681"/>
      <c r="D37" s="681"/>
      <c r="E37" s="681"/>
      <c r="F37" s="681"/>
      <c r="G37" s="609"/>
      <c r="H37" s="52"/>
      <c r="I37" s="52"/>
      <c r="J37" s="52"/>
      <c r="K37" s="52"/>
      <c r="L37" s="52"/>
      <c r="M37" s="52"/>
      <c r="N37" s="52"/>
      <c r="O37" s="52"/>
      <c r="P37" s="52"/>
      <c r="Q37" s="52"/>
      <c r="R37" s="52"/>
      <c r="S37" s="52"/>
      <c r="T37" s="52"/>
      <c r="U37" s="52"/>
      <c r="V37" s="52"/>
      <c r="W37" s="52"/>
      <c r="X37" s="52"/>
      <c r="Y37" s="52"/>
    </row>
    <row r="38" spans="1:25">
      <c r="A38" s="52"/>
      <c r="B38" s="69"/>
      <c r="C38" s="1160" t="s">
        <v>1060</v>
      </c>
      <c r="D38" s="1160"/>
      <c r="E38" s="1160" t="s">
        <v>627</v>
      </c>
      <c r="F38" s="1160" t="s">
        <v>1</v>
      </c>
      <c r="G38" s="1160"/>
      <c r="H38" s="52"/>
      <c r="I38" s="52"/>
      <c r="J38" s="52"/>
      <c r="K38" s="52"/>
      <c r="L38" s="1161">
        <v>12345</v>
      </c>
      <c r="M38" s="52"/>
      <c r="N38" s="52"/>
      <c r="O38" s="52"/>
      <c r="P38" s="52"/>
      <c r="Q38" s="52"/>
      <c r="R38" s="52"/>
      <c r="S38" s="52"/>
      <c r="T38" s="52"/>
      <c r="U38" s="52"/>
      <c r="V38" s="52"/>
      <c r="W38" s="52"/>
      <c r="X38" s="52"/>
      <c r="Y38" s="52"/>
    </row>
    <row r="39" spans="1:25">
      <c r="A39" s="52"/>
      <c r="B39" s="1162" t="s">
        <v>1061</v>
      </c>
      <c r="C39" s="72" t="s">
        <v>1062</v>
      </c>
      <c r="D39" s="72"/>
      <c r="E39" s="69"/>
      <c r="F39" s="69"/>
      <c r="G39" s="69"/>
      <c r="H39" s="52"/>
      <c r="I39" s="52"/>
      <c r="J39" s="52"/>
      <c r="K39" s="52"/>
      <c r="L39" s="52">
        <v>1234</v>
      </c>
      <c r="M39" s="52"/>
      <c r="N39" s="52"/>
      <c r="O39" s="52"/>
      <c r="P39" s="52"/>
      <c r="Q39" s="52"/>
      <c r="R39" s="52"/>
      <c r="S39" s="52"/>
      <c r="T39" s="52"/>
      <c r="U39" s="52"/>
      <c r="V39" s="52"/>
      <c r="W39" s="52"/>
      <c r="X39" s="52"/>
      <c r="Y39" s="52"/>
    </row>
    <row r="40" spans="1:25">
      <c r="A40" s="52"/>
      <c r="B40" s="1162"/>
      <c r="C40" s="69"/>
      <c r="D40" s="69"/>
      <c r="E40" s="69"/>
      <c r="F40" s="69"/>
      <c r="G40" s="69"/>
      <c r="H40" s="52"/>
      <c r="I40" s="52"/>
      <c r="J40" s="52"/>
      <c r="K40" s="52"/>
      <c r="L40" s="52"/>
      <c r="M40" s="52"/>
      <c r="N40" s="52"/>
      <c r="O40" s="52"/>
      <c r="P40" s="52"/>
      <c r="Q40" s="52"/>
      <c r="R40" s="52"/>
      <c r="S40" s="52"/>
      <c r="T40" s="52"/>
      <c r="U40" s="52"/>
      <c r="V40" s="52"/>
      <c r="W40" s="52"/>
      <c r="X40" s="52"/>
      <c r="Y40" s="52"/>
    </row>
    <row r="41" spans="1:25">
      <c r="A41" s="52"/>
      <c r="B41" s="1162" t="s">
        <v>1033</v>
      </c>
      <c r="C41" s="69">
        <v>195</v>
      </c>
      <c r="D41" s="69"/>
      <c r="E41" s="69">
        <v>215</v>
      </c>
      <c r="F41" s="69">
        <v>227</v>
      </c>
      <c r="G41" s="69"/>
      <c r="H41" s="52"/>
      <c r="I41" s="52"/>
      <c r="J41" s="52"/>
      <c r="K41" s="52"/>
      <c r="L41" s="52"/>
      <c r="M41" s="52"/>
      <c r="N41" s="52"/>
      <c r="O41" s="52"/>
      <c r="P41" s="52"/>
      <c r="Q41" s="52"/>
      <c r="R41" s="52"/>
      <c r="S41" s="52"/>
      <c r="T41" s="52"/>
      <c r="U41" s="52"/>
      <c r="V41" s="52"/>
      <c r="W41" s="52"/>
      <c r="X41" s="52"/>
      <c r="Y41" s="52"/>
    </row>
    <row r="42" spans="1:25">
      <c r="A42" s="52"/>
      <c r="B42" s="1162" t="s">
        <v>1063</v>
      </c>
      <c r="C42" s="69">
        <v>235</v>
      </c>
      <c r="D42" s="69"/>
      <c r="E42" s="69">
        <v>242</v>
      </c>
      <c r="F42" s="69">
        <v>245</v>
      </c>
      <c r="G42" s="69"/>
      <c r="H42" s="52"/>
      <c r="I42" s="52"/>
      <c r="J42" s="52"/>
      <c r="K42" s="52"/>
      <c r="L42" s="52"/>
      <c r="M42" s="52"/>
      <c r="N42" s="52"/>
      <c r="O42" s="52"/>
      <c r="P42" s="52"/>
      <c r="Q42" s="52"/>
      <c r="R42" s="52"/>
      <c r="S42" s="52"/>
      <c r="T42" s="52"/>
      <c r="U42" s="52"/>
      <c r="V42" s="52"/>
      <c r="W42" s="52"/>
      <c r="X42" s="52"/>
      <c r="Y42" s="52"/>
    </row>
    <row r="43" spans="1:25">
      <c r="A43" s="52"/>
      <c r="B43" s="1162" t="s">
        <v>1064</v>
      </c>
      <c r="C43" s="69">
        <v>35</v>
      </c>
      <c r="D43" s="69"/>
      <c r="E43" s="69">
        <v>38</v>
      </c>
      <c r="F43" s="69">
        <v>42</v>
      </c>
      <c r="G43" s="69"/>
      <c r="H43" s="1163"/>
      <c r="I43" s="52"/>
      <c r="J43" s="52"/>
      <c r="K43" s="52"/>
      <c r="L43" s="52"/>
      <c r="M43" s="52"/>
      <c r="N43" s="52"/>
      <c r="O43" s="52"/>
      <c r="P43" s="52"/>
      <c r="Q43" s="52"/>
      <c r="R43" s="52"/>
      <c r="S43" s="52"/>
      <c r="T43" s="52"/>
      <c r="U43" s="52"/>
      <c r="V43" s="52"/>
      <c r="W43" s="52"/>
      <c r="X43" s="52"/>
      <c r="Y43" s="52"/>
    </row>
    <row r="44" spans="1:25">
      <c r="A44" s="52"/>
      <c r="B44" s="1162" t="s">
        <v>1027</v>
      </c>
      <c r="C44" s="69">
        <v>230</v>
      </c>
      <c r="D44" s="69"/>
      <c r="E44" s="69">
        <v>0</v>
      </c>
      <c r="F44" s="69">
        <v>25</v>
      </c>
      <c r="G44" s="69"/>
      <c r="H44" s="52"/>
      <c r="I44" s="52"/>
      <c r="J44" s="52"/>
      <c r="K44" s="52"/>
      <c r="L44" s="52"/>
      <c r="M44" s="52"/>
      <c r="N44" s="52"/>
      <c r="O44" s="52"/>
      <c r="P44" s="52"/>
      <c r="Q44" s="52"/>
      <c r="R44" s="52"/>
      <c r="S44" s="52"/>
      <c r="T44" s="52"/>
      <c r="U44" s="52"/>
      <c r="V44" s="52"/>
      <c r="W44" s="52"/>
      <c r="X44" s="52"/>
      <c r="Y44" s="52"/>
    </row>
    <row r="45" spans="1:25">
      <c r="A45" s="52"/>
      <c r="B45" s="1162" t="s">
        <v>1065</v>
      </c>
      <c r="C45" s="69">
        <v>95</v>
      </c>
      <c r="D45" s="69"/>
      <c r="E45" s="69">
        <v>198</v>
      </c>
      <c r="F45" s="69">
        <v>245</v>
      </c>
      <c r="G45" s="69"/>
      <c r="H45" s="1164"/>
      <c r="I45" s="52"/>
      <c r="J45" s="52"/>
      <c r="K45" s="52"/>
      <c r="L45" s="52"/>
      <c r="M45" s="52"/>
      <c r="N45" s="52"/>
      <c r="O45" s="52"/>
      <c r="P45" s="52"/>
      <c r="Q45" s="52"/>
      <c r="R45" s="52"/>
      <c r="S45" s="52"/>
      <c r="T45" s="52"/>
      <c r="U45" s="52"/>
      <c r="V45" s="52"/>
      <c r="W45" s="52"/>
      <c r="X45" s="52"/>
      <c r="Y45" s="52"/>
    </row>
    <row r="46" spans="1:25">
      <c r="A46" s="52"/>
      <c r="B46" s="1162" t="s">
        <v>1066</v>
      </c>
      <c r="C46" s="69">
        <v>18</v>
      </c>
      <c r="D46" s="69"/>
      <c r="E46" s="69">
        <v>147</v>
      </c>
      <c r="F46" s="69">
        <v>212</v>
      </c>
      <c r="G46" s="69"/>
      <c r="H46" s="1165"/>
      <c r="I46" s="52"/>
      <c r="J46" s="52"/>
      <c r="K46" s="52"/>
      <c r="L46" s="52"/>
      <c r="M46" s="52"/>
      <c r="N46" s="52"/>
      <c r="O46" s="52"/>
      <c r="P46" s="52"/>
      <c r="Q46" s="52"/>
      <c r="R46" s="52"/>
      <c r="S46" s="52"/>
      <c r="T46" s="52"/>
      <c r="U46" s="52"/>
      <c r="V46" s="52"/>
      <c r="W46" s="52"/>
      <c r="X46" s="52"/>
      <c r="Y46" s="52"/>
    </row>
    <row r="47" spans="1:25">
      <c r="A47" s="52"/>
      <c r="B47" s="1166" t="s">
        <v>1067</v>
      </c>
      <c r="C47" s="67">
        <v>8</v>
      </c>
      <c r="D47" s="67"/>
      <c r="E47" s="67">
        <v>63</v>
      </c>
      <c r="F47" s="67">
        <v>90</v>
      </c>
      <c r="G47" s="69"/>
      <c r="H47" s="1167"/>
      <c r="I47" s="52"/>
      <c r="J47" s="52"/>
      <c r="K47" s="52"/>
      <c r="L47" s="52"/>
      <c r="M47" s="52"/>
      <c r="N47" s="52"/>
      <c r="O47" s="52"/>
      <c r="P47" s="52"/>
      <c r="Q47" s="52"/>
      <c r="R47" s="52"/>
      <c r="S47" s="52"/>
      <c r="T47" s="52"/>
      <c r="U47" s="52"/>
      <c r="V47" s="52"/>
      <c r="W47" s="52"/>
      <c r="X47" s="52"/>
      <c r="Y47" s="52"/>
    </row>
    <row r="48" spans="1:25">
      <c r="A48" s="52"/>
      <c r="B48" s="52"/>
      <c r="C48" s="52"/>
      <c r="D48" s="52"/>
      <c r="E48" s="52"/>
      <c r="F48" s="52"/>
      <c r="G48" s="52"/>
      <c r="H48" s="52"/>
      <c r="I48" s="52"/>
      <c r="J48" s="52"/>
      <c r="K48" s="52"/>
      <c r="L48" s="52"/>
      <c r="M48" s="52"/>
      <c r="N48" s="52"/>
      <c r="O48" s="52"/>
      <c r="P48" s="52"/>
      <c r="Q48" s="52"/>
      <c r="R48" s="52"/>
      <c r="S48" s="52"/>
      <c r="T48" s="52"/>
      <c r="U48" s="52"/>
      <c r="V48" s="52"/>
      <c r="W48" s="52"/>
      <c r="X48" s="52"/>
      <c r="Y48" s="52"/>
    </row>
    <row r="49" spans="1:25">
      <c r="A49" s="52"/>
      <c r="B49" s="52"/>
      <c r="C49" s="52"/>
      <c r="D49" s="52"/>
      <c r="E49" s="52"/>
      <c r="F49" s="52"/>
      <c r="G49" s="52"/>
      <c r="H49" s="52"/>
      <c r="I49" s="52"/>
      <c r="J49" s="52"/>
      <c r="K49" s="52"/>
      <c r="L49" s="52"/>
      <c r="M49" s="52"/>
      <c r="N49" s="52"/>
      <c r="O49" s="52"/>
      <c r="P49" s="52"/>
      <c r="Q49" s="52"/>
      <c r="R49" s="52"/>
      <c r="S49" s="52"/>
      <c r="T49" s="52"/>
      <c r="U49" s="52"/>
      <c r="V49" s="52"/>
      <c r="W49" s="52"/>
      <c r="X49" s="52"/>
      <c r="Y49" s="52"/>
    </row>
    <row r="50" spans="1:25">
      <c r="A50" s="52"/>
      <c r="B50" s="52"/>
      <c r="C50" s="52"/>
      <c r="D50" s="52"/>
      <c r="E50" s="52"/>
      <c r="F50" s="52"/>
      <c r="G50" s="52"/>
      <c r="H50" s="52"/>
      <c r="I50" s="52"/>
      <c r="J50" s="52"/>
      <c r="K50" s="52"/>
      <c r="L50" s="52"/>
      <c r="M50" s="52"/>
      <c r="N50" s="52"/>
      <c r="O50" s="52"/>
      <c r="P50" s="52"/>
      <c r="Q50" s="52"/>
      <c r="R50" s="52"/>
      <c r="S50" s="52"/>
      <c r="T50" s="52"/>
      <c r="U50" s="52"/>
      <c r="V50" s="52"/>
      <c r="W50" s="52"/>
      <c r="X50" s="52"/>
      <c r="Y50" s="52"/>
    </row>
    <row r="51" spans="1:25">
      <c r="A51" s="52"/>
      <c r="B51" s="52"/>
      <c r="C51" s="52"/>
      <c r="D51" s="52"/>
      <c r="E51" s="52"/>
      <c r="F51" s="52"/>
      <c r="G51" s="52"/>
      <c r="H51" s="52"/>
      <c r="I51" s="52"/>
      <c r="J51" s="52"/>
      <c r="K51" s="52"/>
      <c r="L51" s="52"/>
      <c r="M51" s="52"/>
      <c r="N51" s="52"/>
      <c r="O51" s="52"/>
      <c r="P51" s="52"/>
      <c r="Q51" s="52"/>
      <c r="R51" s="52"/>
      <c r="S51" s="52"/>
      <c r="T51" s="52"/>
      <c r="U51" s="52"/>
      <c r="V51" s="52"/>
      <c r="W51" s="52"/>
      <c r="X51" s="52"/>
      <c r="Y51" s="52"/>
    </row>
    <row r="52" spans="1:25">
      <c r="A52" s="52"/>
      <c r="B52" s="52"/>
      <c r="C52" s="52"/>
      <c r="D52" s="52"/>
      <c r="E52" s="52"/>
      <c r="F52" s="52"/>
      <c r="G52" s="52"/>
      <c r="H52" s="52"/>
      <c r="I52" s="52"/>
      <c r="J52" s="52"/>
      <c r="K52" s="52"/>
      <c r="L52" s="52"/>
      <c r="M52" s="52"/>
      <c r="N52" s="52"/>
      <c r="O52" s="52"/>
      <c r="P52" s="52"/>
      <c r="Q52" s="52"/>
      <c r="R52" s="52"/>
      <c r="S52" s="52"/>
      <c r="T52" s="52"/>
      <c r="U52" s="52"/>
      <c r="V52" s="52"/>
      <c r="W52" s="52"/>
      <c r="X52" s="52"/>
      <c r="Y52" s="52"/>
    </row>
    <row r="53" spans="1:25">
      <c r="A53" s="52"/>
      <c r="B53" s="52"/>
      <c r="C53" s="52"/>
      <c r="D53" s="52"/>
      <c r="E53" s="52"/>
      <c r="F53" s="52"/>
      <c r="G53" s="52"/>
      <c r="H53" s="52"/>
      <c r="I53" s="52"/>
      <c r="J53" s="52"/>
      <c r="K53" s="52"/>
      <c r="L53" s="52"/>
      <c r="M53" s="52"/>
      <c r="N53" s="52"/>
      <c r="O53" s="52"/>
      <c r="P53" s="52"/>
      <c r="Q53" s="52"/>
      <c r="R53" s="52"/>
      <c r="S53" s="52"/>
      <c r="T53" s="52"/>
      <c r="U53" s="52"/>
      <c r="V53" s="52"/>
      <c r="W53" s="52"/>
      <c r="X53" s="52"/>
      <c r="Y53" s="52"/>
    </row>
    <row r="54" spans="1:25">
      <c r="A54" s="52"/>
      <c r="B54" s="52"/>
      <c r="C54" s="52"/>
      <c r="D54" s="52"/>
      <c r="E54" s="52"/>
      <c r="F54" s="52"/>
      <c r="G54" s="52"/>
      <c r="H54" s="52"/>
      <c r="I54" s="52"/>
      <c r="J54" s="52"/>
      <c r="K54" s="52"/>
      <c r="L54" s="52"/>
      <c r="M54" s="52"/>
      <c r="N54" s="52"/>
      <c r="O54" s="52"/>
      <c r="P54" s="52"/>
      <c r="Q54" s="52"/>
      <c r="R54" s="52"/>
      <c r="S54" s="52"/>
      <c r="T54" s="52"/>
      <c r="U54" s="52"/>
      <c r="V54" s="52"/>
      <c r="W54" s="52"/>
      <c r="X54" s="52"/>
      <c r="Y54" s="52"/>
    </row>
    <row r="55" spans="1:25">
      <c r="A55" s="52"/>
      <c r="B55" s="52"/>
      <c r="C55" s="52"/>
      <c r="D55" s="52"/>
      <c r="E55" s="52"/>
      <c r="F55" s="52"/>
      <c r="G55" s="52"/>
      <c r="H55" s="52"/>
      <c r="I55" s="52"/>
      <c r="J55" s="52"/>
      <c r="K55" s="52"/>
      <c r="L55" s="52"/>
      <c r="M55" s="52"/>
      <c r="N55" s="52"/>
      <c r="O55" s="52"/>
      <c r="P55" s="52"/>
      <c r="Q55" s="52"/>
      <c r="R55" s="52"/>
      <c r="S55" s="52"/>
      <c r="T55" s="52"/>
      <c r="U55" s="52"/>
      <c r="V55" s="52"/>
      <c r="W55" s="52"/>
      <c r="X55" s="52"/>
      <c r="Y55" s="52"/>
    </row>
    <row r="56" spans="1:25">
      <c r="A56" s="52"/>
      <c r="B56" s="52"/>
      <c r="C56" s="52"/>
      <c r="D56" s="52"/>
      <c r="E56" s="52"/>
      <c r="F56" s="52"/>
      <c r="G56" s="52"/>
      <c r="H56" s="52"/>
      <c r="I56" s="52"/>
      <c r="J56" s="52"/>
      <c r="K56" s="52"/>
      <c r="L56" s="52"/>
      <c r="M56" s="52"/>
      <c r="N56" s="52"/>
      <c r="O56" s="52"/>
      <c r="P56" s="52"/>
      <c r="Q56" s="52"/>
      <c r="R56" s="52"/>
      <c r="S56" s="52"/>
      <c r="T56" s="52"/>
      <c r="U56" s="52"/>
      <c r="V56" s="52"/>
      <c r="W56" s="52"/>
      <c r="X56" s="52"/>
      <c r="Y56" s="52"/>
    </row>
    <row r="57" spans="1:25">
      <c r="A57" s="52"/>
      <c r="B57" s="52"/>
      <c r="C57" s="52"/>
      <c r="D57" s="52"/>
      <c r="E57" s="52"/>
      <c r="F57" s="52"/>
      <c r="G57" s="52"/>
      <c r="H57" s="52"/>
      <c r="I57" s="52"/>
      <c r="J57" s="52"/>
      <c r="K57" s="52"/>
      <c r="L57" s="52"/>
      <c r="M57" s="52"/>
      <c r="N57" s="52"/>
      <c r="O57" s="52"/>
      <c r="P57" s="52"/>
      <c r="Q57" s="52"/>
      <c r="R57" s="52"/>
      <c r="S57" s="52"/>
      <c r="T57" s="52"/>
      <c r="U57" s="52"/>
      <c r="V57" s="52"/>
      <c r="W57" s="52"/>
      <c r="X57" s="52"/>
      <c r="Y57" s="52"/>
    </row>
    <row r="58" spans="1:25">
      <c r="A58" s="52"/>
      <c r="B58" s="52"/>
      <c r="C58" s="52"/>
      <c r="D58" s="52"/>
      <c r="E58" s="52"/>
      <c r="F58" s="52"/>
      <c r="G58" s="52"/>
      <c r="H58" s="52"/>
      <c r="I58" s="52"/>
      <c r="J58" s="52"/>
      <c r="K58" s="52"/>
      <c r="L58" s="52"/>
      <c r="M58" s="52"/>
      <c r="N58" s="52"/>
      <c r="O58" s="52"/>
      <c r="P58" s="52"/>
      <c r="Q58" s="52"/>
      <c r="R58" s="52"/>
      <c r="S58" s="52"/>
      <c r="T58" s="52"/>
      <c r="U58" s="52"/>
      <c r="V58" s="52"/>
      <c r="W58" s="52"/>
      <c r="X58" s="52"/>
      <c r="Y58" s="52"/>
    </row>
    <row r="59" spans="1:25">
      <c r="A59" s="52"/>
      <c r="B59" s="52"/>
      <c r="C59" s="52"/>
      <c r="D59" s="52"/>
      <c r="E59" s="52"/>
      <c r="F59" s="52"/>
      <c r="G59" s="52"/>
      <c r="H59" s="52"/>
      <c r="I59" s="52"/>
      <c r="J59" s="52"/>
      <c r="K59" s="52"/>
      <c r="L59" s="52"/>
      <c r="M59" s="52"/>
      <c r="N59" s="52"/>
      <c r="O59" s="52"/>
      <c r="P59" s="52"/>
      <c r="Q59" s="52"/>
      <c r="R59" s="52"/>
      <c r="S59" s="52"/>
      <c r="T59" s="52"/>
      <c r="U59" s="52"/>
      <c r="V59" s="52"/>
      <c r="W59" s="52"/>
      <c r="X59" s="52"/>
      <c r="Y59" s="52"/>
    </row>
    <row r="60" spans="1:25">
      <c r="A60" s="52"/>
      <c r="B60" s="52"/>
      <c r="C60" s="52"/>
      <c r="D60" s="52"/>
      <c r="E60" s="52"/>
      <c r="F60" s="52"/>
      <c r="G60" s="52"/>
      <c r="H60" s="52"/>
      <c r="I60" s="52"/>
      <c r="J60" s="52"/>
      <c r="K60" s="52"/>
      <c r="L60" s="52"/>
      <c r="M60" s="52"/>
      <c r="N60" s="52"/>
      <c r="O60" s="52"/>
      <c r="P60" s="52"/>
      <c r="Q60" s="52"/>
      <c r="R60" s="52"/>
      <c r="S60" s="52"/>
      <c r="T60" s="52"/>
      <c r="U60" s="52"/>
      <c r="V60" s="52"/>
      <c r="W60" s="52"/>
      <c r="X60" s="52"/>
      <c r="Y60" s="52"/>
    </row>
  </sheetData>
  <mergeCells count="3">
    <mergeCell ref="A1:D1"/>
    <mergeCell ref="F1:G1"/>
    <mergeCell ref="H1:J1"/>
  </mergeCells>
  <pageMargins left="0.7" right="0.7" top="0.75" bottom="0.75" header="0.3" footer="0.3"/>
  <pageSetup paperSize="9"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F0E7-5BB1-4362-8600-E8D2F401223B}">
  <sheetPr>
    <tabColor rgb="FFC00000"/>
    <pageSetUpPr fitToPage="1"/>
  </sheetPr>
  <dimension ref="A1:S406"/>
  <sheetViews>
    <sheetView workbookViewId="0"/>
  </sheetViews>
  <sheetFormatPr defaultRowHeight="12.75"/>
  <cols>
    <col min="1" max="1" width="5" customWidth="1"/>
    <col min="2" max="2" width="0.85546875" customWidth="1"/>
    <col min="4" max="4" width="6.28515625" customWidth="1"/>
    <col min="5" max="5" width="4" customWidth="1"/>
    <col min="6" max="12" width="10" customWidth="1"/>
    <col min="13" max="18" width="10.5703125" customWidth="1"/>
    <col min="19" max="19" width="2.5703125" customWidth="1"/>
  </cols>
  <sheetData>
    <row r="1" spans="1:19">
      <c r="A1" s="685"/>
      <c r="B1" s="776"/>
      <c r="C1" s="812" t="s">
        <v>0</v>
      </c>
      <c r="D1" s="813"/>
      <c r="E1" s="813"/>
      <c r="F1" s="776"/>
      <c r="G1" s="814"/>
      <c r="H1" s="814"/>
      <c r="I1" s="2"/>
      <c r="J1" s="2"/>
      <c r="K1" s="2"/>
      <c r="L1" s="2"/>
      <c r="M1" s="2"/>
      <c r="N1" s="2"/>
      <c r="O1" s="2"/>
      <c r="P1" s="2"/>
      <c r="Q1" s="2"/>
      <c r="R1" s="2"/>
      <c r="S1" s="2"/>
    </row>
    <row r="2" spans="1:19">
      <c r="A2" s="685"/>
      <c r="B2" s="776"/>
      <c r="C2" s="749" t="s">
        <v>142</v>
      </c>
      <c r="D2" s="753"/>
      <c r="E2" s="753"/>
      <c r="F2" s="815">
        <v>1999</v>
      </c>
      <c r="G2" s="815">
        <f t="shared" ref="G2:P2" si="0">F2+1</f>
        <v>2000</v>
      </c>
      <c r="H2" s="815">
        <f t="shared" si="0"/>
        <v>2001</v>
      </c>
      <c r="I2" s="815">
        <f t="shared" si="0"/>
        <v>2002</v>
      </c>
      <c r="J2" s="815">
        <f t="shared" si="0"/>
        <v>2003</v>
      </c>
      <c r="K2" s="815">
        <f t="shared" si="0"/>
        <v>2004</v>
      </c>
      <c r="L2" s="815">
        <f t="shared" si="0"/>
        <v>2005</v>
      </c>
      <c r="M2" s="815">
        <f t="shared" si="0"/>
        <v>2006</v>
      </c>
      <c r="N2" s="815">
        <f t="shared" si="0"/>
        <v>2007</v>
      </c>
      <c r="O2" s="815">
        <f t="shared" si="0"/>
        <v>2008</v>
      </c>
      <c r="P2" s="815">
        <f t="shared" si="0"/>
        <v>2009</v>
      </c>
      <c r="Q2" s="815">
        <f>P2+1</f>
        <v>2010</v>
      </c>
      <c r="R2" s="815">
        <f>Q2+1</f>
        <v>2011</v>
      </c>
      <c r="S2" s="815">
        <f>R2+1</f>
        <v>2012</v>
      </c>
    </row>
    <row r="3" spans="1:19">
      <c r="A3" s="685"/>
      <c r="B3" s="776"/>
      <c r="C3" s="776" t="s">
        <v>292</v>
      </c>
      <c r="D3" s="776"/>
      <c r="E3" s="776"/>
      <c r="F3" s="2">
        <v>93759</v>
      </c>
      <c r="G3" s="2">
        <v>33562</v>
      </c>
      <c r="H3" s="2">
        <v>52829</v>
      </c>
      <c r="I3" s="2">
        <v>9962</v>
      </c>
      <c r="J3" s="2">
        <v>55337</v>
      </c>
      <c r="K3" s="2">
        <v>104262</v>
      </c>
      <c r="L3" s="2">
        <v>40827</v>
      </c>
      <c r="M3" s="2"/>
      <c r="N3" s="2">
        <v>44755</v>
      </c>
      <c r="O3" s="11">
        <v>71742</v>
      </c>
      <c r="P3" s="11">
        <v>47877</v>
      </c>
      <c r="Q3" s="2">
        <v>54394</v>
      </c>
      <c r="R3" s="2">
        <v>368191</v>
      </c>
      <c r="S3" s="776"/>
    </row>
    <row r="4" spans="1:19">
      <c r="A4" s="685"/>
      <c r="B4" s="776"/>
      <c r="C4" s="776" t="s">
        <v>294</v>
      </c>
      <c r="D4" s="776"/>
      <c r="E4" s="813"/>
      <c r="F4" s="813">
        <v>82784</v>
      </c>
      <c r="G4" s="813">
        <v>95020</v>
      </c>
      <c r="H4" s="2">
        <v>182656</v>
      </c>
      <c r="I4" s="2">
        <v>153665</v>
      </c>
      <c r="J4" s="2">
        <v>209728</v>
      </c>
      <c r="K4" s="2">
        <v>212902</v>
      </c>
      <c r="L4" s="2">
        <v>289735</v>
      </c>
      <c r="M4" s="2">
        <v>234422</v>
      </c>
      <c r="N4" s="2">
        <v>221702</v>
      </c>
      <c r="O4" s="11">
        <v>471134</v>
      </c>
      <c r="P4" s="11">
        <v>188156</v>
      </c>
      <c r="Q4" s="2">
        <v>199114</v>
      </c>
      <c r="R4" s="2">
        <v>240885</v>
      </c>
      <c r="S4" s="776"/>
    </row>
    <row r="5" spans="1:19">
      <c r="A5" s="685"/>
      <c r="B5" s="776"/>
      <c r="C5" s="776" t="s">
        <v>583</v>
      </c>
      <c r="D5" s="776"/>
      <c r="E5" s="776"/>
      <c r="F5" s="2">
        <v>2720</v>
      </c>
      <c r="G5" s="11">
        <v>2509</v>
      </c>
      <c r="H5" s="2">
        <v>2744</v>
      </c>
      <c r="I5" s="2">
        <v>2908</v>
      </c>
      <c r="J5" s="2">
        <v>2884</v>
      </c>
      <c r="K5" s="2">
        <v>3140</v>
      </c>
      <c r="L5" s="2">
        <v>3378</v>
      </c>
      <c r="M5" s="2"/>
      <c r="N5" s="2">
        <v>10965</v>
      </c>
      <c r="O5" s="11">
        <v>8251</v>
      </c>
      <c r="P5" s="11">
        <v>7299</v>
      </c>
      <c r="Q5" s="2">
        <v>6029</v>
      </c>
      <c r="R5" s="2">
        <v>3333</v>
      </c>
      <c r="S5" s="776"/>
    </row>
    <row r="6" spans="1:19">
      <c r="A6" s="685"/>
      <c r="B6" s="776"/>
      <c r="C6" s="776" t="s">
        <v>302</v>
      </c>
      <c r="D6" s="776"/>
      <c r="E6" s="776"/>
      <c r="F6" s="2"/>
      <c r="G6" s="11"/>
      <c r="H6" s="2"/>
      <c r="I6" s="2"/>
      <c r="J6" s="2"/>
      <c r="K6" s="2"/>
      <c r="L6" s="2"/>
      <c r="M6" s="2"/>
      <c r="N6" s="2"/>
      <c r="O6" s="11"/>
      <c r="P6" s="11"/>
      <c r="Q6" s="2">
        <v>683</v>
      </c>
      <c r="R6" s="2">
        <v>632</v>
      </c>
      <c r="S6" s="776"/>
    </row>
    <row r="7" spans="1:19">
      <c r="A7" s="685"/>
      <c r="B7" s="776"/>
      <c r="C7" s="776" t="s">
        <v>303</v>
      </c>
      <c r="D7" s="776"/>
      <c r="E7" s="776"/>
      <c r="F7" s="2"/>
      <c r="G7" s="11">
        <v>7608</v>
      </c>
      <c r="H7" s="2">
        <v>8519</v>
      </c>
      <c r="I7" s="2">
        <v>18505</v>
      </c>
      <c r="J7" s="2">
        <v>12135</v>
      </c>
      <c r="K7" s="2">
        <v>0</v>
      </c>
      <c r="L7" s="2">
        <v>0</v>
      </c>
      <c r="M7" s="2"/>
      <c r="N7" s="2">
        <v>8548</v>
      </c>
      <c r="O7" s="11">
        <v>8045</v>
      </c>
      <c r="P7" s="776"/>
      <c r="Q7" s="2"/>
      <c r="R7" s="2"/>
      <c r="S7" s="776"/>
    </row>
    <row r="8" spans="1:19">
      <c r="A8" s="685"/>
      <c r="B8" s="776"/>
      <c r="C8" s="776" t="s">
        <v>305</v>
      </c>
      <c r="D8" s="776"/>
      <c r="E8" s="776"/>
      <c r="F8" s="2"/>
      <c r="G8" s="11"/>
      <c r="H8" s="2"/>
      <c r="I8" s="2"/>
      <c r="J8" s="2"/>
      <c r="K8" s="2"/>
      <c r="L8" s="2"/>
      <c r="M8" s="2"/>
      <c r="N8" s="2"/>
      <c r="O8" s="11">
        <v>7984</v>
      </c>
      <c r="P8" s="11">
        <v>10519</v>
      </c>
      <c r="Q8" s="2">
        <v>350</v>
      </c>
      <c r="R8" s="2">
        <v>1888</v>
      </c>
      <c r="S8" s="776"/>
    </row>
    <row r="9" spans="1:19">
      <c r="A9" s="685"/>
      <c r="B9" s="776"/>
      <c r="C9" s="776" t="s">
        <v>306</v>
      </c>
      <c r="D9" s="776"/>
      <c r="E9" s="776"/>
      <c r="F9" s="2">
        <v>24</v>
      </c>
      <c r="G9" s="2">
        <f>24+3594</f>
        <v>3618</v>
      </c>
      <c r="H9" s="2">
        <v>7093</v>
      </c>
      <c r="I9" s="2">
        <v>8562</v>
      </c>
      <c r="J9" s="2">
        <f>5975+1162</f>
        <v>7137</v>
      </c>
      <c r="K9" s="2">
        <f>15754+1890</f>
        <v>17644</v>
      </c>
      <c r="L9" s="2">
        <v>27497</v>
      </c>
      <c r="M9" s="2">
        <f>16119+716</f>
        <v>16835</v>
      </c>
      <c r="N9" s="2"/>
      <c r="O9" s="776"/>
      <c r="P9" s="776"/>
      <c r="Q9" s="2"/>
      <c r="R9" s="2"/>
      <c r="S9" s="776"/>
    </row>
    <row r="10" spans="1:19">
      <c r="A10" s="685"/>
      <c r="B10" s="776"/>
      <c r="C10" s="776" t="s">
        <v>308</v>
      </c>
      <c r="D10" s="776"/>
      <c r="E10" s="776"/>
      <c r="F10" s="2"/>
      <c r="G10" s="2"/>
      <c r="H10" s="2"/>
      <c r="I10" s="2"/>
      <c r="J10" s="2">
        <v>4804</v>
      </c>
      <c r="K10" s="2">
        <v>9282</v>
      </c>
      <c r="L10" s="2">
        <v>10230</v>
      </c>
      <c r="M10" s="11">
        <v>254930</v>
      </c>
      <c r="N10" s="2">
        <v>609</v>
      </c>
      <c r="O10" s="2">
        <v>729</v>
      </c>
      <c r="P10" s="776"/>
      <c r="Q10" s="2"/>
      <c r="R10" s="2"/>
      <c r="S10" s="776"/>
    </row>
    <row r="11" spans="1:19">
      <c r="A11" s="685"/>
      <c r="B11" s="776"/>
      <c r="C11" s="776" t="s">
        <v>1068</v>
      </c>
      <c r="D11" s="776"/>
      <c r="E11" s="776"/>
      <c r="F11" s="2"/>
      <c r="G11" s="2"/>
      <c r="H11" s="2"/>
      <c r="I11" s="2"/>
      <c r="J11" s="2"/>
      <c r="K11" s="2"/>
      <c r="L11" s="2"/>
      <c r="M11" s="11">
        <v>60553</v>
      </c>
      <c r="N11" s="11">
        <v>1055</v>
      </c>
      <c r="O11" s="11">
        <v>37500</v>
      </c>
      <c r="P11" s="11">
        <v>13033</v>
      </c>
      <c r="Q11" s="11">
        <v>11004</v>
      </c>
      <c r="R11" s="11">
        <v>12256</v>
      </c>
      <c r="S11" s="776"/>
    </row>
    <row r="12" spans="1:19">
      <c r="A12" s="685"/>
      <c r="B12" s="776"/>
      <c r="C12" s="776" t="s">
        <v>314</v>
      </c>
      <c r="D12" s="776"/>
      <c r="E12" s="776"/>
      <c r="F12" s="2"/>
      <c r="G12" s="2"/>
      <c r="H12" s="2"/>
      <c r="I12" s="2"/>
      <c r="J12" s="776"/>
      <c r="K12" s="776"/>
      <c r="L12" s="776"/>
      <c r="M12" s="776"/>
      <c r="N12" s="776"/>
      <c r="O12" s="776"/>
      <c r="P12" s="776"/>
      <c r="Q12" s="2"/>
      <c r="R12" s="2"/>
      <c r="S12" s="776"/>
    </row>
    <row r="13" spans="1:19">
      <c r="A13" s="685"/>
      <c r="B13" s="776"/>
      <c r="C13" s="776" t="s">
        <v>541</v>
      </c>
      <c r="D13" s="776"/>
      <c r="E13" s="776"/>
      <c r="F13" s="650">
        <v>17079</v>
      </c>
      <c r="G13" s="650">
        <v>24826</v>
      </c>
      <c r="H13" s="650">
        <v>22846</v>
      </c>
      <c r="I13" s="650">
        <v>52417</v>
      </c>
      <c r="J13" s="650">
        <v>45020</v>
      </c>
      <c r="K13" s="650">
        <v>37658</v>
      </c>
      <c r="L13" s="650">
        <v>30035</v>
      </c>
      <c r="M13" s="650"/>
      <c r="N13" s="12"/>
      <c r="O13" s="650"/>
      <c r="P13" s="4"/>
      <c r="Q13" s="650"/>
      <c r="R13" s="650"/>
      <c r="S13" s="776"/>
    </row>
    <row r="14" spans="1:19">
      <c r="A14" s="685"/>
      <c r="B14" s="776"/>
      <c r="C14" s="776"/>
      <c r="D14" s="776"/>
      <c r="E14" s="776"/>
      <c r="F14" s="2">
        <f t="shared" ref="F14:Q14" si="1">SUM(F3:F13)</f>
        <v>196366</v>
      </c>
      <c r="G14" s="2">
        <f t="shared" si="1"/>
        <v>167143</v>
      </c>
      <c r="H14" s="2">
        <f t="shared" si="1"/>
        <v>276687</v>
      </c>
      <c r="I14" s="2">
        <f t="shared" si="1"/>
        <v>246019</v>
      </c>
      <c r="J14" s="2">
        <f t="shared" si="1"/>
        <v>337045</v>
      </c>
      <c r="K14" s="2">
        <f t="shared" si="1"/>
        <v>384888</v>
      </c>
      <c r="L14" s="2">
        <f t="shared" si="1"/>
        <v>401702</v>
      </c>
      <c r="M14" s="2">
        <f t="shared" si="1"/>
        <v>566740</v>
      </c>
      <c r="N14" s="2">
        <f t="shared" si="1"/>
        <v>287634</v>
      </c>
      <c r="O14" s="2">
        <f t="shared" si="1"/>
        <v>605385</v>
      </c>
      <c r="P14" s="2">
        <f t="shared" si="1"/>
        <v>266884</v>
      </c>
      <c r="Q14" s="2">
        <f t="shared" si="1"/>
        <v>271574</v>
      </c>
      <c r="R14" s="2">
        <f>SUM(R3:R13)</f>
        <v>627185</v>
      </c>
      <c r="S14" s="776"/>
    </row>
    <row r="15" spans="1:19">
      <c r="A15" s="685"/>
      <c r="B15" s="776"/>
      <c r="C15" s="776" t="s">
        <v>301</v>
      </c>
      <c r="D15" s="776"/>
      <c r="E15" s="776"/>
      <c r="F15" s="2"/>
      <c r="G15" s="2"/>
      <c r="H15" s="2"/>
      <c r="I15" s="2"/>
      <c r="J15" s="2"/>
      <c r="K15" s="2"/>
      <c r="L15" s="2"/>
      <c r="M15" s="2"/>
      <c r="N15" s="2"/>
      <c r="O15" s="2"/>
      <c r="P15" s="776"/>
      <c r="Q15" s="2">
        <v>4984</v>
      </c>
      <c r="R15" s="2">
        <v>4895</v>
      </c>
      <c r="S15" s="776"/>
    </row>
    <row r="16" spans="1:19">
      <c r="A16" s="685"/>
      <c r="B16" s="776"/>
      <c r="C16" s="776" t="s">
        <v>297</v>
      </c>
      <c r="D16" s="776"/>
      <c r="E16" s="776"/>
      <c r="F16" s="2"/>
      <c r="G16" s="2"/>
      <c r="H16" s="2"/>
      <c r="I16" s="2"/>
      <c r="J16" s="2"/>
      <c r="K16" s="2"/>
      <c r="L16" s="2"/>
      <c r="M16" s="2"/>
      <c r="N16" s="2"/>
      <c r="O16" s="2"/>
      <c r="P16" s="776"/>
      <c r="Q16" s="2"/>
      <c r="R16" s="2"/>
      <c r="S16" s="776"/>
    </row>
    <row r="17" spans="1:19">
      <c r="A17" s="685"/>
      <c r="B17" s="776"/>
      <c r="C17" s="776" t="s">
        <v>311</v>
      </c>
      <c r="D17" s="776"/>
      <c r="E17" s="776"/>
      <c r="F17" s="2"/>
      <c r="G17" s="2"/>
      <c r="H17" s="2"/>
      <c r="I17" s="2"/>
      <c r="J17" s="2"/>
      <c r="K17" s="2"/>
      <c r="L17" s="2"/>
      <c r="M17" s="2"/>
      <c r="N17" s="2">
        <v>16567</v>
      </c>
      <c r="O17" s="11">
        <v>11780</v>
      </c>
      <c r="P17" s="776">
        <v>6993</v>
      </c>
      <c r="Q17" s="2">
        <v>6077</v>
      </c>
      <c r="R17" s="2">
        <v>6065</v>
      </c>
      <c r="S17" s="776"/>
    </row>
    <row r="18" spans="1:19">
      <c r="A18" s="685"/>
      <c r="B18" s="776"/>
      <c r="C18" s="776" t="s">
        <v>312</v>
      </c>
      <c r="D18" s="776"/>
      <c r="E18" s="776"/>
      <c r="F18" s="2"/>
      <c r="G18" s="2"/>
      <c r="H18" s="2"/>
      <c r="I18" s="2"/>
      <c r="J18" s="2"/>
      <c r="K18" s="2"/>
      <c r="L18" s="2"/>
      <c r="M18" s="2"/>
      <c r="N18" s="2"/>
      <c r="O18" s="2">
        <v>2811</v>
      </c>
      <c r="P18" s="776">
        <v>2211</v>
      </c>
      <c r="Q18" s="2">
        <v>294</v>
      </c>
      <c r="R18" s="2">
        <v>4402</v>
      </c>
      <c r="S18" s="776"/>
    </row>
    <row r="19" spans="1:19">
      <c r="A19" s="685"/>
      <c r="B19" s="776"/>
      <c r="C19" s="776" t="s">
        <v>514</v>
      </c>
      <c r="D19" s="776"/>
      <c r="E19" s="776"/>
      <c r="F19" s="2"/>
      <c r="G19" s="2"/>
      <c r="H19" s="2"/>
      <c r="I19" s="2"/>
      <c r="J19" s="2"/>
      <c r="K19" s="2"/>
      <c r="L19" s="2"/>
      <c r="M19" s="11"/>
      <c r="N19" s="11">
        <v>39888</v>
      </c>
      <c r="O19" s="11">
        <v>101642</v>
      </c>
      <c r="P19" s="776">
        <v>113983</v>
      </c>
      <c r="Q19" s="11">
        <v>171891</v>
      </c>
      <c r="R19" s="11">
        <v>41742</v>
      </c>
      <c r="S19" s="776"/>
    </row>
    <row r="20" spans="1:19">
      <c r="A20" s="685"/>
      <c r="B20" s="776"/>
      <c r="C20" s="776" t="s">
        <v>314</v>
      </c>
      <c r="D20" s="776"/>
      <c r="E20" s="776"/>
      <c r="F20" s="2"/>
      <c r="G20" s="2"/>
      <c r="H20" s="2"/>
      <c r="I20" s="2"/>
      <c r="J20" s="2">
        <v>195489</v>
      </c>
      <c r="K20" s="2">
        <v>179537</v>
      </c>
      <c r="L20" s="2">
        <v>150711</v>
      </c>
      <c r="M20" s="2">
        <v>26594</v>
      </c>
      <c r="N20" s="2">
        <v>49592</v>
      </c>
      <c r="O20" s="11">
        <v>42358</v>
      </c>
      <c r="P20" s="11">
        <v>43633</v>
      </c>
      <c r="Q20" s="2">
        <v>50053</v>
      </c>
      <c r="R20" s="2">
        <v>46930</v>
      </c>
      <c r="S20" s="776"/>
    </row>
    <row r="21" spans="1:19">
      <c r="A21" s="685"/>
      <c r="B21" s="776"/>
      <c r="C21" s="776" t="s">
        <v>315</v>
      </c>
      <c r="D21" s="776"/>
      <c r="E21" s="776"/>
      <c r="F21" s="2"/>
      <c r="G21" s="2"/>
      <c r="H21" s="2"/>
      <c r="I21" s="2"/>
      <c r="J21" s="2"/>
      <c r="K21" s="2"/>
      <c r="L21" s="2"/>
      <c r="M21" s="2">
        <v>132</v>
      </c>
      <c r="N21" s="2">
        <v>37</v>
      </c>
      <c r="O21" s="2">
        <v>1122</v>
      </c>
      <c r="P21" s="11">
        <v>449</v>
      </c>
      <c r="Q21" s="2">
        <v>3399</v>
      </c>
      <c r="R21" s="2">
        <v>7947</v>
      </c>
      <c r="S21" s="776"/>
    </row>
    <row r="22" spans="1:19">
      <c r="A22" s="685"/>
      <c r="B22" s="776"/>
      <c r="C22" s="776" t="s">
        <v>317</v>
      </c>
      <c r="D22" s="776"/>
      <c r="E22" s="776"/>
      <c r="F22" s="2">
        <v>2089995</v>
      </c>
      <c r="G22" s="2">
        <v>2261789</v>
      </c>
      <c r="H22" s="2">
        <v>2290003</v>
      </c>
      <c r="I22" s="2">
        <v>2505982</v>
      </c>
      <c r="J22" s="2">
        <v>3411339</v>
      </c>
      <c r="K22" s="2">
        <v>3477704</v>
      </c>
      <c r="L22" s="2">
        <v>3901041</v>
      </c>
      <c r="M22" s="2">
        <f>4748839+300</f>
        <v>4749139</v>
      </c>
      <c r="N22" s="2">
        <f>6315073-94932+49196</f>
        <v>6269337</v>
      </c>
      <c r="O22" s="2">
        <v>6306405</v>
      </c>
      <c r="P22" s="11">
        <v>6395030</v>
      </c>
      <c r="Q22" s="2">
        <f>8300130-Q23</f>
        <v>8017808</v>
      </c>
      <c r="R22" s="11">
        <f>7720807-273934+122341</f>
        <v>7569214</v>
      </c>
      <c r="S22" s="776">
        <f>8207327-282322+94003</f>
        <v>8019008</v>
      </c>
    </row>
    <row r="23" spans="1:19">
      <c r="A23" s="685"/>
      <c r="B23" s="776"/>
      <c r="C23" s="776" t="s">
        <v>318</v>
      </c>
      <c r="D23" s="776"/>
      <c r="E23" s="776"/>
      <c r="F23" s="2"/>
      <c r="G23" s="2"/>
      <c r="H23" s="2">
        <v>212544</v>
      </c>
      <c r="I23" s="2">
        <v>52823</v>
      </c>
      <c r="J23" s="2">
        <v>118126</v>
      </c>
      <c r="K23" s="2">
        <v>215374</v>
      </c>
      <c r="L23" s="2">
        <v>93643</v>
      </c>
      <c r="M23" s="2">
        <v>94869</v>
      </c>
      <c r="N23" s="2">
        <v>94932</v>
      </c>
      <c r="O23" s="2">
        <v>309589</v>
      </c>
      <c r="P23" s="11">
        <v>677980</v>
      </c>
      <c r="Q23" s="2">
        <v>282322</v>
      </c>
      <c r="R23" s="11">
        <v>273934</v>
      </c>
      <c r="S23" s="776"/>
    </row>
    <row r="24" spans="1:19">
      <c r="A24" s="685"/>
      <c r="B24" s="776"/>
      <c r="C24" s="776" t="s">
        <v>536</v>
      </c>
      <c r="D24" s="776"/>
      <c r="E24" s="776"/>
      <c r="F24" s="650">
        <f>-56-14632</f>
        <v>-14688</v>
      </c>
      <c r="G24" s="650">
        <f>-192-62280</f>
        <v>-62472</v>
      </c>
      <c r="H24" s="650">
        <f>-346-128833</f>
        <v>-129179</v>
      </c>
      <c r="I24" s="650">
        <v>-172329</v>
      </c>
      <c r="J24" s="650">
        <v>-35096</v>
      </c>
      <c r="K24" s="650">
        <v>-111776</v>
      </c>
      <c r="L24" s="650">
        <v>-198472</v>
      </c>
      <c r="M24" s="12">
        <v>-52032.000000001877</v>
      </c>
      <c r="N24" s="650">
        <v>-49196</v>
      </c>
      <c r="O24" s="650">
        <v>-183404</v>
      </c>
      <c r="P24" s="12">
        <v>-329895</v>
      </c>
      <c r="Q24" s="650">
        <v>-92803</v>
      </c>
      <c r="R24" s="12">
        <v>-122341</v>
      </c>
      <c r="S24" s="776"/>
    </row>
    <row r="25" spans="1:19">
      <c r="A25" s="685"/>
      <c r="B25" s="776"/>
      <c r="C25" s="776" t="s">
        <v>8</v>
      </c>
      <c r="D25" s="776"/>
      <c r="E25" s="776"/>
      <c r="F25" s="650">
        <f t="shared" ref="F25:L25" si="2">SUM(F22:F24)</f>
        <v>2075307</v>
      </c>
      <c r="G25" s="650">
        <f t="shared" si="2"/>
        <v>2199317</v>
      </c>
      <c r="H25" s="650">
        <f t="shared" si="2"/>
        <v>2373368</v>
      </c>
      <c r="I25" s="650">
        <f t="shared" si="2"/>
        <v>2386476</v>
      </c>
      <c r="J25" s="650">
        <f t="shared" si="2"/>
        <v>3494369</v>
      </c>
      <c r="K25" s="650">
        <f t="shared" si="2"/>
        <v>3581302</v>
      </c>
      <c r="L25" s="650">
        <f t="shared" si="2"/>
        <v>3796212</v>
      </c>
      <c r="M25" s="650">
        <f>M24+M23+M22</f>
        <v>4791975.9999999981</v>
      </c>
      <c r="N25" s="650">
        <f>SUM(N22:N24)</f>
        <v>6315073</v>
      </c>
      <c r="O25" s="650">
        <f>SUM(O22:O24)</f>
        <v>6432590</v>
      </c>
      <c r="P25" s="650">
        <f>SUM(P22:P24)</f>
        <v>6743115</v>
      </c>
      <c r="Q25" s="11">
        <f>SUM(Q22:Q24)</f>
        <v>8207327</v>
      </c>
      <c r="R25" s="11">
        <f>SUM(R22:R24)</f>
        <v>7720807</v>
      </c>
      <c r="S25" s="776"/>
    </row>
    <row r="26" spans="1:19" ht="13.5" thickBot="1">
      <c r="A26" s="685"/>
      <c r="B26" s="776"/>
      <c r="C26" s="1" t="s">
        <v>323</v>
      </c>
      <c r="D26" s="776"/>
      <c r="E26" s="776"/>
      <c r="F26" s="748">
        <f t="shared" ref="F26:M26" si="3">F14+SUM(F15:F21)+F25</f>
        <v>2271673</v>
      </c>
      <c r="G26" s="748">
        <f t="shared" si="3"/>
        <v>2366460</v>
      </c>
      <c r="H26" s="748">
        <f t="shared" si="3"/>
        <v>2650055</v>
      </c>
      <c r="I26" s="748">
        <f t="shared" si="3"/>
        <v>2632495</v>
      </c>
      <c r="J26" s="748">
        <f t="shared" si="3"/>
        <v>4026903</v>
      </c>
      <c r="K26" s="748">
        <f t="shared" si="3"/>
        <v>4145727</v>
      </c>
      <c r="L26" s="748">
        <f t="shared" si="3"/>
        <v>4348625</v>
      </c>
      <c r="M26" s="748">
        <f t="shared" si="3"/>
        <v>5385441.9999999981</v>
      </c>
      <c r="N26" s="748">
        <f>N14+SUM(N16:N21)+N25</f>
        <v>6708791</v>
      </c>
      <c r="O26" s="748">
        <f>O14+SUM(O16:O21)+O25</f>
        <v>7197688</v>
      </c>
      <c r="P26" s="748">
        <f>P14+SUM(P16:P21)+P25</f>
        <v>7177268</v>
      </c>
      <c r="Q26" s="748">
        <f>Q14+SUM(Q15:Q21)+Q25</f>
        <v>8715599</v>
      </c>
      <c r="R26" s="40">
        <f>R14+SUM(R15:R21)+R25</f>
        <v>8459973</v>
      </c>
      <c r="S26" s="776"/>
    </row>
    <row r="27" spans="1:19" ht="13.5" thickTop="1">
      <c r="A27" s="685"/>
      <c r="B27" s="776"/>
      <c r="C27" s="749" t="s">
        <v>325</v>
      </c>
      <c r="D27" s="753"/>
      <c r="E27" s="753"/>
      <c r="F27" s="815">
        <v>1999</v>
      </c>
      <c r="G27" s="815">
        <f t="shared" ref="G27:R27" si="4">F27+1</f>
        <v>2000</v>
      </c>
      <c r="H27" s="815">
        <f t="shared" si="4"/>
        <v>2001</v>
      </c>
      <c r="I27" s="815">
        <f t="shared" si="4"/>
        <v>2002</v>
      </c>
      <c r="J27" s="815">
        <f t="shared" si="4"/>
        <v>2003</v>
      </c>
      <c r="K27" s="815">
        <f t="shared" si="4"/>
        <v>2004</v>
      </c>
      <c r="L27" s="815">
        <f t="shared" si="4"/>
        <v>2005</v>
      </c>
      <c r="M27" s="815">
        <f t="shared" si="4"/>
        <v>2006</v>
      </c>
      <c r="N27" s="815">
        <f t="shared" si="4"/>
        <v>2007</v>
      </c>
      <c r="O27" s="815">
        <f t="shared" si="4"/>
        <v>2008</v>
      </c>
      <c r="P27" s="815">
        <f t="shared" si="4"/>
        <v>2009</v>
      </c>
      <c r="Q27" s="815">
        <f t="shared" si="4"/>
        <v>2010</v>
      </c>
      <c r="R27" s="815">
        <f t="shared" si="4"/>
        <v>2011</v>
      </c>
      <c r="S27" s="776"/>
    </row>
    <row r="28" spans="1:19">
      <c r="A28" s="685"/>
      <c r="B28" s="776"/>
      <c r="C28" s="746" t="s">
        <v>28</v>
      </c>
      <c r="D28" s="776"/>
      <c r="E28" s="776"/>
      <c r="F28" s="2"/>
      <c r="G28" s="2"/>
      <c r="H28" s="2"/>
      <c r="I28" s="2"/>
      <c r="J28" s="2"/>
      <c r="K28" s="2"/>
      <c r="L28" s="2"/>
      <c r="M28" s="2"/>
      <c r="N28" s="2"/>
      <c r="O28" s="2"/>
      <c r="P28" s="776"/>
      <c r="Q28" s="2"/>
      <c r="R28" s="2"/>
      <c r="S28" s="776"/>
    </row>
    <row r="29" spans="1:19">
      <c r="A29" s="685"/>
      <c r="B29" s="776"/>
      <c r="C29" s="776" t="s">
        <v>326</v>
      </c>
      <c r="D29" s="776"/>
      <c r="E29" s="776"/>
      <c r="F29" s="2">
        <v>41728</v>
      </c>
      <c r="G29" s="2">
        <v>64139</v>
      </c>
      <c r="H29" s="2">
        <v>102775</v>
      </c>
      <c r="I29" s="2">
        <v>7394</v>
      </c>
      <c r="J29" s="2">
        <v>22807</v>
      </c>
      <c r="K29" s="2">
        <v>38973</v>
      </c>
      <c r="L29" s="2">
        <v>37722</v>
      </c>
      <c r="M29" s="2"/>
      <c r="N29" s="2">
        <v>193707</v>
      </c>
      <c r="O29" s="2">
        <v>528900</v>
      </c>
      <c r="P29" s="303">
        <f>134421+6218+4353</f>
        <v>144992</v>
      </c>
      <c r="Q29" s="2">
        <f>11065+155636+4727</f>
        <v>171428</v>
      </c>
      <c r="R29" s="2">
        <f>16629+166937</f>
        <v>183566</v>
      </c>
      <c r="S29" s="776"/>
    </row>
    <row r="30" spans="1:19">
      <c r="A30" s="685"/>
      <c r="B30" s="776"/>
      <c r="C30" s="776" t="s">
        <v>327</v>
      </c>
      <c r="D30" s="776"/>
      <c r="E30" s="776"/>
      <c r="F30" s="2">
        <v>1286</v>
      </c>
      <c r="G30" s="2">
        <v>2363</v>
      </c>
      <c r="H30" s="2">
        <v>3050</v>
      </c>
      <c r="I30" s="2">
        <v>2820</v>
      </c>
      <c r="J30" s="2">
        <v>6642</v>
      </c>
      <c r="K30" s="2">
        <v>5067</v>
      </c>
      <c r="L30" s="2">
        <v>6609</v>
      </c>
      <c r="M30" s="2"/>
      <c r="N30" s="2">
        <v>8592</v>
      </c>
      <c r="O30" s="2">
        <v>7116</v>
      </c>
      <c r="P30" s="11">
        <v>10595</v>
      </c>
      <c r="Q30" s="2">
        <v>14582</v>
      </c>
      <c r="R30" s="2">
        <v>16018</v>
      </c>
      <c r="S30" s="776"/>
    </row>
    <row r="31" spans="1:19">
      <c r="A31" s="685"/>
      <c r="B31" s="776"/>
      <c r="C31" s="776" t="s">
        <v>328</v>
      </c>
      <c r="D31" s="776"/>
      <c r="E31" s="776"/>
      <c r="F31" s="2">
        <v>9352</v>
      </c>
      <c r="G31" s="2">
        <v>12420</v>
      </c>
      <c r="H31" s="2">
        <v>3900</v>
      </c>
      <c r="I31" s="2">
        <v>940</v>
      </c>
      <c r="J31" s="2">
        <v>22334</v>
      </c>
      <c r="K31" s="2">
        <v>47167</v>
      </c>
      <c r="L31" s="2">
        <v>57713</v>
      </c>
      <c r="M31" s="2"/>
      <c r="N31" s="2">
        <v>5603</v>
      </c>
      <c r="O31" s="2">
        <v>6038</v>
      </c>
      <c r="P31" s="11">
        <v>5163</v>
      </c>
      <c r="Q31" s="2">
        <v>4873</v>
      </c>
      <c r="R31" s="2">
        <v>4140</v>
      </c>
      <c r="S31" s="776"/>
    </row>
    <row r="32" spans="1:19">
      <c r="A32" s="685"/>
      <c r="B32" s="776"/>
      <c r="C32" s="776" t="s">
        <v>331</v>
      </c>
      <c r="D32" s="776"/>
      <c r="E32" s="776"/>
      <c r="F32" s="2">
        <v>20877</v>
      </c>
      <c r="G32" s="2">
        <v>66726</v>
      </c>
      <c r="H32" s="2">
        <v>148717</v>
      </c>
      <c r="I32" s="2">
        <v>89198</v>
      </c>
      <c r="J32" s="2">
        <v>153040</v>
      </c>
      <c r="K32" s="2">
        <v>166865</v>
      </c>
      <c r="L32" s="2">
        <v>191539</v>
      </c>
      <c r="M32" s="11">
        <v>195221</v>
      </c>
      <c r="N32" s="2"/>
      <c r="O32" s="11"/>
      <c r="P32" s="776"/>
      <c r="Q32" s="2"/>
      <c r="R32" s="2"/>
      <c r="S32" s="776"/>
    </row>
    <row r="33" spans="1:19">
      <c r="A33" s="685"/>
      <c r="B33" s="776"/>
      <c r="C33" s="776" t="s">
        <v>333</v>
      </c>
      <c r="D33" s="776"/>
      <c r="E33" s="776"/>
      <c r="F33" s="2">
        <v>4209</v>
      </c>
      <c r="G33" s="2">
        <v>1788</v>
      </c>
      <c r="H33" s="2">
        <v>5759</v>
      </c>
      <c r="I33" s="2">
        <v>1636</v>
      </c>
      <c r="J33" s="2">
        <v>886</v>
      </c>
      <c r="K33" s="2">
        <v>-3381</v>
      </c>
      <c r="L33" s="2">
        <v>5378</v>
      </c>
      <c r="M33" s="2"/>
      <c r="N33" s="2">
        <v>6478</v>
      </c>
      <c r="O33" s="2">
        <v>5510</v>
      </c>
      <c r="P33" s="11">
        <v>9722</v>
      </c>
      <c r="Q33" s="2">
        <v>10731</v>
      </c>
      <c r="R33" s="2">
        <v>13280</v>
      </c>
      <c r="S33" s="776"/>
    </row>
    <row r="34" spans="1:19">
      <c r="A34" s="685"/>
      <c r="B34" s="776"/>
      <c r="C34" s="776" t="s">
        <v>334</v>
      </c>
      <c r="D34" s="776"/>
      <c r="E34" s="776"/>
      <c r="F34" s="2"/>
      <c r="G34" s="2"/>
      <c r="H34" s="2"/>
      <c r="I34" s="2"/>
      <c r="J34" s="2"/>
      <c r="K34" s="2"/>
      <c r="L34" s="2"/>
      <c r="M34" s="2"/>
      <c r="N34" s="2">
        <v>3440</v>
      </c>
      <c r="O34" s="11">
        <f>1940+138</f>
        <v>2078</v>
      </c>
      <c r="P34" s="530">
        <f>1372+194</f>
        <v>1566</v>
      </c>
      <c r="Q34" s="2">
        <f>736+15</f>
        <v>751</v>
      </c>
      <c r="R34" s="2">
        <v>94</v>
      </c>
      <c r="S34" s="776"/>
    </row>
    <row r="35" spans="1:19">
      <c r="A35" s="685"/>
      <c r="B35" s="776"/>
      <c r="C35" s="776" t="s">
        <v>514</v>
      </c>
      <c r="D35" s="776"/>
      <c r="E35" s="776"/>
      <c r="F35" s="2"/>
      <c r="G35" s="2"/>
      <c r="H35" s="2"/>
      <c r="I35" s="2"/>
      <c r="J35" s="2"/>
      <c r="K35" s="2"/>
      <c r="L35" s="2"/>
      <c r="M35" s="11">
        <v>21004</v>
      </c>
      <c r="N35" s="11">
        <v>3583</v>
      </c>
      <c r="O35" s="11">
        <v>46068</v>
      </c>
      <c r="P35" s="11">
        <v>33567</v>
      </c>
      <c r="Q35" s="11">
        <v>38592</v>
      </c>
      <c r="R35" s="11">
        <v>17779</v>
      </c>
      <c r="S35" s="776"/>
    </row>
    <row r="36" spans="1:19">
      <c r="A36" s="685"/>
      <c r="B36" s="776"/>
      <c r="C36" s="776" t="s">
        <v>335</v>
      </c>
      <c r="D36" s="776"/>
      <c r="E36" s="776"/>
      <c r="F36" s="2">
        <v>489</v>
      </c>
      <c r="G36" s="2"/>
      <c r="H36" s="2"/>
      <c r="I36" s="2"/>
      <c r="J36" s="2"/>
      <c r="K36" s="2">
        <v>2545</v>
      </c>
      <c r="L36" s="2">
        <v>2257</v>
      </c>
      <c r="M36" s="2"/>
      <c r="N36" s="2"/>
      <c r="O36" s="2"/>
      <c r="P36" s="11">
        <v>28041</v>
      </c>
      <c r="Q36" s="2">
        <v>31633</v>
      </c>
      <c r="R36" s="2">
        <v>36608</v>
      </c>
      <c r="S36" s="776"/>
    </row>
    <row r="37" spans="1:19">
      <c r="A37" s="685"/>
      <c r="B37" s="776"/>
      <c r="C37" s="776" t="s">
        <v>337</v>
      </c>
      <c r="D37" s="776"/>
      <c r="E37" s="776"/>
      <c r="F37" s="2">
        <v>99952</v>
      </c>
      <c r="G37" s="2">
        <v>29393</v>
      </c>
      <c r="H37" s="2">
        <v>142479</v>
      </c>
      <c r="I37" s="2"/>
      <c r="J37" s="2"/>
      <c r="K37" s="2"/>
      <c r="L37" s="2"/>
      <c r="M37" s="2"/>
      <c r="N37" s="2"/>
      <c r="O37" s="2"/>
      <c r="P37" s="776"/>
      <c r="Q37" s="2"/>
      <c r="R37" s="2"/>
      <c r="S37" s="776"/>
    </row>
    <row r="38" spans="1:19">
      <c r="A38" s="685"/>
      <c r="B38" s="776"/>
      <c r="C38" s="776" t="s">
        <v>338</v>
      </c>
      <c r="D38" s="776"/>
      <c r="E38" s="776"/>
      <c r="F38" s="650">
        <v>49500</v>
      </c>
      <c r="G38" s="650">
        <v>23198</v>
      </c>
      <c r="H38" s="650">
        <v>378371</v>
      </c>
      <c r="I38" s="650">
        <v>184731</v>
      </c>
      <c r="J38" s="650">
        <v>723098</v>
      </c>
      <c r="K38" s="650">
        <v>158310</v>
      </c>
      <c r="L38" s="650">
        <v>370141</v>
      </c>
      <c r="M38" s="650"/>
      <c r="N38" s="650"/>
      <c r="O38" s="650">
        <v>149808</v>
      </c>
      <c r="P38" s="12">
        <v>123166</v>
      </c>
      <c r="Q38" s="650">
        <v>284417</v>
      </c>
      <c r="R38" s="650">
        <v>298167</v>
      </c>
      <c r="S38" s="17">
        <f>Q38+Q43-Q3</f>
        <v>1553081</v>
      </c>
    </row>
    <row r="39" spans="1:19">
      <c r="A39" s="685"/>
      <c r="B39" s="776"/>
      <c r="C39" s="776"/>
      <c r="D39" s="776"/>
      <c r="E39" s="776"/>
      <c r="F39" s="2">
        <f t="shared" ref="F39:Q39" si="5">SUM(F28:F38)</f>
        <v>227393</v>
      </c>
      <c r="G39" s="2">
        <f t="shared" si="5"/>
        <v>200027</v>
      </c>
      <c r="H39" s="2">
        <f t="shared" si="5"/>
        <v>785051</v>
      </c>
      <c r="I39" s="2">
        <f t="shared" si="5"/>
        <v>286719</v>
      </c>
      <c r="J39" s="2">
        <f t="shared" si="5"/>
        <v>928807</v>
      </c>
      <c r="K39" s="2">
        <f t="shared" si="5"/>
        <v>415546</v>
      </c>
      <c r="L39" s="2">
        <f t="shared" si="5"/>
        <v>671359</v>
      </c>
      <c r="M39" s="2">
        <f t="shared" si="5"/>
        <v>216225</v>
      </c>
      <c r="N39" s="2">
        <f t="shared" si="5"/>
        <v>221403</v>
      </c>
      <c r="O39" s="2">
        <f t="shared" si="5"/>
        <v>745518</v>
      </c>
      <c r="P39" s="2">
        <f t="shared" si="5"/>
        <v>356812</v>
      </c>
      <c r="Q39" s="2">
        <f t="shared" si="5"/>
        <v>557007</v>
      </c>
      <c r="R39" s="2">
        <f>SUM(R28:R38)</f>
        <v>569652</v>
      </c>
      <c r="S39" s="17">
        <f>Q52+S38</f>
        <v>6622060</v>
      </c>
    </row>
    <row r="40" spans="1:19">
      <c r="A40" s="685"/>
      <c r="B40" s="776"/>
      <c r="C40" s="776" t="s">
        <v>10</v>
      </c>
      <c r="D40" s="776"/>
      <c r="E40" s="776"/>
      <c r="F40" s="752">
        <v>5014</v>
      </c>
      <c r="G40" s="752">
        <v>28728</v>
      </c>
      <c r="H40" s="752">
        <v>66401</v>
      </c>
      <c r="I40" s="752">
        <v>92031</v>
      </c>
      <c r="J40" s="752">
        <v>138871</v>
      </c>
      <c r="K40" s="752">
        <v>145260</v>
      </c>
      <c r="L40" s="752">
        <v>179168</v>
      </c>
      <c r="M40" s="752">
        <v>970959</v>
      </c>
      <c r="N40" s="752">
        <v>1331772</v>
      </c>
      <c r="O40" s="752">
        <v>1329478</v>
      </c>
      <c r="P40" s="752">
        <v>1301231</v>
      </c>
      <c r="Q40" s="752">
        <v>1559507</v>
      </c>
      <c r="R40" s="752">
        <v>1412330</v>
      </c>
      <c r="S40" s="776"/>
    </row>
    <row r="41" spans="1:19">
      <c r="A41" s="685"/>
      <c r="B41" s="776"/>
      <c r="C41" s="776" t="s">
        <v>514</v>
      </c>
      <c r="D41" s="776"/>
      <c r="E41" s="776"/>
      <c r="F41" s="2"/>
      <c r="G41" s="2"/>
      <c r="H41" s="2"/>
      <c r="I41" s="2"/>
      <c r="J41" s="2"/>
      <c r="K41" s="2"/>
      <c r="L41" s="2"/>
      <c r="M41" s="11"/>
      <c r="N41" s="11">
        <v>124119</v>
      </c>
      <c r="O41" s="11">
        <v>124834</v>
      </c>
      <c r="P41" s="530">
        <v>106402</v>
      </c>
      <c r="Q41" s="11">
        <v>152389</v>
      </c>
      <c r="R41" s="11">
        <v>235746</v>
      </c>
      <c r="S41" s="776"/>
    </row>
    <row r="42" spans="1:19">
      <c r="A42" s="685"/>
      <c r="B42" s="776"/>
      <c r="C42" s="776" t="s">
        <v>339</v>
      </c>
      <c r="D42" s="776"/>
      <c r="E42" s="776"/>
      <c r="F42" s="2"/>
      <c r="G42" s="2"/>
      <c r="H42" s="2"/>
      <c r="I42" s="2"/>
      <c r="J42" s="2"/>
      <c r="K42" s="2"/>
      <c r="L42" s="2"/>
      <c r="M42" s="2"/>
      <c r="N42" s="2"/>
      <c r="O42" s="2"/>
      <c r="P42" s="303"/>
      <c r="Q42" s="2">
        <v>52954</v>
      </c>
      <c r="R42" s="2">
        <v>35564</v>
      </c>
      <c r="S42" s="776"/>
    </row>
    <row r="43" spans="1:19">
      <c r="A43" s="685"/>
      <c r="B43" s="776"/>
      <c r="C43" s="776" t="s">
        <v>341</v>
      </c>
      <c r="D43" s="776"/>
      <c r="E43" s="776"/>
      <c r="F43" s="650">
        <v>477911</v>
      </c>
      <c r="G43" s="650">
        <v>464554</v>
      </c>
      <c r="H43" s="650">
        <v>180444</v>
      </c>
      <c r="I43" s="650">
        <v>591498</v>
      </c>
      <c r="J43" s="650">
        <f>653178+6245</f>
        <v>659423</v>
      </c>
      <c r="K43" s="650">
        <f>1176566+6576</f>
        <v>1183142</v>
      </c>
      <c r="L43" s="650">
        <f>1021825+7193</f>
        <v>1029018</v>
      </c>
      <c r="M43" s="650">
        <v>760194</v>
      </c>
      <c r="N43" s="650">
        <v>629707</v>
      </c>
      <c r="O43" s="650">
        <v>793226</v>
      </c>
      <c r="P43" s="12">
        <v>1128695</v>
      </c>
      <c r="Q43" s="650">
        <v>1323058</v>
      </c>
      <c r="R43" s="650">
        <v>1275379</v>
      </c>
      <c r="S43" s="776"/>
    </row>
    <row r="44" spans="1:19">
      <c r="A44" s="685"/>
      <c r="B44" s="776"/>
      <c r="C44" s="776"/>
      <c r="D44" s="776"/>
      <c r="E44" s="776"/>
      <c r="F44" s="2">
        <f t="shared" ref="F44:R44" si="6">SUM(F40:F43)</f>
        <v>482925</v>
      </c>
      <c r="G44" s="2">
        <f t="shared" si="6"/>
        <v>493282</v>
      </c>
      <c r="H44" s="2">
        <f t="shared" si="6"/>
        <v>246845</v>
      </c>
      <c r="I44" s="2">
        <f t="shared" si="6"/>
        <v>683529</v>
      </c>
      <c r="J44" s="2">
        <f t="shared" si="6"/>
        <v>798294</v>
      </c>
      <c r="K44" s="2">
        <f t="shared" si="6"/>
        <v>1328402</v>
      </c>
      <c r="L44" s="2">
        <f t="shared" si="6"/>
        <v>1208186</v>
      </c>
      <c r="M44" s="2">
        <f t="shared" si="6"/>
        <v>1731153</v>
      </c>
      <c r="N44" s="2">
        <f t="shared" si="6"/>
        <v>2085598</v>
      </c>
      <c r="O44" s="2">
        <f t="shared" si="6"/>
        <v>2247538</v>
      </c>
      <c r="P44" s="2">
        <f t="shared" si="6"/>
        <v>2536328</v>
      </c>
      <c r="Q44" s="2">
        <f t="shared" si="6"/>
        <v>3087908</v>
      </c>
      <c r="R44" s="2">
        <f t="shared" si="6"/>
        <v>2959019</v>
      </c>
      <c r="S44" s="776"/>
    </row>
    <row r="45" spans="1:19">
      <c r="A45" s="685"/>
      <c r="B45" s="776"/>
      <c r="C45" s="776"/>
      <c r="D45" s="776"/>
      <c r="E45" s="776"/>
      <c r="F45" s="2"/>
      <c r="G45" s="2"/>
      <c r="H45" s="2"/>
      <c r="I45" s="2"/>
      <c r="J45" s="2"/>
      <c r="K45" s="2"/>
      <c r="L45" s="2"/>
      <c r="M45" s="2"/>
      <c r="N45" s="2"/>
      <c r="O45" s="2"/>
      <c r="P45" s="776"/>
      <c r="Q45" s="2"/>
      <c r="R45" s="11"/>
      <c r="S45" s="776"/>
    </row>
    <row r="46" spans="1:19">
      <c r="A46" s="685"/>
      <c r="B46" s="776"/>
      <c r="C46" s="776" t="s">
        <v>342</v>
      </c>
      <c r="D46" s="776"/>
      <c r="E46" s="776"/>
      <c r="F46" s="2">
        <v>1600000</v>
      </c>
      <c r="G46" s="2">
        <v>1600000</v>
      </c>
      <c r="H46" s="2">
        <v>1600000</v>
      </c>
      <c r="I46" s="2">
        <f>H46</f>
        <v>1600000</v>
      </c>
      <c r="J46" s="2">
        <v>1600000</v>
      </c>
      <c r="K46" s="2">
        <v>1600000</v>
      </c>
      <c r="L46" s="2">
        <v>1600000</v>
      </c>
      <c r="M46" s="2">
        <v>1600000</v>
      </c>
      <c r="N46" s="2">
        <v>1600000</v>
      </c>
      <c r="O46" s="2">
        <v>1600000</v>
      </c>
      <c r="P46" s="2">
        <v>1600000</v>
      </c>
      <c r="Q46" s="2">
        <v>1600000</v>
      </c>
      <c r="R46" s="2">
        <v>1600000</v>
      </c>
      <c r="S46" s="776"/>
    </row>
    <row r="47" spans="1:19">
      <c r="A47" s="685"/>
      <c r="B47" s="776"/>
      <c r="C47" s="776" t="s">
        <v>343</v>
      </c>
      <c r="D47" s="776"/>
      <c r="E47" s="776"/>
      <c r="F47" s="752"/>
      <c r="G47" s="752">
        <v>77813</v>
      </c>
      <c r="H47" s="752">
        <f>G47</f>
        <v>77813</v>
      </c>
      <c r="I47" s="752">
        <v>77802</v>
      </c>
      <c r="J47" s="752">
        <v>677802</v>
      </c>
      <c r="K47" s="752">
        <v>677802</v>
      </c>
      <c r="L47" s="752">
        <v>677802</v>
      </c>
      <c r="M47" s="752">
        <v>1652713</v>
      </c>
      <c r="N47" s="752">
        <v>2746509</v>
      </c>
      <c r="O47" s="752">
        <v>2737795</v>
      </c>
      <c r="P47" s="752">
        <v>2737092</v>
      </c>
      <c r="Q47" s="752">
        <v>3686651</v>
      </c>
      <c r="R47" s="752">
        <v>3392516</v>
      </c>
      <c r="S47" s="776"/>
    </row>
    <row r="48" spans="1:19">
      <c r="A48" s="685"/>
      <c r="B48" s="776"/>
      <c r="C48" s="776" t="s">
        <v>345</v>
      </c>
      <c r="D48" s="776"/>
      <c r="E48" s="776"/>
      <c r="F48" s="2"/>
      <c r="G48" s="2"/>
      <c r="H48" s="2">
        <v>1387</v>
      </c>
      <c r="I48" s="2">
        <f>-8957+H48</f>
        <v>-7570</v>
      </c>
      <c r="J48" s="2">
        <f>5471+I48</f>
        <v>-2099</v>
      </c>
      <c r="K48" s="2">
        <v>-15627</v>
      </c>
      <c r="L48" s="2">
        <v>-17724</v>
      </c>
      <c r="M48" s="2">
        <v>6</v>
      </c>
      <c r="N48" s="2">
        <v>4</v>
      </c>
      <c r="O48" s="2">
        <v>85</v>
      </c>
      <c r="P48" s="11">
        <v>340</v>
      </c>
      <c r="Q48" s="2">
        <v>-2720</v>
      </c>
      <c r="R48" s="2">
        <v>-655</v>
      </c>
      <c r="S48" s="776"/>
    </row>
    <row r="49" spans="1:19">
      <c r="A49" s="685"/>
      <c r="B49" s="776"/>
      <c r="C49" s="776" t="s">
        <v>346</v>
      </c>
      <c r="D49" s="776"/>
      <c r="E49" s="776"/>
      <c r="F49" s="2"/>
      <c r="G49" s="2"/>
      <c r="H49" s="2"/>
      <c r="I49" s="2"/>
      <c r="J49" s="2"/>
      <c r="K49" s="2"/>
      <c r="L49" s="2"/>
      <c r="M49" s="2">
        <v>14891</v>
      </c>
      <c r="N49" s="2">
        <v>2316</v>
      </c>
      <c r="O49" s="2">
        <v>-24352</v>
      </c>
      <c r="P49" s="11">
        <v>-5525</v>
      </c>
      <c r="Q49" s="2">
        <v>659</v>
      </c>
      <c r="R49" s="2">
        <v>-217</v>
      </c>
      <c r="S49" s="776"/>
    </row>
    <row r="50" spans="1:19">
      <c r="A50" s="685"/>
      <c r="B50" s="776"/>
      <c r="C50" s="776" t="s">
        <v>347</v>
      </c>
      <c r="D50" s="776"/>
      <c r="E50" s="776"/>
      <c r="F50" s="2"/>
      <c r="G50" s="2"/>
      <c r="H50" s="2"/>
      <c r="I50" s="2"/>
      <c r="J50" s="2"/>
      <c r="K50" s="2"/>
      <c r="L50" s="2"/>
      <c r="M50" s="2">
        <v>1065</v>
      </c>
      <c r="N50" s="2">
        <v>1544</v>
      </c>
      <c r="O50" s="2">
        <v>-673</v>
      </c>
      <c r="P50" s="11">
        <v>380</v>
      </c>
      <c r="Q50" s="2">
        <v>387</v>
      </c>
      <c r="R50" s="2">
        <v>162</v>
      </c>
      <c r="S50" s="776"/>
    </row>
    <row r="51" spans="1:19">
      <c r="A51" s="685"/>
      <c r="B51" s="776"/>
      <c r="C51" s="776" t="s">
        <v>519</v>
      </c>
      <c r="D51" s="776"/>
      <c r="E51" s="776"/>
      <c r="F51" s="650">
        <v>-38645</v>
      </c>
      <c r="G51" s="650">
        <v>-4662</v>
      </c>
      <c r="H51" s="650">
        <v>-61041</v>
      </c>
      <c r="I51" s="650">
        <v>-7985</v>
      </c>
      <c r="J51" s="650">
        <v>24099</v>
      </c>
      <c r="K51" s="650">
        <v>139604</v>
      </c>
      <c r="L51" s="650">
        <v>209002</v>
      </c>
      <c r="M51" s="650">
        <v>169389</v>
      </c>
      <c r="N51" s="650">
        <v>39807</v>
      </c>
      <c r="O51" s="650">
        <v>-111560</v>
      </c>
      <c r="P51" s="12">
        <v>-50648</v>
      </c>
      <c r="Q51" s="650">
        <v>-215998</v>
      </c>
      <c r="R51" s="650">
        <v>-61402</v>
      </c>
      <c r="S51" s="776"/>
    </row>
    <row r="52" spans="1:19">
      <c r="A52" s="685"/>
      <c r="B52" s="776"/>
      <c r="C52" s="776"/>
      <c r="D52" s="776"/>
      <c r="E52" s="776"/>
      <c r="F52" s="2">
        <f t="shared" ref="F52:R52" si="7">SUM(F46:F51)</f>
        <v>1561355</v>
      </c>
      <c r="G52" s="2">
        <f t="shared" si="7"/>
        <v>1673151</v>
      </c>
      <c r="H52" s="2">
        <f t="shared" si="7"/>
        <v>1618159</v>
      </c>
      <c r="I52" s="2">
        <f t="shared" si="7"/>
        <v>1662247</v>
      </c>
      <c r="J52" s="2">
        <f t="shared" si="7"/>
        <v>2299802</v>
      </c>
      <c r="K52" s="2">
        <f t="shared" si="7"/>
        <v>2401779</v>
      </c>
      <c r="L52" s="2">
        <f t="shared" si="7"/>
        <v>2469080</v>
      </c>
      <c r="M52" s="2">
        <f t="shared" si="7"/>
        <v>3438064</v>
      </c>
      <c r="N52" s="2">
        <f t="shared" si="7"/>
        <v>4390180</v>
      </c>
      <c r="O52" s="2">
        <f t="shared" si="7"/>
        <v>4201295</v>
      </c>
      <c r="P52" s="2">
        <f t="shared" si="7"/>
        <v>4281639</v>
      </c>
      <c r="Q52" s="2">
        <f t="shared" si="7"/>
        <v>5068979</v>
      </c>
      <c r="R52" s="2">
        <f t="shared" si="7"/>
        <v>4930404</v>
      </c>
      <c r="S52" s="776"/>
    </row>
    <row r="53" spans="1:19">
      <c r="A53" s="685"/>
      <c r="B53" s="776"/>
      <c r="C53" s="776" t="s">
        <v>1069</v>
      </c>
      <c r="D53" s="776"/>
      <c r="E53" s="776"/>
      <c r="F53" s="2"/>
      <c r="G53" s="2"/>
      <c r="H53" s="2"/>
      <c r="I53" s="2"/>
      <c r="J53" s="2"/>
      <c r="K53" s="2"/>
      <c r="L53" s="2"/>
      <c r="M53" s="2"/>
      <c r="N53" s="2">
        <v>11610</v>
      </c>
      <c r="O53" s="2">
        <f>981+2356</f>
        <v>3337</v>
      </c>
      <c r="P53" s="776">
        <f>1079+1410</f>
        <v>2489</v>
      </c>
      <c r="Q53" s="2">
        <f>1098+607</f>
        <v>1705</v>
      </c>
      <c r="R53" s="2">
        <f>997-99</f>
        <v>898</v>
      </c>
      <c r="S53" s="776"/>
    </row>
    <row r="54" spans="1:19" ht="13.5" thickBot="1">
      <c r="A54" s="685"/>
      <c r="B54" s="776"/>
      <c r="C54" s="1" t="s">
        <v>323</v>
      </c>
      <c r="D54" s="776"/>
      <c r="E54" s="776"/>
      <c r="F54" s="748">
        <f t="shared" ref="F54:R54" si="8">F39+F44+F52+F53</f>
        <v>2271673</v>
      </c>
      <c r="G54" s="748">
        <f t="shared" si="8"/>
        <v>2366460</v>
      </c>
      <c r="H54" s="748">
        <f t="shared" si="8"/>
        <v>2650055</v>
      </c>
      <c r="I54" s="748">
        <f t="shared" si="8"/>
        <v>2632495</v>
      </c>
      <c r="J54" s="748">
        <f t="shared" si="8"/>
        <v>4026903</v>
      </c>
      <c r="K54" s="748">
        <f t="shared" si="8"/>
        <v>4145727</v>
      </c>
      <c r="L54" s="748">
        <f t="shared" si="8"/>
        <v>4348625</v>
      </c>
      <c r="M54" s="748">
        <f t="shared" si="8"/>
        <v>5385442</v>
      </c>
      <c r="N54" s="748">
        <f t="shared" si="8"/>
        <v>6708791</v>
      </c>
      <c r="O54" s="748">
        <f t="shared" si="8"/>
        <v>7197688</v>
      </c>
      <c r="P54" s="748">
        <f t="shared" si="8"/>
        <v>7177268</v>
      </c>
      <c r="Q54" s="748">
        <f t="shared" si="8"/>
        <v>8715599</v>
      </c>
      <c r="R54" s="748">
        <f t="shared" si="8"/>
        <v>8459973</v>
      </c>
      <c r="S54" s="776"/>
    </row>
    <row r="55" spans="1:19" ht="13.5" thickTop="1">
      <c r="A55" s="869"/>
      <c r="B55" s="812"/>
      <c r="C55" s="816" t="s">
        <v>1070</v>
      </c>
      <c r="D55" s="817"/>
      <c r="E55" s="818"/>
      <c r="F55" s="17">
        <f>F26-F54</f>
        <v>0</v>
      </c>
      <c r="G55" s="17">
        <f t="shared" ref="G55:R55" si="9">G26-G54</f>
        <v>0</v>
      </c>
      <c r="H55" s="17">
        <f t="shared" si="9"/>
        <v>0</v>
      </c>
      <c r="I55" s="17">
        <f t="shared" si="9"/>
        <v>0</v>
      </c>
      <c r="J55" s="17">
        <f t="shared" si="9"/>
        <v>0</v>
      </c>
      <c r="K55" s="17">
        <f t="shared" si="9"/>
        <v>0</v>
      </c>
      <c r="L55" s="17">
        <f t="shared" si="9"/>
        <v>0</v>
      </c>
      <c r="M55" s="17">
        <f t="shared" si="9"/>
        <v>0</v>
      </c>
      <c r="N55" s="17">
        <f t="shared" si="9"/>
        <v>0</v>
      </c>
      <c r="O55" s="17">
        <f t="shared" si="9"/>
        <v>0</v>
      </c>
      <c r="P55" s="17">
        <f t="shared" si="9"/>
        <v>0</v>
      </c>
      <c r="Q55" s="17">
        <f t="shared" si="9"/>
        <v>0</v>
      </c>
      <c r="R55" s="17">
        <f t="shared" si="9"/>
        <v>0</v>
      </c>
      <c r="S55" s="776"/>
    </row>
    <row r="56" spans="1:19">
      <c r="A56" s="870"/>
      <c r="B56" s="819"/>
      <c r="C56" s="820" t="s">
        <v>0</v>
      </c>
      <c r="D56" s="821"/>
      <c r="E56" s="821"/>
      <c r="F56" s="17"/>
      <c r="G56" s="17"/>
      <c r="H56" s="17"/>
      <c r="I56" s="17"/>
      <c r="J56" s="17"/>
      <c r="K56" s="17"/>
      <c r="L56" s="17"/>
      <c r="M56" s="17"/>
      <c r="N56" s="17"/>
      <c r="O56" s="17"/>
      <c r="P56" s="17"/>
      <c r="Q56" s="17"/>
      <c r="R56" s="17"/>
      <c r="S56" s="776"/>
    </row>
    <row r="57" spans="1:19">
      <c r="A57" s="871" t="s">
        <v>538</v>
      </c>
      <c r="B57" s="3" t="s">
        <v>539</v>
      </c>
      <c r="C57" s="822" t="s">
        <v>142</v>
      </c>
      <c r="D57" s="823"/>
      <c r="E57" s="824"/>
      <c r="F57" s="825">
        <v>1999</v>
      </c>
      <c r="G57" s="825">
        <f t="shared" ref="G57:L57" si="10">F57+1</f>
        <v>2000</v>
      </c>
      <c r="H57" s="825">
        <f t="shared" si="10"/>
        <v>2001</v>
      </c>
      <c r="I57" s="825">
        <f t="shared" si="10"/>
        <v>2002</v>
      </c>
      <c r="J57" s="825">
        <f t="shared" si="10"/>
        <v>2003</v>
      </c>
      <c r="K57" s="825">
        <f t="shared" si="10"/>
        <v>2004</v>
      </c>
      <c r="L57" s="825">
        <f t="shared" si="10"/>
        <v>2005</v>
      </c>
      <c r="M57" s="825">
        <v>2006</v>
      </c>
      <c r="N57" s="825">
        <v>2007</v>
      </c>
      <c r="O57" s="825">
        <v>2008</v>
      </c>
      <c r="P57" s="825">
        <v>2009</v>
      </c>
      <c r="Q57" s="826">
        <f>P57+1</f>
        <v>2010</v>
      </c>
      <c r="R57" s="826">
        <f>Q57+1</f>
        <v>2011</v>
      </c>
      <c r="S57" s="776"/>
    </row>
    <row r="58" spans="1:19">
      <c r="A58" s="685">
        <v>1000</v>
      </c>
      <c r="B58" s="776"/>
      <c r="C58" s="776" t="s">
        <v>292</v>
      </c>
      <c r="D58" s="776"/>
      <c r="E58" s="776"/>
      <c r="F58" s="754">
        <v>93759</v>
      </c>
      <c r="G58" s="754">
        <v>33562</v>
      </c>
      <c r="H58" s="754">
        <v>52829</v>
      </c>
      <c r="I58" s="754">
        <v>9962</v>
      </c>
      <c r="J58" s="754">
        <v>55337</v>
      </c>
      <c r="K58" s="754">
        <v>104262</v>
      </c>
      <c r="L58" s="754">
        <v>40827</v>
      </c>
      <c r="M58" s="754"/>
      <c r="N58" s="754">
        <v>44755</v>
      </c>
      <c r="O58" s="754">
        <v>71742</v>
      </c>
      <c r="P58" s="754">
        <v>47877</v>
      </c>
      <c r="Q58" s="754">
        <v>54394</v>
      </c>
      <c r="R58" s="754">
        <v>368191</v>
      </c>
      <c r="S58" s="776"/>
    </row>
    <row r="59" spans="1:19">
      <c r="A59" s="685">
        <v>1100</v>
      </c>
      <c r="B59" s="776"/>
      <c r="C59" s="776" t="s">
        <v>294</v>
      </c>
      <c r="D59" s="776"/>
      <c r="E59" s="776"/>
      <c r="F59" s="754">
        <v>82784</v>
      </c>
      <c r="G59" s="754">
        <v>95020</v>
      </c>
      <c r="H59" s="754">
        <v>182656</v>
      </c>
      <c r="I59" s="754">
        <v>153665</v>
      </c>
      <c r="J59" s="754">
        <v>209728</v>
      </c>
      <c r="K59" s="754">
        <v>212902</v>
      </c>
      <c r="L59" s="754">
        <v>289735</v>
      </c>
      <c r="M59" s="754">
        <v>234422</v>
      </c>
      <c r="N59" s="754">
        <v>221702</v>
      </c>
      <c r="O59" s="754">
        <v>471134</v>
      </c>
      <c r="P59" s="754">
        <v>188156</v>
      </c>
      <c r="Q59" s="754">
        <v>199114</v>
      </c>
      <c r="R59" s="754">
        <v>240885</v>
      </c>
      <c r="S59" s="776"/>
    </row>
    <row r="60" spans="1:19">
      <c r="A60" s="685">
        <v>1200</v>
      </c>
      <c r="B60" s="776"/>
      <c r="C60" s="776" t="s">
        <v>583</v>
      </c>
      <c r="D60" s="776"/>
      <c r="E60" s="776"/>
      <c r="F60" s="754">
        <v>2720</v>
      </c>
      <c r="G60" s="754">
        <v>2509</v>
      </c>
      <c r="H60" s="754">
        <v>2744</v>
      </c>
      <c r="I60" s="754">
        <v>2908</v>
      </c>
      <c r="J60" s="754">
        <v>2884</v>
      </c>
      <c r="K60" s="754">
        <v>3140</v>
      </c>
      <c r="L60" s="754">
        <v>3378</v>
      </c>
      <c r="M60" s="754"/>
      <c r="N60" s="754">
        <v>10965</v>
      </c>
      <c r="O60" s="754">
        <v>8251</v>
      </c>
      <c r="P60" s="754">
        <v>7299</v>
      </c>
      <c r="Q60" s="754">
        <v>6029</v>
      </c>
      <c r="R60" s="754">
        <v>3333</v>
      </c>
      <c r="S60" s="776"/>
    </row>
    <row r="61" spans="1:19">
      <c r="A61" s="685"/>
      <c r="B61" s="776"/>
      <c r="C61" s="776" t="s">
        <v>302</v>
      </c>
      <c r="D61" s="776"/>
      <c r="E61" s="776"/>
      <c r="F61" s="754"/>
      <c r="G61" s="754"/>
      <c r="H61" s="754"/>
      <c r="I61" s="754"/>
      <c r="J61" s="754"/>
      <c r="K61" s="754"/>
      <c r="L61" s="754"/>
      <c r="M61" s="754"/>
      <c r="N61" s="754"/>
      <c r="O61" s="754"/>
      <c r="P61" s="754"/>
      <c r="Q61" s="754">
        <v>683</v>
      </c>
      <c r="R61" s="754">
        <v>632</v>
      </c>
      <c r="S61" s="776"/>
    </row>
    <row r="62" spans="1:19">
      <c r="A62" s="685">
        <v>1250</v>
      </c>
      <c r="B62" s="776"/>
      <c r="C62" s="776" t="s">
        <v>303</v>
      </c>
      <c r="D62" s="776"/>
      <c r="E62" s="776"/>
      <c r="F62" s="754"/>
      <c r="G62" s="754">
        <v>7608</v>
      </c>
      <c r="H62" s="754">
        <v>8519</v>
      </c>
      <c r="I62" s="754">
        <v>18505</v>
      </c>
      <c r="J62" s="754">
        <v>12135</v>
      </c>
      <c r="K62" s="754">
        <v>0</v>
      </c>
      <c r="L62" s="754">
        <v>0</v>
      </c>
      <c r="M62" s="754"/>
      <c r="N62" s="754">
        <v>8548</v>
      </c>
      <c r="O62" s="754">
        <v>8045</v>
      </c>
      <c r="P62" s="756"/>
      <c r="Q62" s="754"/>
      <c r="R62" s="754"/>
      <c r="S62" s="776"/>
    </row>
    <row r="63" spans="1:19">
      <c r="A63" s="685">
        <v>1130</v>
      </c>
      <c r="B63" s="776"/>
      <c r="C63" s="776" t="s">
        <v>305</v>
      </c>
      <c r="D63" s="776"/>
      <c r="E63" s="776"/>
      <c r="F63" s="754"/>
      <c r="G63" s="754"/>
      <c r="H63" s="754"/>
      <c r="I63" s="754"/>
      <c r="J63" s="754"/>
      <c r="K63" s="754"/>
      <c r="L63" s="754"/>
      <c r="M63" s="754"/>
      <c r="N63" s="754"/>
      <c r="O63" s="754">
        <v>7984</v>
      </c>
      <c r="P63" s="754">
        <v>10519</v>
      </c>
      <c r="Q63" s="754">
        <v>350</v>
      </c>
      <c r="R63" s="754">
        <v>1888</v>
      </c>
      <c r="S63" s="776"/>
    </row>
    <row r="64" spans="1:19">
      <c r="A64" s="685">
        <v>1810</v>
      </c>
      <c r="B64" s="776"/>
      <c r="C64" s="776" t="s">
        <v>306</v>
      </c>
      <c r="D64" s="776"/>
      <c r="E64" s="776"/>
      <c r="F64" s="754">
        <v>24</v>
      </c>
      <c r="G64" s="754">
        <f>24+3594</f>
        <v>3618</v>
      </c>
      <c r="H64" s="754">
        <v>7093</v>
      </c>
      <c r="I64" s="754">
        <v>8562</v>
      </c>
      <c r="J64" s="754">
        <f>5975+1162</f>
        <v>7137</v>
      </c>
      <c r="K64" s="754">
        <f>15754+1890</f>
        <v>17644</v>
      </c>
      <c r="L64" s="754">
        <v>27497</v>
      </c>
      <c r="M64" s="754">
        <f>16119+716</f>
        <v>16835</v>
      </c>
      <c r="N64" s="754"/>
      <c r="O64" s="756"/>
      <c r="P64" s="756"/>
      <c r="Q64" s="754"/>
      <c r="R64" s="754"/>
      <c r="S64" s="776"/>
    </row>
    <row r="65" spans="1:19">
      <c r="A65" s="685">
        <v>1700</v>
      </c>
      <c r="B65" s="776"/>
      <c r="C65" s="776" t="s">
        <v>308</v>
      </c>
      <c r="D65" s="776"/>
      <c r="E65" s="776"/>
      <c r="F65" s="754"/>
      <c r="G65" s="754"/>
      <c r="H65" s="754"/>
      <c r="I65" s="754"/>
      <c r="J65" s="754">
        <v>4804</v>
      </c>
      <c r="K65" s="754">
        <v>9282</v>
      </c>
      <c r="L65" s="754">
        <v>10230</v>
      </c>
      <c r="M65" s="754">
        <v>254930</v>
      </c>
      <c r="N65" s="754">
        <v>609</v>
      </c>
      <c r="O65" s="754">
        <v>729</v>
      </c>
      <c r="P65" s="756"/>
      <c r="Q65" s="754"/>
      <c r="R65" s="754"/>
      <c r="S65" s="776"/>
    </row>
    <row r="66" spans="1:19">
      <c r="A66" s="685">
        <v>1760</v>
      </c>
      <c r="B66" s="776"/>
      <c r="C66" s="647" t="s">
        <v>1071</v>
      </c>
      <c r="D66" s="647"/>
      <c r="E66" s="647"/>
      <c r="F66" s="754"/>
      <c r="G66" s="754"/>
      <c r="H66" s="754"/>
      <c r="I66" s="754"/>
      <c r="J66" s="754"/>
      <c r="K66" s="754"/>
      <c r="L66" s="754"/>
      <c r="M66" s="754">
        <f>M408</f>
        <v>0</v>
      </c>
      <c r="N66" s="754">
        <f>N422</f>
        <v>0</v>
      </c>
      <c r="O66" s="754">
        <f>O422</f>
        <v>0</v>
      </c>
      <c r="P66" s="754">
        <f>P422</f>
        <v>0</v>
      </c>
      <c r="Q66" s="754">
        <f>Q422</f>
        <v>0</v>
      </c>
      <c r="R66" s="754">
        <f>R422</f>
        <v>0</v>
      </c>
      <c r="S66" s="776"/>
    </row>
    <row r="67" spans="1:19">
      <c r="A67" s="685">
        <v>1750</v>
      </c>
      <c r="B67" s="776"/>
      <c r="C67" s="776" t="s">
        <v>314</v>
      </c>
      <c r="D67" s="776"/>
      <c r="E67" s="776"/>
      <c r="F67" s="754"/>
      <c r="G67" s="754"/>
      <c r="H67" s="754"/>
      <c r="I67" s="754"/>
      <c r="J67" s="756"/>
      <c r="K67" s="756"/>
      <c r="L67" s="756"/>
      <c r="M67" s="756"/>
      <c r="N67" s="756"/>
      <c r="O67" s="756"/>
      <c r="P67" s="756"/>
      <c r="Q67" s="754"/>
      <c r="R67" s="754"/>
      <c r="S67" s="776"/>
    </row>
    <row r="68" spans="1:19">
      <c r="A68" s="685">
        <v>1800</v>
      </c>
      <c r="B68" s="776"/>
      <c r="C68" s="776" t="s">
        <v>541</v>
      </c>
      <c r="D68" s="776"/>
      <c r="E68" s="776"/>
      <c r="F68" s="755">
        <v>17079</v>
      </c>
      <c r="G68" s="755">
        <v>24826</v>
      </c>
      <c r="H68" s="755">
        <v>22846</v>
      </c>
      <c r="I68" s="755">
        <v>52417</v>
      </c>
      <c r="J68" s="755">
        <v>45020</v>
      </c>
      <c r="K68" s="755">
        <v>37658</v>
      </c>
      <c r="L68" s="755">
        <v>30035</v>
      </c>
      <c r="M68" s="755"/>
      <c r="N68" s="755"/>
      <c r="O68" s="755"/>
      <c r="P68" s="760"/>
      <c r="Q68" s="755"/>
      <c r="R68" s="755"/>
      <c r="S68" s="776"/>
    </row>
    <row r="69" spans="1:19">
      <c r="A69" s="685"/>
      <c r="B69" s="776"/>
      <c r="C69" s="776"/>
      <c r="D69" s="776"/>
      <c r="E69" s="776"/>
      <c r="F69" s="754">
        <f t="shared" ref="F69:R69" si="11">SUM(F58:F68)</f>
        <v>196366</v>
      </c>
      <c r="G69" s="754">
        <f t="shared" si="11"/>
        <v>167143</v>
      </c>
      <c r="H69" s="754">
        <f t="shared" si="11"/>
        <v>276687</v>
      </c>
      <c r="I69" s="754">
        <f t="shared" si="11"/>
        <v>246019</v>
      </c>
      <c r="J69" s="754">
        <f t="shared" si="11"/>
        <v>337045</v>
      </c>
      <c r="K69" s="754">
        <f t="shared" si="11"/>
        <v>384888</v>
      </c>
      <c r="L69" s="754">
        <f t="shared" si="11"/>
        <v>401702</v>
      </c>
      <c r="M69" s="754">
        <f t="shared" si="11"/>
        <v>506187</v>
      </c>
      <c r="N69" s="754">
        <f t="shared" si="11"/>
        <v>286579</v>
      </c>
      <c r="O69" s="754">
        <f t="shared" si="11"/>
        <v>567885</v>
      </c>
      <c r="P69" s="754">
        <f t="shared" si="11"/>
        <v>253851</v>
      </c>
      <c r="Q69" s="754">
        <f t="shared" si="11"/>
        <v>260570</v>
      </c>
      <c r="R69" s="754">
        <f t="shared" si="11"/>
        <v>614929</v>
      </c>
      <c r="S69" s="776"/>
    </row>
    <row r="70" spans="1:19">
      <c r="A70" s="685"/>
      <c r="B70" s="776"/>
      <c r="C70" s="776" t="s">
        <v>301</v>
      </c>
      <c r="D70" s="776"/>
      <c r="E70" s="776"/>
      <c r="F70" s="754"/>
      <c r="G70" s="754"/>
      <c r="H70" s="754"/>
      <c r="I70" s="754"/>
      <c r="J70" s="754"/>
      <c r="K70" s="754"/>
      <c r="L70" s="754"/>
      <c r="M70" s="754"/>
      <c r="N70" s="754"/>
      <c r="O70" s="754"/>
      <c r="P70" s="756"/>
      <c r="Q70" s="754">
        <v>4984</v>
      </c>
      <c r="R70" s="754">
        <v>4895</v>
      </c>
      <c r="S70" s="776"/>
    </row>
    <row r="71" spans="1:19">
      <c r="A71" s="685">
        <v>1700</v>
      </c>
      <c r="B71" s="776"/>
      <c r="C71" s="776" t="s">
        <v>297</v>
      </c>
      <c r="D71" s="776"/>
      <c r="E71" s="776"/>
      <c r="F71" s="754"/>
      <c r="G71" s="754"/>
      <c r="H71" s="754"/>
      <c r="I71" s="754"/>
      <c r="J71" s="754"/>
      <c r="K71" s="754"/>
      <c r="L71" s="754"/>
      <c r="M71" s="754"/>
      <c r="N71" s="754"/>
      <c r="O71" s="754"/>
      <c r="P71" s="756"/>
      <c r="Q71" s="754"/>
      <c r="R71" s="754"/>
      <c r="S71" s="776"/>
    </row>
    <row r="72" spans="1:19">
      <c r="A72" s="685">
        <v>1820</v>
      </c>
      <c r="B72" s="776"/>
      <c r="C72" s="776" t="s">
        <v>311</v>
      </c>
      <c r="D72" s="776"/>
      <c r="E72" s="776"/>
      <c r="F72" s="754"/>
      <c r="G72" s="754"/>
      <c r="H72" s="754"/>
      <c r="I72" s="754"/>
      <c r="J72" s="754"/>
      <c r="K72" s="754"/>
      <c r="L72" s="754"/>
      <c r="M72" s="754"/>
      <c r="N72" s="754">
        <v>16567</v>
      </c>
      <c r="O72" s="754">
        <v>11780</v>
      </c>
      <c r="P72" s="756">
        <v>6993</v>
      </c>
      <c r="Q72" s="754">
        <v>6077</v>
      </c>
      <c r="R72" s="754">
        <v>6065</v>
      </c>
      <c r="S72" s="776"/>
    </row>
    <row r="73" spans="1:19">
      <c r="A73" s="685">
        <v>1810</v>
      </c>
      <c r="B73" s="776"/>
      <c r="C73" s="776" t="s">
        <v>312</v>
      </c>
      <c r="D73" s="776"/>
      <c r="E73" s="776"/>
      <c r="F73" s="754"/>
      <c r="G73" s="754"/>
      <c r="H73" s="754"/>
      <c r="I73" s="754"/>
      <c r="J73" s="754"/>
      <c r="K73" s="754"/>
      <c r="L73" s="754"/>
      <c r="M73" s="754"/>
      <c r="N73" s="754"/>
      <c r="O73" s="754">
        <v>2811</v>
      </c>
      <c r="P73" s="756">
        <v>2211</v>
      </c>
      <c r="Q73" s="754">
        <v>294</v>
      </c>
      <c r="R73" s="754">
        <v>4402</v>
      </c>
      <c r="S73" s="776"/>
    </row>
    <row r="74" spans="1:19">
      <c r="A74" s="685"/>
      <c r="B74" s="776"/>
      <c r="C74" s="776" t="s">
        <v>514</v>
      </c>
      <c r="D74" s="776"/>
      <c r="E74" s="776"/>
      <c r="F74" s="754"/>
      <c r="G74" s="754"/>
      <c r="H74" s="754"/>
      <c r="I74" s="754"/>
      <c r="J74" s="754"/>
      <c r="K74" s="754"/>
      <c r="L74" s="754"/>
      <c r="M74" s="754"/>
      <c r="N74" s="754"/>
      <c r="O74" s="754"/>
      <c r="P74" s="754"/>
      <c r="Q74" s="754"/>
      <c r="R74" s="754"/>
      <c r="S74" s="17"/>
    </row>
    <row r="75" spans="1:19">
      <c r="A75" s="685">
        <v>1730</v>
      </c>
      <c r="B75" s="776"/>
      <c r="C75" s="776" t="s">
        <v>314</v>
      </c>
      <c r="D75" s="776"/>
      <c r="E75" s="776"/>
      <c r="F75" s="754"/>
      <c r="G75" s="754"/>
      <c r="H75" s="754"/>
      <c r="I75" s="754"/>
      <c r="J75" s="754">
        <v>195489</v>
      </c>
      <c r="K75" s="754">
        <v>179537</v>
      </c>
      <c r="L75" s="754">
        <v>150711</v>
      </c>
      <c r="M75" s="754">
        <v>26594</v>
      </c>
      <c r="N75" s="754">
        <v>49592</v>
      </c>
      <c r="O75" s="754">
        <v>42358</v>
      </c>
      <c r="P75" s="754">
        <v>43633</v>
      </c>
      <c r="Q75" s="754">
        <v>50053</v>
      </c>
      <c r="R75" s="754">
        <v>46930</v>
      </c>
      <c r="S75" s="776"/>
    </row>
    <row r="76" spans="1:19">
      <c r="A76" s="685">
        <v>1780</v>
      </c>
      <c r="B76" s="776"/>
      <c r="C76" s="776" t="s">
        <v>315</v>
      </c>
      <c r="D76" s="776"/>
      <c r="E76" s="776"/>
      <c r="F76" s="754"/>
      <c r="G76" s="754"/>
      <c r="H76" s="754"/>
      <c r="I76" s="754"/>
      <c r="J76" s="754"/>
      <c r="K76" s="754"/>
      <c r="L76" s="754"/>
      <c r="M76" s="754">
        <v>132</v>
      </c>
      <c r="N76" s="754">
        <v>37</v>
      </c>
      <c r="O76" s="754">
        <v>1122</v>
      </c>
      <c r="P76" s="754">
        <v>449</v>
      </c>
      <c r="Q76" s="754">
        <v>3399</v>
      </c>
      <c r="R76" s="754">
        <v>7947</v>
      </c>
      <c r="S76" s="776"/>
    </row>
    <row r="77" spans="1:19">
      <c r="A77" s="685">
        <v>1620</v>
      </c>
      <c r="B77" s="776"/>
      <c r="C77" s="1" t="s">
        <v>1072</v>
      </c>
      <c r="D77" s="776"/>
      <c r="E77" s="776"/>
      <c r="F77" s="754">
        <f>F140</f>
        <v>2089995</v>
      </c>
      <c r="G77" s="754">
        <f t="shared" ref="G77:R77" si="12">G140</f>
        <v>2183976</v>
      </c>
      <c r="H77" s="754">
        <f t="shared" si="12"/>
        <v>2212190</v>
      </c>
      <c r="I77" s="754">
        <f t="shared" si="12"/>
        <v>2428180</v>
      </c>
      <c r="J77" s="754">
        <f t="shared" si="12"/>
        <v>2733537</v>
      </c>
      <c r="K77" s="754">
        <f t="shared" si="12"/>
        <v>2799902</v>
      </c>
      <c r="L77" s="754">
        <f t="shared" si="12"/>
        <v>3223239</v>
      </c>
      <c r="M77" s="754">
        <f t="shared" si="12"/>
        <v>2271337</v>
      </c>
      <c r="N77" s="754">
        <f t="shared" si="12"/>
        <v>2336535</v>
      </c>
      <c r="O77" s="754">
        <f t="shared" si="12"/>
        <v>2373603</v>
      </c>
      <c r="P77" s="754">
        <f t="shared" si="12"/>
        <v>2462228</v>
      </c>
      <c r="Q77" s="754">
        <f t="shared" si="12"/>
        <v>2871343</v>
      </c>
      <c r="R77" s="754">
        <f t="shared" si="12"/>
        <v>2293076</v>
      </c>
      <c r="S77" s="776"/>
    </row>
    <row r="78" spans="1:19">
      <c r="A78" s="685">
        <v>1510</v>
      </c>
      <c r="B78" s="776"/>
      <c r="C78" s="776" t="s">
        <v>1073</v>
      </c>
      <c r="D78" s="776"/>
      <c r="E78" s="776"/>
      <c r="F78" s="754">
        <f t="shared" ref="F78:R80" si="13">F141</f>
        <v>0</v>
      </c>
      <c r="G78" s="754">
        <f t="shared" si="13"/>
        <v>77813</v>
      </c>
      <c r="H78" s="754">
        <f t="shared" si="13"/>
        <v>77813</v>
      </c>
      <c r="I78" s="754">
        <f t="shared" si="13"/>
        <v>77802</v>
      </c>
      <c r="J78" s="754">
        <f t="shared" si="13"/>
        <v>677802</v>
      </c>
      <c r="K78" s="754">
        <f t="shared" si="13"/>
        <v>677802</v>
      </c>
      <c r="L78" s="754">
        <f t="shared" si="13"/>
        <v>677802</v>
      </c>
      <c r="M78" s="754">
        <f t="shared" si="13"/>
        <v>2477802</v>
      </c>
      <c r="N78" s="754">
        <f t="shared" si="13"/>
        <v>3932802</v>
      </c>
      <c r="O78" s="754">
        <f t="shared" si="13"/>
        <v>3932802</v>
      </c>
      <c r="P78" s="754">
        <f t="shared" si="13"/>
        <v>3932802</v>
      </c>
      <c r="Q78" s="754">
        <f t="shared" si="13"/>
        <v>5146465</v>
      </c>
      <c r="R78" s="754">
        <f t="shared" si="13"/>
        <v>5276138</v>
      </c>
      <c r="S78" s="776"/>
    </row>
    <row r="79" spans="1:19">
      <c r="A79" s="685">
        <v>1510</v>
      </c>
      <c r="B79" s="776"/>
      <c r="C79" s="776" t="s">
        <v>1074</v>
      </c>
      <c r="D79" s="776"/>
      <c r="E79" s="776"/>
      <c r="F79" s="754">
        <f t="shared" si="13"/>
        <v>0</v>
      </c>
      <c r="G79" s="754">
        <f t="shared" si="13"/>
        <v>-77813</v>
      </c>
      <c r="H79" s="754">
        <f t="shared" si="13"/>
        <v>-77813</v>
      </c>
      <c r="I79" s="754">
        <f t="shared" si="13"/>
        <v>-77802</v>
      </c>
      <c r="J79" s="754">
        <f t="shared" si="13"/>
        <v>-677802</v>
      </c>
      <c r="K79" s="754">
        <f t="shared" si="13"/>
        <v>-677802</v>
      </c>
      <c r="L79" s="754">
        <f t="shared" si="13"/>
        <v>-677802</v>
      </c>
      <c r="M79" s="754">
        <f t="shared" si="13"/>
        <v>-2477802</v>
      </c>
      <c r="N79" s="754">
        <f t="shared" si="13"/>
        <v>-3932802</v>
      </c>
      <c r="O79" s="754">
        <f t="shared" si="13"/>
        <v>-3932802</v>
      </c>
      <c r="P79" s="754">
        <f t="shared" si="13"/>
        <v>-3932802</v>
      </c>
      <c r="Q79" s="754">
        <f t="shared" si="13"/>
        <v>-5146465</v>
      </c>
      <c r="R79" s="754">
        <f t="shared" si="13"/>
        <v>-5276138</v>
      </c>
      <c r="S79" s="776"/>
    </row>
    <row r="80" spans="1:19">
      <c r="A80" s="685">
        <v>1520</v>
      </c>
      <c r="B80" s="776"/>
      <c r="C80" s="776" t="s">
        <v>318</v>
      </c>
      <c r="D80" s="776"/>
      <c r="E80" s="776"/>
      <c r="F80" s="755">
        <f t="shared" si="13"/>
        <v>0</v>
      </c>
      <c r="G80" s="755">
        <f t="shared" si="13"/>
        <v>0</v>
      </c>
      <c r="H80" s="755">
        <f t="shared" si="13"/>
        <v>212544</v>
      </c>
      <c r="I80" s="755">
        <f t="shared" si="13"/>
        <v>52823</v>
      </c>
      <c r="J80" s="755">
        <f t="shared" si="13"/>
        <v>118126</v>
      </c>
      <c r="K80" s="755">
        <f t="shared" si="13"/>
        <v>215374</v>
      </c>
      <c r="L80" s="755">
        <f t="shared" si="13"/>
        <v>93643</v>
      </c>
      <c r="M80" s="755">
        <f t="shared" si="13"/>
        <v>94869</v>
      </c>
      <c r="N80" s="755">
        <f t="shared" si="13"/>
        <v>94932</v>
      </c>
      <c r="O80" s="755">
        <f t="shared" si="13"/>
        <v>309589</v>
      </c>
      <c r="P80" s="755">
        <f t="shared" si="13"/>
        <v>677980</v>
      </c>
      <c r="Q80" s="755">
        <f t="shared" si="13"/>
        <v>282322</v>
      </c>
      <c r="R80" s="755">
        <f t="shared" si="13"/>
        <v>273934</v>
      </c>
      <c r="S80" s="776"/>
    </row>
    <row r="81" spans="1:19">
      <c r="A81" s="685"/>
      <c r="B81" s="776"/>
      <c r="C81" s="776"/>
      <c r="D81" s="776"/>
      <c r="E81" s="776"/>
      <c r="F81" s="754">
        <f t="shared" ref="F81:R81" si="14">SUM(F77:F80)</f>
        <v>2089995</v>
      </c>
      <c r="G81" s="754">
        <f t="shared" si="14"/>
        <v>2183976</v>
      </c>
      <c r="H81" s="754">
        <f t="shared" si="14"/>
        <v>2424734</v>
      </c>
      <c r="I81" s="754">
        <f t="shared" si="14"/>
        <v>2481003</v>
      </c>
      <c r="J81" s="754">
        <f t="shared" si="14"/>
        <v>2851663</v>
      </c>
      <c r="K81" s="754">
        <f t="shared" si="14"/>
        <v>3015276</v>
      </c>
      <c r="L81" s="754">
        <f t="shared" si="14"/>
        <v>3316882</v>
      </c>
      <c r="M81" s="754">
        <f t="shared" si="14"/>
        <v>2366206</v>
      </c>
      <c r="N81" s="754">
        <f t="shared" si="14"/>
        <v>2431467</v>
      </c>
      <c r="O81" s="754">
        <f t="shared" si="14"/>
        <v>2683192</v>
      </c>
      <c r="P81" s="754">
        <f t="shared" si="14"/>
        <v>3140208</v>
      </c>
      <c r="Q81" s="754">
        <f t="shared" si="14"/>
        <v>3153665</v>
      </c>
      <c r="R81" s="754">
        <f t="shared" si="14"/>
        <v>2567010</v>
      </c>
      <c r="S81" s="776"/>
    </row>
    <row r="82" spans="1:19">
      <c r="A82" s="685">
        <v>1610</v>
      </c>
      <c r="B82" s="776"/>
      <c r="C82" s="776" t="s">
        <v>536</v>
      </c>
      <c r="D82" s="776"/>
      <c r="E82" s="776"/>
      <c r="F82" s="754">
        <f>F145</f>
        <v>-14688</v>
      </c>
      <c r="G82" s="754">
        <f t="shared" ref="G82:R82" si="15">G145</f>
        <v>-62472</v>
      </c>
      <c r="H82" s="754">
        <f t="shared" si="15"/>
        <v>-129179</v>
      </c>
      <c r="I82" s="754">
        <f t="shared" si="15"/>
        <v>-172329</v>
      </c>
      <c r="J82" s="754">
        <f t="shared" si="15"/>
        <v>-35096</v>
      </c>
      <c r="K82" s="754">
        <f t="shared" si="15"/>
        <v>-111776</v>
      </c>
      <c r="L82" s="754">
        <f t="shared" si="15"/>
        <v>-198472</v>
      </c>
      <c r="M82" s="754">
        <f t="shared" si="15"/>
        <v>-52032.000000001877</v>
      </c>
      <c r="N82" s="754">
        <f t="shared" si="15"/>
        <v>-49196</v>
      </c>
      <c r="O82" s="754">
        <f t="shared" si="15"/>
        <v>-183404</v>
      </c>
      <c r="P82" s="754">
        <f t="shared" si="15"/>
        <v>-329895</v>
      </c>
      <c r="Q82" s="754">
        <f t="shared" si="15"/>
        <v>-92803</v>
      </c>
      <c r="R82" s="754">
        <f t="shared" si="15"/>
        <v>-122341</v>
      </c>
      <c r="S82" s="776"/>
    </row>
    <row r="83" spans="1:19">
      <c r="A83" s="685">
        <v>1610</v>
      </c>
      <c r="B83" s="776"/>
      <c r="C83" s="776" t="s">
        <v>1075</v>
      </c>
      <c r="D83" s="776"/>
      <c r="E83" s="776"/>
      <c r="F83" s="754">
        <f t="shared" ref="F83:R83" si="16">F146</f>
        <v>0</v>
      </c>
      <c r="G83" s="754">
        <f t="shared" si="16"/>
        <v>-1992</v>
      </c>
      <c r="H83" s="754">
        <f t="shared" si="16"/>
        <v>-2065</v>
      </c>
      <c r="I83" s="754">
        <f t="shared" si="16"/>
        <v>200</v>
      </c>
      <c r="J83" s="754">
        <f t="shared" si="16"/>
        <v>-711</v>
      </c>
      <c r="K83" s="754">
        <f t="shared" si="16"/>
        <v>14200</v>
      </c>
      <c r="L83" s="754">
        <f t="shared" si="16"/>
        <v>28626</v>
      </c>
      <c r="M83" s="754">
        <f t="shared" si="16"/>
        <v>42255</v>
      </c>
      <c r="N83" s="754">
        <f t="shared" si="16"/>
        <v>83462</v>
      </c>
      <c r="O83" s="754">
        <f t="shared" si="16"/>
        <v>152618</v>
      </c>
      <c r="P83" s="754">
        <f t="shared" si="16"/>
        <v>222411</v>
      </c>
      <c r="Q83" s="754">
        <f t="shared" si="16"/>
        <v>310229</v>
      </c>
      <c r="R83" s="754">
        <f t="shared" si="16"/>
        <v>440853.02124999999</v>
      </c>
      <c r="S83" s="776"/>
    </row>
    <row r="84" spans="1:19">
      <c r="A84" s="685"/>
      <c r="B84" s="776"/>
      <c r="C84" s="776" t="s">
        <v>624</v>
      </c>
      <c r="D84" s="776"/>
      <c r="E84" s="776"/>
      <c r="F84" s="754">
        <f>+F82+F83</f>
        <v>-14688</v>
      </c>
      <c r="G84" s="754">
        <f t="shared" ref="G84:R84" si="17">+G82+G83</f>
        <v>-64464</v>
      </c>
      <c r="H84" s="754">
        <f t="shared" si="17"/>
        <v>-131244</v>
      </c>
      <c r="I84" s="754">
        <f t="shared" si="17"/>
        <v>-172129</v>
      </c>
      <c r="J84" s="754">
        <f t="shared" si="17"/>
        <v>-35807</v>
      </c>
      <c r="K84" s="754">
        <f t="shared" si="17"/>
        <v>-97576</v>
      </c>
      <c r="L84" s="754">
        <f t="shared" si="17"/>
        <v>-169846</v>
      </c>
      <c r="M84" s="754">
        <f t="shared" si="17"/>
        <v>-9777.0000000018772</v>
      </c>
      <c r="N84" s="754">
        <f t="shared" si="17"/>
        <v>34266</v>
      </c>
      <c r="O84" s="754">
        <f t="shared" si="17"/>
        <v>-30786</v>
      </c>
      <c r="P84" s="754">
        <f t="shared" si="17"/>
        <v>-107484</v>
      </c>
      <c r="Q84" s="754">
        <f t="shared" si="17"/>
        <v>217426</v>
      </c>
      <c r="R84" s="754">
        <f t="shared" si="17"/>
        <v>318512.02124999999</v>
      </c>
      <c r="S84" s="776"/>
    </row>
    <row r="85" spans="1:19">
      <c r="A85" s="685">
        <v>1620</v>
      </c>
      <c r="B85" s="776"/>
      <c r="C85" s="776" t="s">
        <v>8</v>
      </c>
      <c r="D85" s="776"/>
      <c r="E85" s="776"/>
      <c r="F85" s="755">
        <f>F81+F84</f>
        <v>2075307</v>
      </c>
      <c r="G85" s="755">
        <f t="shared" ref="G85:R85" si="18">G81+G84</f>
        <v>2119512</v>
      </c>
      <c r="H85" s="755">
        <f t="shared" si="18"/>
        <v>2293490</v>
      </c>
      <c r="I85" s="755">
        <f t="shared" si="18"/>
        <v>2308874</v>
      </c>
      <c r="J85" s="755">
        <f t="shared" si="18"/>
        <v>2815856</v>
      </c>
      <c r="K85" s="755">
        <f t="shared" si="18"/>
        <v>2917700</v>
      </c>
      <c r="L85" s="755">
        <f t="shared" si="18"/>
        <v>3147036</v>
      </c>
      <c r="M85" s="755">
        <f t="shared" si="18"/>
        <v>2356428.9999999981</v>
      </c>
      <c r="N85" s="755">
        <f t="shared" si="18"/>
        <v>2465733</v>
      </c>
      <c r="O85" s="755">
        <f t="shared" si="18"/>
        <v>2652406</v>
      </c>
      <c r="P85" s="755">
        <f t="shared" si="18"/>
        <v>3032724</v>
      </c>
      <c r="Q85" s="755">
        <f t="shared" si="18"/>
        <v>3371091</v>
      </c>
      <c r="R85" s="755">
        <f t="shared" si="18"/>
        <v>2885522.0212500002</v>
      </c>
      <c r="S85" s="776"/>
    </row>
    <row r="86" spans="1:19" ht="13.5" thickBot="1">
      <c r="A86" s="685"/>
      <c r="B86" s="776"/>
      <c r="C86" s="1" t="s">
        <v>323</v>
      </c>
      <c r="D86" s="776"/>
      <c r="E86" s="776"/>
      <c r="F86" s="762">
        <f t="shared" ref="F86:M86" si="19">F69+SUM(F70:F76)+F85</f>
        <v>2271673</v>
      </c>
      <c r="G86" s="762">
        <f t="shared" si="19"/>
        <v>2286655</v>
      </c>
      <c r="H86" s="762">
        <f t="shared" si="19"/>
        <v>2570177</v>
      </c>
      <c r="I86" s="762">
        <f t="shared" si="19"/>
        <v>2554893</v>
      </c>
      <c r="J86" s="762">
        <f t="shared" si="19"/>
        <v>3348390</v>
      </c>
      <c r="K86" s="762">
        <f t="shared" si="19"/>
        <v>3482125</v>
      </c>
      <c r="L86" s="762">
        <f t="shared" si="19"/>
        <v>3699449</v>
      </c>
      <c r="M86" s="762">
        <f t="shared" si="19"/>
        <v>2889341.9999999981</v>
      </c>
      <c r="N86" s="762">
        <f>N69+SUM(N71:N76)+N85</f>
        <v>2818508</v>
      </c>
      <c r="O86" s="762">
        <f>O69+SUM(O71:O76)+O85</f>
        <v>3278362</v>
      </c>
      <c r="P86" s="762">
        <f>P69+SUM(P71:P76)+P85</f>
        <v>3339861</v>
      </c>
      <c r="Q86" s="762">
        <f>Q69+SUM(Q70:Q76)+Q85</f>
        <v>3696468</v>
      </c>
      <c r="R86" s="762">
        <f>R69+SUM(R70:R76)+R85</f>
        <v>3570690.0212500002</v>
      </c>
      <c r="S86" s="17">
        <f>R86-Q86</f>
        <v>-125777.97874999978</v>
      </c>
    </row>
    <row r="87" spans="1:19" ht="13.5" thickTop="1">
      <c r="A87" s="872" t="s">
        <v>325</v>
      </c>
      <c r="B87" s="822"/>
      <c r="C87" s="824"/>
      <c r="D87" s="823"/>
      <c r="E87" s="823"/>
      <c r="F87" s="825">
        <v>1999</v>
      </c>
      <c r="G87" s="825">
        <f t="shared" ref="G87:L87" si="20">F87+1</f>
        <v>2000</v>
      </c>
      <c r="H87" s="825">
        <f t="shared" si="20"/>
        <v>2001</v>
      </c>
      <c r="I87" s="825">
        <f t="shared" si="20"/>
        <v>2002</v>
      </c>
      <c r="J87" s="825">
        <f t="shared" si="20"/>
        <v>2003</v>
      </c>
      <c r="K87" s="825">
        <f t="shared" si="20"/>
        <v>2004</v>
      </c>
      <c r="L87" s="825">
        <f t="shared" si="20"/>
        <v>2005</v>
      </c>
      <c r="M87" s="825">
        <v>2006</v>
      </c>
      <c r="N87" s="825">
        <v>2007</v>
      </c>
      <c r="O87" s="825">
        <v>2008</v>
      </c>
      <c r="P87" s="825">
        <v>2009</v>
      </c>
      <c r="Q87" s="826">
        <f>P87+1</f>
        <v>2010</v>
      </c>
      <c r="R87" s="826">
        <f>Q87+1</f>
        <v>2011</v>
      </c>
      <c r="S87" s="17"/>
    </row>
    <row r="88" spans="1:19">
      <c r="A88" s="685">
        <v>2040</v>
      </c>
      <c r="B88" s="776"/>
      <c r="C88" s="776" t="s">
        <v>326</v>
      </c>
      <c r="D88" s="776"/>
      <c r="E88" s="776"/>
      <c r="F88" s="754">
        <v>41728</v>
      </c>
      <c r="G88" s="754">
        <v>64139</v>
      </c>
      <c r="H88" s="754">
        <v>102775</v>
      </c>
      <c r="I88" s="754">
        <v>7394</v>
      </c>
      <c r="J88" s="754">
        <v>22807</v>
      </c>
      <c r="K88" s="754">
        <v>38973</v>
      </c>
      <c r="L88" s="754">
        <v>37722</v>
      </c>
      <c r="M88" s="754"/>
      <c r="N88" s="754">
        <v>193707</v>
      </c>
      <c r="O88" s="754">
        <v>528900</v>
      </c>
      <c r="P88" s="763">
        <f>134421+6218+4353</f>
        <v>144992</v>
      </c>
      <c r="Q88" s="754">
        <f>11065+155636+4727</f>
        <v>171428</v>
      </c>
      <c r="R88" s="754">
        <f>16629+166937</f>
        <v>183566</v>
      </c>
      <c r="S88" s="776"/>
    </row>
    <row r="89" spans="1:19">
      <c r="A89" s="685">
        <v>2100</v>
      </c>
      <c r="B89" s="776"/>
      <c r="C89" s="776" t="s">
        <v>327</v>
      </c>
      <c r="D89" s="776"/>
      <c r="E89" s="776"/>
      <c r="F89" s="754">
        <v>1286</v>
      </c>
      <c r="G89" s="754">
        <v>2363</v>
      </c>
      <c r="H89" s="754">
        <v>3050</v>
      </c>
      <c r="I89" s="754">
        <v>2820</v>
      </c>
      <c r="J89" s="754">
        <v>6642</v>
      </c>
      <c r="K89" s="754">
        <v>5067</v>
      </c>
      <c r="L89" s="754">
        <v>6609</v>
      </c>
      <c r="M89" s="754"/>
      <c r="N89" s="754">
        <v>8592</v>
      </c>
      <c r="O89" s="754">
        <v>7116</v>
      </c>
      <c r="P89" s="754">
        <v>10595</v>
      </c>
      <c r="Q89" s="754">
        <v>14582</v>
      </c>
      <c r="R89" s="754">
        <v>16018</v>
      </c>
      <c r="S89" s="776"/>
    </row>
    <row r="90" spans="1:19">
      <c r="A90" s="685">
        <v>2040</v>
      </c>
      <c r="B90" s="776"/>
      <c r="C90" s="776" t="s">
        <v>328</v>
      </c>
      <c r="D90" s="776"/>
      <c r="E90" s="776"/>
      <c r="F90" s="754">
        <v>9352</v>
      </c>
      <c r="G90" s="754">
        <v>12420</v>
      </c>
      <c r="H90" s="754">
        <v>3900</v>
      </c>
      <c r="I90" s="754">
        <v>940</v>
      </c>
      <c r="J90" s="754">
        <v>22334</v>
      </c>
      <c r="K90" s="754">
        <v>47167</v>
      </c>
      <c r="L90" s="754">
        <v>57713</v>
      </c>
      <c r="M90" s="754"/>
      <c r="N90" s="754">
        <v>5603</v>
      </c>
      <c r="O90" s="754">
        <v>6038</v>
      </c>
      <c r="P90" s="754">
        <v>5163</v>
      </c>
      <c r="Q90" s="754">
        <v>4873</v>
      </c>
      <c r="R90" s="754">
        <v>4140</v>
      </c>
      <c r="S90" s="776"/>
    </row>
    <row r="91" spans="1:19">
      <c r="A91" s="685">
        <v>2050</v>
      </c>
      <c r="B91" s="776"/>
      <c r="C91" s="776" t="s">
        <v>331</v>
      </c>
      <c r="D91" s="776"/>
      <c r="E91" s="776"/>
      <c r="F91" s="754">
        <v>20877</v>
      </c>
      <c r="G91" s="754">
        <v>66726</v>
      </c>
      <c r="H91" s="754">
        <v>148717</v>
      </c>
      <c r="I91" s="754">
        <v>89198</v>
      </c>
      <c r="J91" s="754">
        <v>153040</v>
      </c>
      <c r="K91" s="754">
        <v>166865</v>
      </c>
      <c r="L91" s="754">
        <v>191539</v>
      </c>
      <c r="M91" s="754">
        <v>195221</v>
      </c>
      <c r="N91" s="754"/>
      <c r="O91" s="754"/>
      <c r="P91" s="756"/>
      <c r="Q91" s="754"/>
      <c r="R91" s="754"/>
      <c r="S91" s="776"/>
    </row>
    <row r="92" spans="1:19">
      <c r="A92" s="685">
        <v>2060</v>
      </c>
      <c r="B92" s="776"/>
      <c r="C92" s="776" t="s">
        <v>333</v>
      </c>
      <c r="D92" s="776"/>
      <c r="E92" s="776"/>
      <c r="F92" s="754">
        <v>4209</v>
      </c>
      <c r="G92" s="754">
        <v>1788</v>
      </c>
      <c r="H92" s="754">
        <v>5759</v>
      </c>
      <c r="I92" s="754">
        <v>1636</v>
      </c>
      <c r="J92" s="754">
        <v>886</v>
      </c>
      <c r="K92" s="754">
        <v>-3381</v>
      </c>
      <c r="L92" s="754">
        <v>5378</v>
      </c>
      <c r="M92" s="754"/>
      <c r="N92" s="754">
        <v>6478</v>
      </c>
      <c r="O92" s="754">
        <v>5510</v>
      </c>
      <c r="P92" s="754">
        <v>9722</v>
      </c>
      <c r="Q92" s="754">
        <v>10731</v>
      </c>
      <c r="R92" s="754">
        <v>13280</v>
      </c>
      <c r="S92" s="776"/>
    </row>
    <row r="93" spans="1:19">
      <c r="A93" s="685">
        <v>2050</v>
      </c>
      <c r="B93" s="776"/>
      <c r="C93" s="776" t="s">
        <v>334</v>
      </c>
      <c r="D93" s="776"/>
      <c r="E93" s="776"/>
      <c r="F93" s="754"/>
      <c r="G93" s="754"/>
      <c r="H93" s="754"/>
      <c r="I93" s="754"/>
      <c r="J93" s="754"/>
      <c r="K93" s="754"/>
      <c r="L93" s="754"/>
      <c r="M93" s="754"/>
      <c r="N93" s="754">
        <v>3440</v>
      </c>
      <c r="O93" s="754">
        <f>1940+138</f>
        <v>2078</v>
      </c>
      <c r="P93" s="763">
        <f>1372+194</f>
        <v>1566</v>
      </c>
      <c r="Q93" s="754">
        <f>736+15</f>
        <v>751</v>
      </c>
      <c r="R93" s="754">
        <v>94</v>
      </c>
      <c r="S93" s="776"/>
    </row>
    <row r="94" spans="1:19">
      <c r="A94" s="685">
        <v>2370</v>
      </c>
      <c r="B94" s="776"/>
      <c r="C94" s="647" t="s">
        <v>1076</v>
      </c>
      <c r="D94" s="647"/>
      <c r="E94" s="647"/>
      <c r="F94" s="754"/>
      <c r="G94" s="754"/>
      <c r="H94" s="754"/>
      <c r="I94" s="754"/>
      <c r="J94" s="754"/>
      <c r="K94" s="754"/>
      <c r="L94" s="754"/>
      <c r="M94" s="754">
        <f>M405</f>
        <v>0</v>
      </c>
      <c r="N94" s="754">
        <f>N421</f>
        <v>0</v>
      </c>
      <c r="O94" s="754">
        <f>O421</f>
        <v>0</v>
      </c>
      <c r="P94" s="754">
        <f>P421</f>
        <v>0</v>
      </c>
      <c r="Q94" s="754">
        <f>Q421</f>
        <v>0</v>
      </c>
      <c r="R94" s="754">
        <f>R421</f>
        <v>0</v>
      </c>
      <c r="S94" s="776"/>
    </row>
    <row r="95" spans="1:19">
      <c r="A95" s="685"/>
      <c r="B95" s="776"/>
      <c r="C95" s="776" t="s">
        <v>335</v>
      </c>
      <c r="D95" s="776"/>
      <c r="E95" s="776"/>
      <c r="F95" s="754">
        <v>489</v>
      </c>
      <c r="G95" s="754"/>
      <c r="H95" s="754"/>
      <c r="I95" s="754"/>
      <c r="J95" s="754"/>
      <c r="K95" s="754">
        <v>2545</v>
      </c>
      <c r="L95" s="754">
        <v>2257</v>
      </c>
      <c r="M95" s="754"/>
      <c r="N95" s="754"/>
      <c r="O95" s="754"/>
      <c r="P95" s="754">
        <v>28041</v>
      </c>
      <c r="Q95" s="754">
        <v>31633</v>
      </c>
      <c r="R95" s="754">
        <v>36608</v>
      </c>
      <c r="S95" s="776"/>
    </row>
    <row r="96" spans="1:19">
      <c r="A96" s="685">
        <v>2090</v>
      </c>
      <c r="B96" s="776"/>
      <c r="C96" s="776" t="s">
        <v>337</v>
      </c>
      <c r="D96" s="776"/>
      <c r="E96" s="776"/>
      <c r="F96" s="754">
        <v>99952</v>
      </c>
      <c r="G96" s="754">
        <v>29393</v>
      </c>
      <c r="H96" s="754">
        <v>142479</v>
      </c>
      <c r="I96" s="754"/>
      <c r="J96" s="754"/>
      <c r="K96" s="754"/>
      <c r="L96" s="754"/>
      <c r="M96" s="754"/>
      <c r="N96" s="754"/>
      <c r="O96" s="754"/>
      <c r="P96" s="756"/>
      <c r="Q96" s="754"/>
      <c r="R96" s="754"/>
      <c r="S96" s="776"/>
    </row>
    <row r="97" spans="1:19">
      <c r="A97" s="685">
        <v>2000</v>
      </c>
      <c r="B97" s="776"/>
      <c r="C97" s="776" t="s">
        <v>338</v>
      </c>
      <c r="D97" s="776"/>
      <c r="E97" s="776"/>
      <c r="F97" s="755">
        <v>49500</v>
      </c>
      <c r="G97" s="755">
        <v>23198</v>
      </c>
      <c r="H97" s="755">
        <v>378371</v>
      </c>
      <c r="I97" s="755">
        <v>184731</v>
      </c>
      <c r="J97" s="755">
        <v>723098</v>
      </c>
      <c r="K97" s="755">
        <v>158310</v>
      </c>
      <c r="L97" s="755">
        <v>370141</v>
      </c>
      <c r="M97" s="755"/>
      <c r="N97" s="755"/>
      <c r="O97" s="755">
        <v>149808</v>
      </c>
      <c r="P97" s="755">
        <v>123166</v>
      </c>
      <c r="Q97" s="755">
        <v>284417</v>
      </c>
      <c r="R97" s="755">
        <v>298167</v>
      </c>
      <c r="S97" s="776"/>
    </row>
    <row r="98" spans="1:19">
      <c r="A98" s="685"/>
      <c r="B98" s="776"/>
      <c r="C98" s="776"/>
      <c r="D98" s="776"/>
      <c r="E98" s="776"/>
      <c r="F98" s="754">
        <f t="shared" ref="F98:R98" si="21">SUM(F88:F97)</f>
        <v>227393</v>
      </c>
      <c r="G98" s="754">
        <f t="shared" si="21"/>
        <v>200027</v>
      </c>
      <c r="H98" s="754">
        <f t="shared" si="21"/>
        <v>785051</v>
      </c>
      <c r="I98" s="754">
        <f t="shared" si="21"/>
        <v>286719</v>
      </c>
      <c r="J98" s="754">
        <f t="shared" si="21"/>
        <v>928807</v>
      </c>
      <c r="K98" s="754">
        <f t="shared" si="21"/>
        <v>415546</v>
      </c>
      <c r="L98" s="754">
        <f t="shared" si="21"/>
        <v>671359</v>
      </c>
      <c r="M98" s="754">
        <f t="shared" si="21"/>
        <v>195221</v>
      </c>
      <c r="N98" s="754">
        <f t="shared" si="21"/>
        <v>217820</v>
      </c>
      <c r="O98" s="754">
        <f t="shared" si="21"/>
        <v>699450</v>
      </c>
      <c r="P98" s="754">
        <f t="shared" si="21"/>
        <v>323245</v>
      </c>
      <c r="Q98" s="754">
        <f t="shared" si="21"/>
        <v>518415</v>
      </c>
      <c r="R98" s="754">
        <f t="shared" si="21"/>
        <v>551873</v>
      </c>
      <c r="S98" s="776"/>
    </row>
    <row r="99" spans="1:19">
      <c r="A99" s="685">
        <v>2710</v>
      </c>
      <c r="B99" s="776"/>
      <c r="C99" s="776" t="s">
        <v>544</v>
      </c>
      <c r="D99" s="776"/>
      <c r="E99" s="776"/>
      <c r="F99" s="754">
        <f>+F40</f>
        <v>5014</v>
      </c>
      <c r="G99" s="754">
        <f t="shared" ref="G99:R99" si="22">+G40</f>
        <v>28728</v>
      </c>
      <c r="H99" s="754">
        <f t="shared" si="22"/>
        <v>66401</v>
      </c>
      <c r="I99" s="754">
        <f t="shared" si="22"/>
        <v>92031</v>
      </c>
      <c r="J99" s="754">
        <f t="shared" si="22"/>
        <v>138871</v>
      </c>
      <c r="K99" s="754">
        <f t="shared" si="22"/>
        <v>145260</v>
      </c>
      <c r="L99" s="754">
        <f t="shared" si="22"/>
        <v>179168</v>
      </c>
      <c r="M99" s="754">
        <f t="shared" si="22"/>
        <v>970959</v>
      </c>
      <c r="N99" s="754">
        <f t="shared" si="22"/>
        <v>1331772</v>
      </c>
      <c r="O99" s="754">
        <f t="shared" si="22"/>
        <v>1329478</v>
      </c>
      <c r="P99" s="754">
        <f t="shared" si="22"/>
        <v>1301231</v>
      </c>
      <c r="Q99" s="754">
        <f t="shared" si="22"/>
        <v>1559507</v>
      </c>
      <c r="R99" s="754">
        <f t="shared" si="22"/>
        <v>1412330</v>
      </c>
      <c r="S99" s="776"/>
    </row>
    <row r="100" spans="1:19">
      <c r="A100" s="685">
        <v>2710</v>
      </c>
      <c r="B100" s="776"/>
      <c r="C100" s="776" t="s">
        <v>1077</v>
      </c>
      <c r="D100" s="776"/>
      <c r="E100" s="776"/>
      <c r="F100" s="754">
        <f>F334</f>
        <v>0</v>
      </c>
      <c r="G100" s="754">
        <f t="shared" ref="G100:R100" si="23">G334</f>
        <v>0</v>
      </c>
      <c r="H100" s="754">
        <f t="shared" si="23"/>
        <v>0</v>
      </c>
      <c r="I100" s="754">
        <f t="shared" si="23"/>
        <v>0</v>
      </c>
      <c r="J100" s="754">
        <f t="shared" si="23"/>
        <v>0</v>
      </c>
      <c r="K100" s="754">
        <f t="shared" si="23"/>
        <v>0</v>
      </c>
      <c r="L100" s="754">
        <f t="shared" si="23"/>
        <v>0</v>
      </c>
      <c r="M100" s="754">
        <f t="shared" si="23"/>
        <v>-693784.56</v>
      </c>
      <c r="N100" s="754">
        <f t="shared" si="23"/>
        <v>-1101184.56</v>
      </c>
      <c r="O100" s="754">
        <f t="shared" si="23"/>
        <v>-1101184.56</v>
      </c>
      <c r="P100" s="754">
        <f t="shared" si="23"/>
        <v>-1101184.56</v>
      </c>
      <c r="Q100" s="754">
        <f t="shared" si="23"/>
        <v>-1441010.2000000002</v>
      </c>
      <c r="R100" s="754">
        <f t="shared" si="23"/>
        <v>-1477318.6400000001</v>
      </c>
      <c r="S100" s="776"/>
    </row>
    <row r="101" spans="1:19">
      <c r="A101" s="685">
        <v>2710</v>
      </c>
      <c r="B101" s="776"/>
      <c r="C101" s="776" t="s">
        <v>1078</v>
      </c>
      <c r="D101" s="776"/>
      <c r="E101" s="776"/>
      <c r="F101" s="754"/>
      <c r="G101" s="754"/>
      <c r="H101" s="754"/>
      <c r="I101" s="754"/>
      <c r="J101" s="754"/>
      <c r="K101" s="754"/>
      <c r="L101" s="754"/>
      <c r="M101" s="754"/>
      <c r="N101" s="754">
        <f>-N270</f>
        <v>113928</v>
      </c>
      <c r="O101" s="754">
        <f>N101</f>
        <v>113928</v>
      </c>
      <c r="P101" s="754">
        <f>O101</f>
        <v>113928</v>
      </c>
      <c r="Q101" s="754">
        <f>P101</f>
        <v>113928</v>
      </c>
      <c r="R101" s="754">
        <f>Q101</f>
        <v>113928</v>
      </c>
      <c r="S101" s="776"/>
    </row>
    <row r="102" spans="1:19">
      <c r="A102" s="685">
        <v>2710</v>
      </c>
      <c r="B102" s="776"/>
      <c r="C102" s="776" t="s">
        <v>1079</v>
      </c>
      <c r="D102" s="776"/>
      <c r="E102" s="776"/>
      <c r="F102" s="754"/>
      <c r="G102" s="754"/>
      <c r="H102" s="754"/>
      <c r="I102" s="754"/>
      <c r="J102" s="754"/>
      <c r="K102" s="754"/>
      <c r="L102" s="754"/>
      <c r="M102" s="754"/>
      <c r="N102" s="754"/>
      <c r="O102" s="754"/>
      <c r="P102" s="754"/>
      <c r="Q102" s="754">
        <f>-Q270</f>
        <v>103270</v>
      </c>
      <c r="R102" s="754">
        <f>Q102</f>
        <v>103270</v>
      </c>
      <c r="S102" s="776"/>
    </row>
    <row r="103" spans="1:19">
      <c r="A103" s="685">
        <v>2710</v>
      </c>
      <c r="B103" s="776"/>
      <c r="C103" s="776" t="s">
        <v>1080</v>
      </c>
      <c r="D103" s="776"/>
      <c r="E103" s="776"/>
      <c r="F103" s="754"/>
      <c r="G103" s="754"/>
      <c r="H103" s="754"/>
      <c r="I103" s="754"/>
      <c r="J103" s="754"/>
      <c r="K103" s="754"/>
      <c r="L103" s="754"/>
      <c r="M103" s="754"/>
      <c r="N103" s="754"/>
      <c r="O103" s="754"/>
      <c r="P103" s="754"/>
      <c r="Q103" s="754"/>
      <c r="R103" s="754">
        <f>-R270</f>
        <v>2610</v>
      </c>
      <c r="S103" s="776"/>
    </row>
    <row r="104" spans="1:19">
      <c r="A104" s="685"/>
      <c r="B104" s="776"/>
      <c r="C104" s="776" t="s">
        <v>1081</v>
      </c>
      <c r="D104" s="776"/>
      <c r="E104" s="776"/>
      <c r="F104" s="754"/>
      <c r="G104" s="754"/>
      <c r="H104" s="754"/>
      <c r="I104" s="754"/>
      <c r="J104" s="754"/>
      <c r="K104" s="754"/>
      <c r="L104" s="754"/>
      <c r="M104" s="754"/>
      <c r="N104" s="754"/>
      <c r="O104" s="754"/>
      <c r="P104" s="754"/>
      <c r="Q104" s="754"/>
      <c r="R104" s="754"/>
      <c r="S104" s="776"/>
    </row>
    <row r="105" spans="1:19">
      <c r="A105" s="685">
        <v>2710</v>
      </c>
      <c r="B105" s="776"/>
      <c r="C105" s="776" t="s">
        <v>545</v>
      </c>
      <c r="D105" s="776"/>
      <c r="E105" s="776"/>
      <c r="F105" s="755"/>
      <c r="G105" s="755"/>
      <c r="H105" s="755"/>
      <c r="I105" s="755"/>
      <c r="J105" s="755"/>
      <c r="K105" s="755"/>
      <c r="L105" s="755"/>
      <c r="M105" s="755">
        <f>M256</f>
        <v>-22865</v>
      </c>
      <c r="N105" s="755"/>
      <c r="O105" s="755"/>
      <c r="P105" s="755"/>
      <c r="Q105" s="755">
        <f>Q274</f>
        <v>14748</v>
      </c>
      <c r="R105" s="755">
        <f>R274</f>
        <v>0</v>
      </c>
      <c r="S105" s="776"/>
    </row>
    <row r="106" spans="1:19">
      <c r="A106" s="685"/>
      <c r="B106" s="776"/>
      <c r="C106" s="776"/>
      <c r="D106" s="776"/>
      <c r="E106" s="776" t="s">
        <v>162</v>
      </c>
      <c r="F106" s="754">
        <f>SUM(F99:F105)</f>
        <v>5014</v>
      </c>
      <c r="G106" s="754">
        <f t="shared" ref="G106:R106" si="24">SUM(G99:G105)</f>
        <v>28728</v>
      </c>
      <c r="H106" s="754">
        <f t="shared" si="24"/>
        <v>66401</v>
      </c>
      <c r="I106" s="754">
        <f t="shared" si="24"/>
        <v>92031</v>
      </c>
      <c r="J106" s="754">
        <f t="shared" si="24"/>
        <v>138871</v>
      </c>
      <c r="K106" s="754">
        <f t="shared" si="24"/>
        <v>145260</v>
      </c>
      <c r="L106" s="754">
        <f t="shared" si="24"/>
        <v>179168</v>
      </c>
      <c r="M106" s="754">
        <f t="shared" si="24"/>
        <v>254309.43999999994</v>
      </c>
      <c r="N106" s="754">
        <f t="shared" si="24"/>
        <v>344515.43999999994</v>
      </c>
      <c r="O106" s="754">
        <f t="shared" si="24"/>
        <v>342221.43999999994</v>
      </c>
      <c r="P106" s="754">
        <f t="shared" si="24"/>
        <v>313974.43999999994</v>
      </c>
      <c r="Q106" s="754">
        <f t="shared" si="24"/>
        <v>350442.79999999981</v>
      </c>
      <c r="R106" s="754">
        <f t="shared" si="24"/>
        <v>154819.35999999987</v>
      </c>
      <c r="S106" s="776"/>
    </row>
    <row r="107" spans="1:19">
      <c r="A107" s="685"/>
      <c r="B107" s="776"/>
      <c r="C107" s="776" t="s">
        <v>514</v>
      </c>
      <c r="D107" s="776"/>
      <c r="E107" s="776"/>
      <c r="F107" s="754"/>
      <c r="G107" s="754"/>
      <c r="H107" s="754"/>
      <c r="I107" s="754"/>
      <c r="J107" s="754"/>
      <c r="K107" s="754"/>
      <c r="L107" s="754"/>
      <c r="M107" s="754"/>
      <c r="N107" s="754"/>
      <c r="O107" s="754"/>
      <c r="P107" s="763"/>
      <c r="Q107" s="754"/>
      <c r="R107" s="754"/>
      <c r="S107" s="17">
        <f>R94+R107</f>
        <v>0</v>
      </c>
    </row>
    <row r="108" spans="1:19">
      <c r="A108" s="685">
        <v>2680</v>
      </c>
      <c r="B108" s="776"/>
      <c r="C108" s="776" t="s">
        <v>339</v>
      </c>
      <c r="D108" s="776"/>
      <c r="E108" s="776"/>
      <c r="F108" s="754"/>
      <c r="G108" s="754"/>
      <c r="H108" s="754"/>
      <c r="I108" s="754"/>
      <c r="J108" s="754"/>
      <c r="K108" s="754"/>
      <c r="L108" s="754"/>
      <c r="M108" s="754"/>
      <c r="N108" s="754"/>
      <c r="O108" s="754"/>
      <c r="P108" s="763"/>
      <c r="Q108" s="754">
        <v>52954</v>
      </c>
      <c r="R108" s="754">
        <v>35564</v>
      </c>
      <c r="S108" s="776"/>
    </row>
    <row r="109" spans="1:19">
      <c r="A109" s="685">
        <v>2300</v>
      </c>
      <c r="B109" s="776"/>
      <c r="C109" s="776" t="s">
        <v>341</v>
      </c>
      <c r="D109" s="776"/>
      <c r="E109" s="776"/>
      <c r="F109" s="755">
        <v>477911</v>
      </c>
      <c r="G109" s="755">
        <v>464554</v>
      </c>
      <c r="H109" s="755">
        <v>180444</v>
      </c>
      <c r="I109" s="755">
        <v>591498</v>
      </c>
      <c r="J109" s="755">
        <f>653178+6245</f>
        <v>659423</v>
      </c>
      <c r="K109" s="755">
        <f>1176566+6576</f>
        <v>1183142</v>
      </c>
      <c r="L109" s="755">
        <f>1021825+7193</f>
        <v>1029018</v>
      </c>
      <c r="M109" s="755">
        <v>760194</v>
      </c>
      <c r="N109" s="755">
        <v>629707</v>
      </c>
      <c r="O109" s="755">
        <v>793226</v>
      </c>
      <c r="P109" s="755">
        <v>1128695</v>
      </c>
      <c r="Q109" s="755">
        <v>1323058</v>
      </c>
      <c r="R109" s="755">
        <v>1275379</v>
      </c>
      <c r="S109" s="776"/>
    </row>
    <row r="110" spans="1:19">
      <c r="A110" s="685"/>
      <c r="B110" s="776"/>
      <c r="C110" s="776"/>
      <c r="D110" s="776"/>
      <c r="E110" s="776"/>
      <c r="F110" s="754">
        <f t="shared" ref="F110:P110" si="25">SUM(F106:F109)</f>
        <v>482925</v>
      </c>
      <c r="G110" s="754">
        <f t="shared" si="25"/>
        <v>493282</v>
      </c>
      <c r="H110" s="754">
        <f t="shared" si="25"/>
        <v>246845</v>
      </c>
      <c r="I110" s="754">
        <f t="shared" si="25"/>
        <v>683529</v>
      </c>
      <c r="J110" s="754">
        <f t="shared" si="25"/>
        <v>798294</v>
      </c>
      <c r="K110" s="754">
        <f t="shared" si="25"/>
        <v>1328402</v>
      </c>
      <c r="L110" s="754">
        <f t="shared" si="25"/>
        <v>1208186</v>
      </c>
      <c r="M110" s="754">
        <f t="shared" si="25"/>
        <v>1014503.44</v>
      </c>
      <c r="N110" s="754">
        <f t="shared" si="25"/>
        <v>974222.44</v>
      </c>
      <c r="O110" s="754">
        <f t="shared" si="25"/>
        <v>1135447.44</v>
      </c>
      <c r="P110" s="754">
        <f t="shared" si="25"/>
        <v>1442669.44</v>
      </c>
      <c r="Q110" s="754">
        <f>SUM(Q106:Q109)</f>
        <v>1726454.7999999998</v>
      </c>
      <c r="R110" s="754">
        <f>SUM(R106:R109)</f>
        <v>1465762.3599999999</v>
      </c>
      <c r="S110" s="776"/>
    </row>
    <row r="111" spans="1:19">
      <c r="A111" s="685"/>
      <c r="B111" s="776"/>
      <c r="C111" s="776"/>
      <c r="D111" s="776"/>
      <c r="E111" s="776"/>
      <c r="F111" s="754"/>
      <c r="G111" s="754"/>
      <c r="H111" s="754"/>
      <c r="I111" s="754"/>
      <c r="J111" s="754"/>
      <c r="K111" s="754"/>
      <c r="L111" s="754"/>
      <c r="M111" s="754"/>
      <c r="N111" s="754"/>
      <c r="O111" s="754"/>
      <c r="P111" s="756"/>
      <c r="Q111" s="754"/>
      <c r="R111" s="754"/>
      <c r="S111" s="776"/>
    </row>
    <row r="112" spans="1:19">
      <c r="A112" s="685">
        <v>2800</v>
      </c>
      <c r="B112" s="776"/>
      <c r="C112" s="776" t="s">
        <v>342</v>
      </c>
      <c r="D112" s="776"/>
      <c r="E112" s="776"/>
      <c r="F112" s="754">
        <v>1600000</v>
      </c>
      <c r="G112" s="754">
        <v>1600000</v>
      </c>
      <c r="H112" s="754">
        <v>1600000</v>
      </c>
      <c r="I112" s="754">
        <f>H112</f>
        <v>1600000</v>
      </c>
      <c r="J112" s="754">
        <v>1600000</v>
      </c>
      <c r="K112" s="754">
        <v>1600000</v>
      </c>
      <c r="L112" s="754">
        <v>1600000</v>
      </c>
      <c r="M112" s="754">
        <v>1600000</v>
      </c>
      <c r="N112" s="754">
        <v>1600000</v>
      </c>
      <c r="O112" s="754">
        <v>1600000</v>
      </c>
      <c r="P112" s="754">
        <v>1600000</v>
      </c>
      <c r="Q112" s="754">
        <v>1600000</v>
      </c>
      <c r="R112" s="754">
        <v>1600000</v>
      </c>
      <c r="S112" s="776"/>
    </row>
    <row r="113" spans="1:19">
      <c r="A113" s="685"/>
      <c r="B113" s="776"/>
      <c r="C113" s="776"/>
      <c r="D113" s="776"/>
      <c r="E113" s="776"/>
      <c r="F113" s="754"/>
      <c r="G113" s="754"/>
      <c r="H113" s="754"/>
      <c r="I113" s="754"/>
      <c r="J113" s="754"/>
      <c r="K113" s="754"/>
      <c r="L113" s="754"/>
      <c r="M113" s="754"/>
      <c r="N113" s="754"/>
      <c r="O113" s="754"/>
      <c r="P113" s="754"/>
      <c r="Q113" s="754"/>
      <c r="R113" s="754"/>
      <c r="S113" s="776"/>
    </row>
    <row r="114" spans="1:19">
      <c r="A114" s="685">
        <v>2830</v>
      </c>
      <c r="B114" s="776"/>
      <c r="C114" s="776" t="s">
        <v>546</v>
      </c>
      <c r="D114" s="776"/>
      <c r="E114" s="776"/>
      <c r="F114" s="754">
        <v>0</v>
      </c>
      <c r="G114" s="754">
        <v>77813</v>
      </c>
      <c r="H114" s="754">
        <f>G114</f>
        <v>77813</v>
      </c>
      <c r="I114" s="754">
        <v>77802</v>
      </c>
      <c r="J114" s="754">
        <v>677802</v>
      </c>
      <c r="K114" s="754">
        <v>677802</v>
      </c>
      <c r="L114" s="754">
        <v>677802</v>
      </c>
      <c r="M114" s="754">
        <v>1652713</v>
      </c>
      <c r="N114" s="754">
        <v>2746509</v>
      </c>
      <c r="O114" s="754">
        <v>2737795</v>
      </c>
      <c r="P114" s="754">
        <v>2737092</v>
      </c>
      <c r="Q114" s="754">
        <v>3686651</v>
      </c>
      <c r="R114" s="754">
        <v>3392516</v>
      </c>
      <c r="S114" s="776"/>
    </row>
    <row r="115" spans="1:19">
      <c r="A115" s="685">
        <v>2830</v>
      </c>
      <c r="B115" s="776"/>
      <c r="C115" s="776" t="s">
        <v>1082</v>
      </c>
      <c r="D115" s="776"/>
      <c r="E115" s="776"/>
      <c r="F115" s="754">
        <f>F114</f>
        <v>0</v>
      </c>
      <c r="G115" s="754">
        <f t="shared" ref="G115:L115" si="26">-G333</f>
        <v>-77813</v>
      </c>
      <c r="H115" s="754">
        <f t="shared" si="26"/>
        <v>-77813</v>
      </c>
      <c r="I115" s="754">
        <f t="shared" si="26"/>
        <v>-77802</v>
      </c>
      <c r="J115" s="754">
        <f t="shared" si="26"/>
        <v>-677802</v>
      </c>
      <c r="K115" s="754">
        <f t="shared" si="26"/>
        <v>-677802</v>
      </c>
      <c r="L115" s="754">
        <f t="shared" si="26"/>
        <v>-677802</v>
      </c>
      <c r="M115" s="754"/>
      <c r="N115" s="754"/>
      <c r="O115" s="754"/>
      <c r="P115" s="754"/>
      <c r="Q115" s="754"/>
      <c r="R115" s="754"/>
      <c r="S115" s="776"/>
    </row>
    <row r="116" spans="1:19">
      <c r="A116" s="685">
        <v>2830</v>
      </c>
      <c r="B116" s="776"/>
      <c r="C116" s="776" t="s">
        <v>1083</v>
      </c>
      <c r="D116" s="776"/>
      <c r="E116" s="776"/>
      <c r="F116" s="754"/>
      <c r="G116" s="754"/>
      <c r="H116" s="754"/>
      <c r="I116" s="754"/>
      <c r="J116" s="754"/>
      <c r="K116" s="754"/>
      <c r="L116" s="754"/>
      <c r="M116" s="754">
        <f t="shared" ref="M116:R116" si="27">-M333</f>
        <v>-1784017.44</v>
      </c>
      <c r="N116" s="754">
        <f t="shared" si="27"/>
        <v>-2831617.44</v>
      </c>
      <c r="O116" s="754">
        <f t="shared" si="27"/>
        <v>-2831617.44</v>
      </c>
      <c r="P116" s="754">
        <f t="shared" si="27"/>
        <v>-2831617.44</v>
      </c>
      <c r="Q116" s="754">
        <f t="shared" si="27"/>
        <v>-3705454.8</v>
      </c>
      <c r="R116" s="754">
        <f t="shared" si="27"/>
        <v>-3798819.36</v>
      </c>
      <c r="S116" s="776"/>
    </row>
    <row r="117" spans="1:19">
      <c r="A117" s="685">
        <v>2830</v>
      </c>
      <c r="B117" s="776"/>
      <c r="C117" s="776" t="s">
        <v>1084</v>
      </c>
      <c r="D117" s="776"/>
      <c r="E117" s="776"/>
      <c r="F117" s="754"/>
      <c r="G117" s="754"/>
      <c r="H117" s="754"/>
      <c r="I117" s="754"/>
      <c r="J117" s="754"/>
      <c r="K117" s="754"/>
      <c r="L117" s="754"/>
      <c r="M117" s="754"/>
      <c r="N117" s="754">
        <f>N270</f>
        <v>-113928</v>
      </c>
      <c r="O117" s="754">
        <f>N117</f>
        <v>-113928</v>
      </c>
      <c r="P117" s="754">
        <f>O117</f>
        <v>-113928</v>
      </c>
      <c r="Q117" s="754">
        <f>Q270+P117</f>
        <v>-217198</v>
      </c>
      <c r="R117" s="754">
        <f>R270+Q117</f>
        <v>-219808</v>
      </c>
      <c r="S117" s="776"/>
    </row>
    <row r="118" spans="1:19">
      <c r="A118" s="685">
        <v>2830</v>
      </c>
      <c r="B118" s="776"/>
      <c r="C118" s="776" t="s">
        <v>1085</v>
      </c>
      <c r="D118" s="776"/>
      <c r="E118" s="776"/>
      <c r="F118" s="755"/>
      <c r="G118" s="755"/>
      <c r="H118" s="755"/>
      <c r="I118" s="755"/>
      <c r="J118" s="755"/>
      <c r="K118" s="755"/>
      <c r="L118" s="755"/>
      <c r="M118" s="755">
        <f>-M256</f>
        <v>22865</v>
      </c>
      <c r="N118" s="755"/>
      <c r="O118" s="755"/>
      <c r="P118" s="755"/>
      <c r="Q118" s="755">
        <f>-Q274</f>
        <v>-14748</v>
      </c>
      <c r="R118" s="755">
        <f>-R274</f>
        <v>0</v>
      </c>
      <c r="S118" s="776"/>
    </row>
    <row r="119" spans="1:19">
      <c r="A119" s="685"/>
      <c r="B119" s="776"/>
      <c r="C119" s="776"/>
      <c r="D119" s="776"/>
      <c r="E119" s="776"/>
      <c r="F119" s="754">
        <f>SUM(F114:F118)</f>
        <v>0</v>
      </c>
      <c r="G119" s="754">
        <f t="shared" ref="G119:R119" si="28">SUM(G114:G118)</f>
        <v>0</v>
      </c>
      <c r="H119" s="754">
        <f t="shared" si="28"/>
        <v>0</v>
      </c>
      <c r="I119" s="754">
        <f t="shared" si="28"/>
        <v>0</v>
      </c>
      <c r="J119" s="754">
        <f t="shared" si="28"/>
        <v>0</v>
      </c>
      <c r="K119" s="754">
        <f t="shared" si="28"/>
        <v>0</v>
      </c>
      <c r="L119" s="754">
        <f t="shared" si="28"/>
        <v>0</v>
      </c>
      <c r="M119" s="754">
        <f t="shared" si="28"/>
        <v>-108439.43999999994</v>
      </c>
      <c r="N119" s="754">
        <f t="shared" si="28"/>
        <v>-199036.43999999994</v>
      </c>
      <c r="O119" s="754">
        <f t="shared" si="28"/>
        <v>-207750.43999999994</v>
      </c>
      <c r="P119" s="754">
        <f t="shared" si="28"/>
        <v>-208453.43999999994</v>
      </c>
      <c r="Q119" s="754">
        <f t="shared" si="28"/>
        <v>-250749.79999999981</v>
      </c>
      <c r="R119" s="754">
        <f t="shared" si="28"/>
        <v>-626111.35999999987</v>
      </c>
      <c r="S119" s="776"/>
    </row>
    <row r="120" spans="1:19">
      <c r="A120" s="685">
        <v>2830</v>
      </c>
      <c r="B120" s="776"/>
      <c r="C120" s="776" t="s">
        <v>547</v>
      </c>
      <c r="D120" s="776"/>
      <c r="E120" s="776"/>
      <c r="F120" s="755">
        <f t="shared" ref="F120:R120" si="29">F153</f>
        <v>0</v>
      </c>
      <c r="G120" s="755">
        <f t="shared" si="29"/>
        <v>-1992</v>
      </c>
      <c r="H120" s="755">
        <f t="shared" si="29"/>
        <v>-2065</v>
      </c>
      <c r="I120" s="755">
        <f t="shared" si="29"/>
        <v>200</v>
      </c>
      <c r="J120" s="755">
        <f t="shared" si="29"/>
        <v>-711</v>
      </c>
      <c r="K120" s="755">
        <f t="shared" si="29"/>
        <v>14200</v>
      </c>
      <c r="L120" s="755">
        <f t="shared" si="29"/>
        <v>28626</v>
      </c>
      <c r="M120" s="755">
        <f t="shared" si="29"/>
        <v>42255</v>
      </c>
      <c r="N120" s="755">
        <f t="shared" si="29"/>
        <v>83462</v>
      </c>
      <c r="O120" s="755">
        <f t="shared" si="29"/>
        <v>152618</v>
      </c>
      <c r="P120" s="755">
        <f t="shared" si="29"/>
        <v>222411</v>
      </c>
      <c r="Q120" s="755">
        <f t="shared" si="29"/>
        <v>310229</v>
      </c>
      <c r="R120" s="755">
        <f t="shared" si="29"/>
        <v>440853.02124999999</v>
      </c>
      <c r="S120" s="776"/>
    </row>
    <row r="121" spans="1:19">
      <c r="A121" s="685"/>
      <c r="B121" s="776"/>
      <c r="C121" s="776"/>
      <c r="D121" s="776"/>
      <c r="E121" s="776"/>
      <c r="F121" s="754">
        <f t="shared" ref="F121:P121" si="30">F119+F120</f>
        <v>0</v>
      </c>
      <c r="G121" s="754">
        <f t="shared" si="30"/>
        <v>-1992</v>
      </c>
      <c r="H121" s="754">
        <f t="shared" si="30"/>
        <v>-2065</v>
      </c>
      <c r="I121" s="754">
        <f t="shared" si="30"/>
        <v>200</v>
      </c>
      <c r="J121" s="754">
        <f t="shared" si="30"/>
        <v>-711</v>
      </c>
      <c r="K121" s="754">
        <f t="shared" si="30"/>
        <v>14200</v>
      </c>
      <c r="L121" s="754">
        <f t="shared" si="30"/>
        <v>28626</v>
      </c>
      <c r="M121" s="754">
        <f t="shared" si="30"/>
        <v>-66184.439999999944</v>
      </c>
      <c r="N121" s="754">
        <f t="shared" si="30"/>
        <v>-115574.43999999994</v>
      </c>
      <c r="O121" s="754">
        <f t="shared" si="30"/>
        <v>-55132.439999999944</v>
      </c>
      <c r="P121" s="754">
        <f t="shared" si="30"/>
        <v>13957.560000000056</v>
      </c>
      <c r="Q121" s="754">
        <f>Q119+Q120</f>
        <v>59479.200000000186</v>
      </c>
      <c r="R121" s="754">
        <f>R119+R120</f>
        <v>-185258.33874999988</v>
      </c>
      <c r="S121" s="776"/>
    </row>
    <row r="122" spans="1:19">
      <c r="A122" s="685">
        <v>2940</v>
      </c>
      <c r="B122" s="776"/>
      <c r="C122" s="776" t="s">
        <v>345</v>
      </c>
      <c r="D122" s="776"/>
      <c r="E122" s="776"/>
      <c r="F122" s="754"/>
      <c r="G122" s="754"/>
      <c r="H122" s="754">
        <v>1387</v>
      </c>
      <c r="I122" s="754">
        <f>-8957+H122</f>
        <v>-7570</v>
      </c>
      <c r="J122" s="754">
        <f>5471+I122</f>
        <v>-2099</v>
      </c>
      <c r="K122" s="754">
        <v>-15627</v>
      </c>
      <c r="L122" s="754">
        <v>-17724</v>
      </c>
      <c r="M122" s="754">
        <v>6</v>
      </c>
      <c r="N122" s="754">
        <v>4</v>
      </c>
      <c r="O122" s="754">
        <v>85</v>
      </c>
      <c r="P122" s="754">
        <v>340</v>
      </c>
      <c r="Q122" s="754">
        <v>-2720</v>
      </c>
      <c r="R122" s="754">
        <v>-655</v>
      </c>
      <c r="S122" s="776"/>
    </row>
    <row r="123" spans="1:19">
      <c r="A123" s="685">
        <v>2840</v>
      </c>
      <c r="B123" s="776"/>
      <c r="C123" s="776" t="s">
        <v>346</v>
      </c>
      <c r="D123" s="776"/>
      <c r="E123" s="776"/>
      <c r="F123" s="754"/>
      <c r="G123" s="754"/>
      <c r="H123" s="754"/>
      <c r="I123" s="754"/>
      <c r="J123" s="754"/>
      <c r="K123" s="754"/>
      <c r="L123" s="754"/>
      <c r="M123" s="754">
        <v>14891</v>
      </c>
      <c r="N123" s="754">
        <v>2316</v>
      </c>
      <c r="O123" s="754">
        <v>-24352</v>
      </c>
      <c r="P123" s="754">
        <v>-5525</v>
      </c>
      <c r="Q123" s="754">
        <v>659</v>
      </c>
      <c r="R123" s="754">
        <v>-217</v>
      </c>
      <c r="S123" s="776"/>
    </row>
    <row r="124" spans="1:19">
      <c r="A124" s="685">
        <v>2840</v>
      </c>
      <c r="B124" s="776"/>
      <c r="C124" s="776" t="s">
        <v>347</v>
      </c>
      <c r="D124" s="776"/>
      <c r="E124" s="776"/>
      <c r="F124" s="754"/>
      <c r="G124" s="754"/>
      <c r="H124" s="754"/>
      <c r="I124" s="754"/>
      <c r="J124" s="754"/>
      <c r="K124" s="754"/>
      <c r="L124" s="754"/>
      <c r="M124" s="754">
        <v>1065</v>
      </c>
      <c r="N124" s="754">
        <v>1544</v>
      </c>
      <c r="O124" s="754">
        <v>-673</v>
      </c>
      <c r="P124" s="754">
        <v>380</v>
      </c>
      <c r="Q124" s="754">
        <v>387</v>
      </c>
      <c r="R124" s="754">
        <v>162</v>
      </c>
      <c r="S124" s="776"/>
    </row>
    <row r="125" spans="1:19">
      <c r="A125" s="685">
        <v>2930</v>
      </c>
      <c r="B125" s="776"/>
      <c r="C125" s="776" t="s">
        <v>519</v>
      </c>
      <c r="D125" s="776"/>
      <c r="E125" s="776"/>
      <c r="F125" s="755">
        <v>-38645</v>
      </c>
      <c r="G125" s="755">
        <v>-4662</v>
      </c>
      <c r="H125" s="755">
        <v>-61041</v>
      </c>
      <c r="I125" s="755">
        <v>-7985</v>
      </c>
      <c r="J125" s="755">
        <v>24099</v>
      </c>
      <c r="K125" s="755">
        <v>139604</v>
      </c>
      <c r="L125" s="755">
        <v>209002</v>
      </c>
      <c r="M125" s="755">
        <v>169389</v>
      </c>
      <c r="N125" s="755">
        <v>39807</v>
      </c>
      <c r="O125" s="755">
        <v>-111560</v>
      </c>
      <c r="P125" s="755">
        <v>-50648</v>
      </c>
      <c r="Q125" s="755">
        <v>-215998</v>
      </c>
      <c r="R125" s="755">
        <v>-61402</v>
      </c>
      <c r="S125" s="764" t="s">
        <v>5</v>
      </c>
    </row>
    <row r="126" spans="1:19">
      <c r="A126" s="685"/>
      <c r="B126" s="776"/>
      <c r="C126" s="776"/>
      <c r="D126" s="776"/>
      <c r="E126" s="776"/>
      <c r="F126" s="754">
        <f>F112+F121+F122+F123+F124+F125</f>
        <v>1561355</v>
      </c>
      <c r="G126" s="754">
        <f t="shared" ref="G126:R126" si="31">G112+G121+G122+G123+G124+G125</f>
        <v>1593346</v>
      </c>
      <c r="H126" s="754">
        <f t="shared" si="31"/>
        <v>1538281</v>
      </c>
      <c r="I126" s="754">
        <f t="shared" si="31"/>
        <v>1584645</v>
      </c>
      <c r="J126" s="754">
        <f t="shared" si="31"/>
        <v>1621289</v>
      </c>
      <c r="K126" s="754">
        <f t="shared" si="31"/>
        <v>1738177</v>
      </c>
      <c r="L126" s="754">
        <f t="shared" si="31"/>
        <v>1819904</v>
      </c>
      <c r="M126" s="754">
        <f t="shared" si="31"/>
        <v>1719166.56</v>
      </c>
      <c r="N126" s="754">
        <f t="shared" si="31"/>
        <v>1528096.56</v>
      </c>
      <c r="O126" s="754">
        <f t="shared" si="31"/>
        <v>1408367.56</v>
      </c>
      <c r="P126" s="754">
        <f t="shared" si="31"/>
        <v>1558504.56</v>
      </c>
      <c r="Q126" s="754">
        <f t="shared" si="31"/>
        <v>1441807.2000000002</v>
      </c>
      <c r="R126" s="754">
        <f t="shared" si="31"/>
        <v>1352629.6612500001</v>
      </c>
      <c r="S126" s="776"/>
    </row>
    <row r="127" spans="1:19">
      <c r="A127" s="685">
        <v>2770</v>
      </c>
      <c r="B127" s="776"/>
      <c r="C127" s="776" t="s">
        <v>1069</v>
      </c>
      <c r="D127" s="776"/>
      <c r="E127" s="776"/>
      <c r="F127" s="754"/>
      <c r="G127" s="754"/>
      <c r="H127" s="754"/>
      <c r="I127" s="754"/>
      <c r="J127" s="754"/>
      <c r="K127" s="754"/>
      <c r="L127" s="754"/>
      <c r="M127" s="754"/>
      <c r="N127" s="754">
        <v>11610</v>
      </c>
      <c r="O127" s="754">
        <f>981+2356</f>
        <v>3337</v>
      </c>
      <c r="P127" s="756">
        <f>1079+1410</f>
        <v>2489</v>
      </c>
      <c r="Q127" s="754">
        <f>1098+607</f>
        <v>1705</v>
      </c>
      <c r="R127" s="754">
        <f>997-99</f>
        <v>898</v>
      </c>
      <c r="S127" s="776"/>
    </row>
    <row r="128" spans="1:19" ht="13.5" thickBot="1">
      <c r="A128" s="685"/>
      <c r="B128" s="776"/>
      <c r="C128" s="1" t="s">
        <v>323</v>
      </c>
      <c r="D128" s="776"/>
      <c r="E128" s="776"/>
      <c r="F128" s="762">
        <f t="shared" ref="F128:P128" si="32">F98+F110+F126+F127</f>
        <v>2271673</v>
      </c>
      <c r="G128" s="762">
        <f t="shared" si="32"/>
        <v>2286655</v>
      </c>
      <c r="H128" s="762">
        <f t="shared" si="32"/>
        <v>2570177</v>
      </c>
      <c r="I128" s="762">
        <f t="shared" si="32"/>
        <v>2554893</v>
      </c>
      <c r="J128" s="762">
        <f t="shared" si="32"/>
        <v>3348390</v>
      </c>
      <c r="K128" s="762">
        <f t="shared" si="32"/>
        <v>3482125</v>
      </c>
      <c r="L128" s="762">
        <f t="shared" si="32"/>
        <v>3699449</v>
      </c>
      <c r="M128" s="762">
        <f t="shared" si="32"/>
        <v>2928891</v>
      </c>
      <c r="N128" s="762">
        <f t="shared" si="32"/>
        <v>2731749</v>
      </c>
      <c r="O128" s="762">
        <f t="shared" si="32"/>
        <v>3246602</v>
      </c>
      <c r="P128" s="762">
        <f t="shared" si="32"/>
        <v>3326908</v>
      </c>
      <c r="Q128" s="762">
        <f>Q98+Q110+Q126+Q127</f>
        <v>3688382</v>
      </c>
      <c r="R128" s="762">
        <f>R98+R110+R126+R127</f>
        <v>3371163.0212500002</v>
      </c>
      <c r="S128" s="17"/>
    </row>
    <row r="129" spans="1:19" ht="13.5" thickTop="1">
      <c r="A129" s="873" t="s">
        <v>17</v>
      </c>
      <c r="B129" s="1"/>
      <c r="C129" s="1"/>
      <c r="D129" s="776"/>
      <c r="E129" s="24" t="s">
        <v>5</v>
      </c>
      <c r="F129" s="11">
        <f t="shared" ref="F129:R129" si="33">F86-F128</f>
        <v>0</v>
      </c>
      <c r="G129" s="11">
        <f t="shared" si="33"/>
        <v>0</v>
      </c>
      <c r="H129" s="11">
        <f t="shared" si="33"/>
        <v>0</v>
      </c>
      <c r="I129" s="11">
        <f t="shared" si="33"/>
        <v>0</v>
      </c>
      <c r="J129" s="11">
        <f t="shared" si="33"/>
        <v>0</v>
      </c>
      <c r="K129" s="11">
        <f t="shared" si="33"/>
        <v>0</v>
      </c>
      <c r="L129" s="11">
        <f t="shared" si="33"/>
        <v>0</v>
      </c>
      <c r="M129" s="11">
        <f t="shared" si="33"/>
        <v>-39549.000000001863</v>
      </c>
      <c r="N129" s="11">
        <f t="shared" si="33"/>
        <v>86759</v>
      </c>
      <c r="O129" s="11">
        <f t="shared" si="33"/>
        <v>31760</v>
      </c>
      <c r="P129" s="11">
        <f t="shared" si="33"/>
        <v>12953</v>
      </c>
      <c r="Q129" s="11">
        <f t="shared" si="33"/>
        <v>8086</v>
      </c>
      <c r="R129" s="11">
        <f t="shared" si="33"/>
        <v>199527</v>
      </c>
      <c r="S129" s="776"/>
    </row>
    <row r="130" spans="1:19">
      <c r="A130" s="685">
        <v>1</v>
      </c>
      <c r="B130" s="776"/>
      <c r="C130" s="753" t="s">
        <v>1086</v>
      </c>
      <c r="D130" s="753"/>
      <c r="E130" s="753"/>
      <c r="F130" s="815">
        <v>1999</v>
      </c>
      <c r="G130" s="815">
        <f t="shared" ref="G130:R130" si="34">F130+1</f>
        <v>2000</v>
      </c>
      <c r="H130" s="815">
        <f t="shared" si="34"/>
        <v>2001</v>
      </c>
      <c r="I130" s="815">
        <f t="shared" si="34"/>
        <v>2002</v>
      </c>
      <c r="J130" s="815">
        <f t="shared" si="34"/>
        <v>2003</v>
      </c>
      <c r="K130" s="815">
        <f t="shared" si="34"/>
        <v>2004</v>
      </c>
      <c r="L130" s="815">
        <f t="shared" si="34"/>
        <v>2005</v>
      </c>
      <c r="M130" s="815">
        <f t="shared" si="34"/>
        <v>2006</v>
      </c>
      <c r="N130" s="815">
        <f t="shared" si="34"/>
        <v>2007</v>
      </c>
      <c r="O130" s="815">
        <f t="shared" si="34"/>
        <v>2008</v>
      </c>
      <c r="P130" s="815">
        <f t="shared" si="34"/>
        <v>2009</v>
      </c>
      <c r="Q130" s="815">
        <f t="shared" si="34"/>
        <v>2010</v>
      </c>
      <c r="R130" s="815">
        <f t="shared" si="34"/>
        <v>2011</v>
      </c>
      <c r="S130" s="776"/>
    </row>
    <row r="131" spans="1:19">
      <c r="A131" s="685"/>
      <c r="B131" s="776"/>
      <c r="C131" s="776" t="s">
        <v>1087</v>
      </c>
      <c r="D131" s="17"/>
      <c r="E131" s="17"/>
      <c r="F131" s="17">
        <f t="shared" ref="F131:R131" si="35">F22</f>
        <v>2089995</v>
      </c>
      <c r="G131" s="17">
        <f t="shared" si="35"/>
        <v>2261789</v>
      </c>
      <c r="H131" s="17">
        <f t="shared" si="35"/>
        <v>2290003</v>
      </c>
      <c r="I131" s="17">
        <f t="shared" si="35"/>
        <v>2505982</v>
      </c>
      <c r="J131" s="17">
        <f t="shared" si="35"/>
        <v>3411339</v>
      </c>
      <c r="K131" s="17">
        <f t="shared" si="35"/>
        <v>3477704</v>
      </c>
      <c r="L131" s="17">
        <f t="shared" si="35"/>
        <v>3901041</v>
      </c>
      <c r="M131" s="17">
        <f t="shared" si="35"/>
        <v>4749139</v>
      </c>
      <c r="N131" s="17">
        <f t="shared" si="35"/>
        <v>6269337</v>
      </c>
      <c r="O131" s="17">
        <f t="shared" si="35"/>
        <v>6306405</v>
      </c>
      <c r="P131" s="17">
        <f t="shared" si="35"/>
        <v>6395030</v>
      </c>
      <c r="Q131" s="17">
        <f t="shared" si="35"/>
        <v>8017808</v>
      </c>
      <c r="R131" s="17">
        <f t="shared" si="35"/>
        <v>7569214</v>
      </c>
      <c r="S131" s="776"/>
    </row>
    <row r="132" spans="1:19">
      <c r="A132" s="685"/>
      <c r="B132" s="776"/>
      <c r="C132" s="776" t="s">
        <v>504</v>
      </c>
      <c r="D132" s="17"/>
      <c r="E132" s="17"/>
      <c r="F132" s="17">
        <f t="shared" ref="F132:R132" si="36">F238</f>
        <v>0</v>
      </c>
      <c r="G132" s="17">
        <f t="shared" si="36"/>
        <v>77813</v>
      </c>
      <c r="H132" s="17">
        <f t="shared" si="36"/>
        <v>0</v>
      </c>
      <c r="I132" s="17">
        <f t="shared" si="36"/>
        <v>0</v>
      </c>
      <c r="J132" s="17">
        <f t="shared" si="36"/>
        <v>600000</v>
      </c>
      <c r="K132" s="17">
        <f t="shared" si="36"/>
        <v>0</v>
      </c>
      <c r="L132" s="17">
        <f t="shared" si="36"/>
        <v>0</v>
      </c>
      <c r="M132" s="17">
        <f t="shared" si="36"/>
        <v>1800000</v>
      </c>
      <c r="N132" s="17">
        <f t="shared" si="36"/>
        <v>1455000</v>
      </c>
      <c r="O132" s="17">
        <f t="shared" si="36"/>
        <v>0</v>
      </c>
      <c r="P132" s="17">
        <f t="shared" si="36"/>
        <v>0</v>
      </c>
      <c r="Q132" s="17">
        <f t="shared" si="36"/>
        <v>1213663</v>
      </c>
      <c r="R132" s="17">
        <f t="shared" si="36"/>
        <v>129673</v>
      </c>
      <c r="S132" s="776"/>
    </row>
    <row r="133" spans="1:19">
      <c r="A133" s="685"/>
      <c r="B133" s="776"/>
      <c r="C133" s="776" t="s">
        <v>628</v>
      </c>
      <c r="D133" s="17"/>
      <c r="E133" s="17"/>
      <c r="F133" s="27">
        <f>F132</f>
        <v>0</v>
      </c>
      <c r="G133" s="27">
        <f>F133+G132</f>
        <v>77813</v>
      </c>
      <c r="H133" s="27">
        <f t="shared" ref="H133:R133" si="37">G133+H132</f>
        <v>77813</v>
      </c>
      <c r="I133" s="27">
        <v>77802</v>
      </c>
      <c r="J133" s="27">
        <f t="shared" si="37"/>
        <v>677802</v>
      </c>
      <c r="K133" s="27">
        <f t="shared" si="37"/>
        <v>677802</v>
      </c>
      <c r="L133" s="27">
        <f t="shared" si="37"/>
        <v>677802</v>
      </c>
      <c r="M133" s="27">
        <f t="shared" si="37"/>
        <v>2477802</v>
      </c>
      <c r="N133" s="27">
        <f t="shared" si="37"/>
        <v>3932802</v>
      </c>
      <c r="O133" s="27">
        <f t="shared" si="37"/>
        <v>3932802</v>
      </c>
      <c r="P133" s="27">
        <f t="shared" si="37"/>
        <v>3932802</v>
      </c>
      <c r="Q133" s="27">
        <f t="shared" si="37"/>
        <v>5146465</v>
      </c>
      <c r="R133" s="27">
        <f t="shared" si="37"/>
        <v>5276138</v>
      </c>
      <c r="S133" s="776"/>
    </row>
    <row r="134" spans="1:19">
      <c r="A134" s="685"/>
      <c r="B134" s="776"/>
      <c r="C134" s="776" t="s">
        <v>1088</v>
      </c>
      <c r="D134" s="17"/>
      <c r="E134" s="17"/>
      <c r="F134" s="17">
        <f t="shared" ref="F134:R134" si="38">F131-F133</f>
        <v>2089995</v>
      </c>
      <c r="G134" s="17">
        <f t="shared" si="38"/>
        <v>2183976</v>
      </c>
      <c r="H134" s="17">
        <f t="shared" si="38"/>
        <v>2212190</v>
      </c>
      <c r="I134" s="17">
        <f t="shared" si="38"/>
        <v>2428180</v>
      </c>
      <c r="J134" s="17">
        <f t="shared" si="38"/>
        <v>2733537</v>
      </c>
      <c r="K134" s="17">
        <f t="shared" si="38"/>
        <v>2799902</v>
      </c>
      <c r="L134" s="17">
        <f t="shared" si="38"/>
        <v>3223239</v>
      </c>
      <c r="M134" s="17">
        <f t="shared" si="38"/>
        <v>2271337</v>
      </c>
      <c r="N134" s="17">
        <f t="shared" si="38"/>
        <v>2336535</v>
      </c>
      <c r="O134" s="17">
        <f t="shared" si="38"/>
        <v>2373603</v>
      </c>
      <c r="P134" s="17">
        <f t="shared" si="38"/>
        <v>2462228</v>
      </c>
      <c r="Q134" s="17">
        <f t="shared" si="38"/>
        <v>2871343</v>
      </c>
      <c r="R134" s="17">
        <f t="shared" si="38"/>
        <v>2293076</v>
      </c>
      <c r="S134" s="776"/>
    </row>
    <row r="135" spans="1:19">
      <c r="A135" s="685"/>
      <c r="B135" s="776"/>
      <c r="C135" s="776" t="s">
        <v>318</v>
      </c>
      <c r="D135" s="17"/>
      <c r="E135" s="17"/>
      <c r="F135" s="27">
        <f>F23</f>
        <v>0</v>
      </c>
      <c r="G135" s="27">
        <f t="shared" ref="G135:R135" si="39">G23</f>
        <v>0</v>
      </c>
      <c r="H135" s="27">
        <f t="shared" si="39"/>
        <v>212544</v>
      </c>
      <c r="I135" s="27">
        <f t="shared" si="39"/>
        <v>52823</v>
      </c>
      <c r="J135" s="27">
        <f t="shared" si="39"/>
        <v>118126</v>
      </c>
      <c r="K135" s="27">
        <f t="shared" si="39"/>
        <v>215374</v>
      </c>
      <c r="L135" s="27">
        <f t="shared" si="39"/>
        <v>93643</v>
      </c>
      <c r="M135" s="27">
        <f t="shared" si="39"/>
        <v>94869</v>
      </c>
      <c r="N135" s="27">
        <f t="shared" si="39"/>
        <v>94932</v>
      </c>
      <c r="O135" s="27">
        <f t="shared" si="39"/>
        <v>309589</v>
      </c>
      <c r="P135" s="27">
        <f t="shared" si="39"/>
        <v>677980</v>
      </c>
      <c r="Q135" s="27">
        <f t="shared" si="39"/>
        <v>282322</v>
      </c>
      <c r="R135" s="27">
        <f t="shared" si="39"/>
        <v>273934</v>
      </c>
      <c r="S135" s="776"/>
    </row>
    <row r="136" spans="1:19">
      <c r="A136" s="685"/>
      <c r="B136" s="776"/>
      <c r="C136" s="776" t="s">
        <v>317</v>
      </c>
      <c r="D136" s="17"/>
      <c r="E136" s="17"/>
      <c r="F136" s="17">
        <f t="shared" ref="F136:Q136" si="40">+SUM(F133:F135)</f>
        <v>2089995</v>
      </c>
      <c r="G136" s="17">
        <f t="shared" si="40"/>
        <v>2261789</v>
      </c>
      <c r="H136" s="17">
        <f t="shared" si="40"/>
        <v>2502547</v>
      </c>
      <c r="I136" s="17">
        <f t="shared" si="40"/>
        <v>2558805</v>
      </c>
      <c r="J136" s="17">
        <f t="shared" si="40"/>
        <v>3529465</v>
      </c>
      <c r="K136" s="17">
        <f t="shared" si="40"/>
        <v>3693078</v>
      </c>
      <c r="L136" s="17">
        <f t="shared" si="40"/>
        <v>3994684</v>
      </c>
      <c r="M136" s="17">
        <f t="shared" si="40"/>
        <v>4844008</v>
      </c>
      <c r="N136" s="17">
        <f t="shared" si="40"/>
        <v>6364269</v>
      </c>
      <c r="O136" s="17">
        <f t="shared" si="40"/>
        <v>6615994</v>
      </c>
      <c r="P136" s="17">
        <f t="shared" si="40"/>
        <v>7073010</v>
      </c>
      <c r="Q136" s="17">
        <f t="shared" si="40"/>
        <v>8300130</v>
      </c>
      <c r="R136" s="17">
        <f>+SUM(R133:R135)</f>
        <v>7843148</v>
      </c>
      <c r="S136" s="776"/>
    </row>
    <row r="137" spans="1:19">
      <c r="A137" s="685"/>
      <c r="B137" s="776"/>
      <c r="C137" s="776" t="s">
        <v>536</v>
      </c>
      <c r="D137" s="17"/>
      <c r="E137" s="17"/>
      <c r="F137" s="17">
        <f>F24</f>
        <v>-14688</v>
      </c>
      <c r="G137" s="17">
        <f t="shared" ref="G137:R137" si="41">G24</f>
        <v>-62472</v>
      </c>
      <c r="H137" s="17">
        <f t="shared" si="41"/>
        <v>-129179</v>
      </c>
      <c r="I137" s="17">
        <f t="shared" si="41"/>
        <v>-172329</v>
      </c>
      <c r="J137" s="17">
        <f t="shared" si="41"/>
        <v>-35096</v>
      </c>
      <c r="K137" s="17">
        <f t="shared" si="41"/>
        <v>-111776</v>
      </c>
      <c r="L137" s="17">
        <f t="shared" si="41"/>
        <v>-198472</v>
      </c>
      <c r="M137" s="17">
        <f t="shared" si="41"/>
        <v>-52032.000000001877</v>
      </c>
      <c r="N137" s="17">
        <f t="shared" si="41"/>
        <v>-49196</v>
      </c>
      <c r="O137" s="17">
        <f t="shared" si="41"/>
        <v>-183404</v>
      </c>
      <c r="P137" s="17">
        <f t="shared" si="41"/>
        <v>-329895</v>
      </c>
      <c r="Q137" s="17">
        <f t="shared" si="41"/>
        <v>-92803</v>
      </c>
      <c r="R137" s="17">
        <f t="shared" si="41"/>
        <v>-122341</v>
      </c>
      <c r="S137" s="776"/>
    </row>
    <row r="138" spans="1:19" ht="13.5" thickBot="1">
      <c r="A138" s="685"/>
      <c r="B138" s="776"/>
      <c r="C138" s="776" t="s">
        <v>8</v>
      </c>
      <c r="D138" s="17"/>
      <c r="E138" s="17"/>
      <c r="F138" s="747">
        <f>F136+F137</f>
        <v>2075307</v>
      </c>
      <c r="G138" s="747">
        <f t="shared" ref="G138:R138" si="42">G136+G137</f>
        <v>2199317</v>
      </c>
      <c r="H138" s="747">
        <f t="shared" si="42"/>
        <v>2373368</v>
      </c>
      <c r="I138" s="747">
        <f t="shared" si="42"/>
        <v>2386476</v>
      </c>
      <c r="J138" s="747">
        <f t="shared" si="42"/>
        <v>3494369</v>
      </c>
      <c r="K138" s="747">
        <f t="shared" si="42"/>
        <v>3581302</v>
      </c>
      <c r="L138" s="747">
        <f t="shared" si="42"/>
        <v>3796212</v>
      </c>
      <c r="M138" s="747">
        <f t="shared" si="42"/>
        <v>4791975.9999999981</v>
      </c>
      <c r="N138" s="747">
        <f t="shared" si="42"/>
        <v>6315073</v>
      </c>
      <c r="O138" s="747">
        <f t="shared" si="42"/>
        <v>6432590</v>
      </c>
      <c r="P138" s="747">
        <f t="shared" si="42"/>
        <v>6743115</v>
      </c>
      <c r="Q138" s="747">
        <f t="shared" si="42"/>
        <v>8207327</v>
      </c>
      <c r="R138" s="747">
        <f t="shared" si="42"/>
        <v>7720807</v>
      </c>
      <c r="S138" s="776"/>
    </row>
    <row r="139" spans="1:19" ht="13.5" thickTop="1">
      <c r="A139" s="685">
        <v>2</v>
      </c>
      <c r="B139" s="776"/>
      <c r="C139" s="133" t="s">
        <v>1089</v>
      </c>
      <c r="D139" s="766"/>
      <c r="E139" s="766"/>
      <c r="F139" s="17"/>
      <c r="G139" s="17"/>
      <c r="H139" s="17"/>
      <c r="I139" s="17"/>
      <c r="J139" s="17"/>
      <c r="K139" s="17"/>
      <c r="L139" s="17"/>
      <c r="M139" s="17"/>
      <c r="N139" s="17"/>
      <c r="O139" s="17"/>
      <c r="P139" s="17"/>
      <c r="Q139" s="17"/>
      <c r="R139" s="17"/>
      <c r="S139" s="776"/>
    </row>
    <row r="140" spans="1:19">
      <c r="A140" s="685"/>
      <c r="B140" s="776"/>
      <c r="C140" s="776" t="s">
        <v>460</v>
      </c>
      <c r="D140" s="17"/>
      <c r="E140" s="17"/>
      <c r="F140" s="17">
        <f>F134</f>
        <v>2089995</v>
      </c>
      <c r="G140" s="17">
        <f t="shared" ref="G140:R140" si="43">G134</f>
        <v>2183976</v>
      </c>
      <c r="H140" s="17">
        <f t="shared" si="43"/>
        <v>2212190</v>
      </c>
      <c r="I140" s="17">
        <f t="shared" si="43"/>
        <v>2428180</v>
      </c>
      <c r="J140" s="17">
        <f t="shared" si="43"/>
        <v>2733537</v>
      </c>
      <c r="K140" s="17">
        <f t="shared" si="43"/>
        <v>2799902</v>
      </c>
      <c r="L140" s="17">
        <f t="shared" si="43"/>
        <v>3223239</v>
      </c>
      <c r="M140" s="17">
        <f t="shared" si="43"/>
        <v>2271337</v>
      </c>
      <c r="N140" s="17">
        <f t="shared" si="43"/>
        <v>2336535</v>
      </c>
      <c r="O140" s="17">
        <f t="shared" si="43"/>
        <v>2373603</v>
      </c>
      <c r="P140" s="17">
        <f t="shared" si="43"/>
        <v>2462228</v>
      </c>
      <c r="Q140" s="17">
        <f t="shared" si="43"/>
        <v>2871343</v>
      </c>
      <c r="R140" s="17">
        <f t="shared" si="43"/>
        <v>2293076</v>
      </c>
      <c r="S140" s="776"/>
    </row>
    <row r="141" spans="1:19">
      <c r="A141" s="685"/>
      <c r="B141" s="776"/>
      <c r="C141" s="776" t="s">
        <v>1073</v>
      </c>
      <c r="D141" s="17"/>
      <c r="E141" s="17"/>
      <c r="F141" s="17">
        <f>F133</f>
        <v>0</v>
      </c>
      <c r="G141" s="17">
        <f t="shared" ref="G141:R141" si="44">G133</f>
        <v>77813</v>
      </c>
      <c r="H141" s="17">
        <f t="shared" si="44"/>
        <v>77813</v>
      </c>
      <c r="I141" s="17">
        <f t="shared" si="44"/>
        <v>77802</v>
      </c>
      <c r="J141" s="17">
        <f t="shared" si="44"/>
        <v>677802</v>
      </c>
      <c r="K141" s="17">
        <f t="shared" si="44"/>
        <v>677802</v>
      </c>
      <c r="L141" s="17">
        <f t="shared" si="44"/>
        <v>677802</v>
      </c>
      <c r="M141" s="17">
        <f t="shared" si="44"/>
        <v>2477802</v>
      </c>
      <c r="N141" s="17">
        <f t="shared" si="44"/>
        <v>3932802</v>
      </c>
      <c r="O141" s="17">
        <f t="shared" si="44"/>
        <v>3932802</v>
      </c>
      <c r="P141" s="17">
        <f t="shared" si="44"/>
        <v>3932802</v>
      </c>
      <c r="Q141" s="17">
        <f t="shared" si="44"/>
        <v>5146465</v>
      </c>
      <c r="R141" s="17">
        <f t="shared" si="44"/>
        <v>5276138</v>
      </c>
      <c r="S141" s="776"/>
    </row>
    <row r="142" spans="1:19">
      <c r="A142" s="685"/>
      <c r="B142" s="776"/>
      <c r="C142" s="776" t="s">
        <v>1090</v>
      </c>
      <c r="D142" s="17"/>
      <c r="E142" s="17"/>
      <c r="F142" s="17">
        <f>-F141</f>
        <v>0</v>
      </c>
      <c r="G142" s="17">
        <f t="shared" ref="G142:R142" si="45">-G141</f>
        <v>-77813</v>
      </c>
      <c r="H142" s="17">
        <f t="shared" si="45"/>
        <v>-77813</v>
      </c>
      <c r="I142" s="17">
        <f t="shared" si="45"/>
        <v>-77802</v>
      </c>
      <c r="J142" s="17">
        <f t="shared" si="45"/>
        <v>-677802</v>
      </c>
      <c r="K142" s="17">
        <f t="shared" si="45"/>
        <v>-677802</v>
      </c>
      <c r="L142" s="17">
        <f t="shared" si="45"/>
        <v>-677802</v>
      </c>
      <c r="M142" s="17">
        <f t="shared" si="45"/>
        <v>-2477802</v>
      </c>
      <c r="N142" s="17">
        <f t="shared" si="45"/>
        <v>-3932802</v>
      </c>
      <c r="O142" s="17">
        <f t="shared" si="45"/>
        <v>-3932802</v>
      </c>
      <c r="P142" s="17">
        <f t="shared" si="45"/>
        <v>-3932802</v>
      </c>
      <c r="Q142" s="17">
        <f t="shared" si="45"/>
        <v>-5146465</v>
      </c>
      <c r="R142" s="17">
        <f t="shared" si="45"/>
        <v>-5276138</v>
      </c>
      <c r="S142" s="776"/>
    </row>
    <row r="143" spans="1:19">
      <c r="A143" s="685"/>
      <c r="B143" s="776"/>
      <c r="C143" s="776" t="s">
        <v>318</v>
      </c>
      <c r="D143" s="17"/>
      <c r="E143" s="776"/>
      <c r="F143" s="27">
        <f>F135</f>
        <v>0</v>
      </c>
      <c r="G143" s="27">
        <f t="shared" ref="G143:R143" si="46">G135</f>
        <v>0</v>
      </c>
      <c r="H143" s="27">
        <f t="shared" si="46"/>
        <v>212544</v>
      </c>
      <c r="I143" s="27">
        <f t="shared" si="46"/>
        <v>52823</v>
      </c>
      <c r="J143" s="27">
        <f t="shared" si="46"/>
        <v>118126</v>
      </c>
      <c r="K143" s="27">
        <f t="shared" si="46"/>
        <v>215374</v>
      </c>
      <c r="L143" s="27">
        <f t="shared" si="46"/>
        <v>93643</v>
      </c>
      <c r="M143" s="27">
        <f t="shared" si="46"/>
        <v>94869</v>
      </c>
      <c r="N143" s="27">
        <f t="shared" si="46"/>
        <v>94932</v>
      </c>
      <c r="O143" s="27">
        <f t="shared" si="46"/>
        <v>309589</v>
      </c>
      <c r="P143" s="27">
        <f t="shared" si="46"/>
        <v>677980</v>
      </c>
      <c r="Q143" s="27">
        <f t="shared" si="46"/>
        <v>282322</v>
      </c>
      <c r="R143" s="27">
        <f t="shared" si="46"/>
        <v>273934</v>
      </c>
      <c r="S143" s="776"/>
    </row>
    <row r="144" spans="1:19">
      <c r="A144" s="685"/>
      <c r="B144" s="776"/>
      <c r="C144" s="24" t="s">
        <v>317</v>
      </c>
      <c r="D144" s="17"/>
      <c r="E144" s="17"/>
      <c r="F144" s="17">
        <f>SUM(F140:F143)</f>
        <v>2089995</v>
      </c>
      <c r="G144" s="17">
        <f t="shared" ref="G144:R144" si="47">SUM(G140:G143)</f>
        <v>2183976</v>
      </c>
      <c r="H144" s="17">
        <f t="shared" si="47"/>
        <v>2424734</v>
      </c>
      <c r="I144" s="17">
        <f t="shared" si="47"/>
        <v>2481003</v>
      </c>
      <c r="J144" s="17">
        <f t="shared" si="47"/>
        <v>2851663</v>
      </c>
      <c r="K144" s="17">
        <f t="shared" si="47"/>
        <v>3015276</v>
      </c>
      <c r="L144" s="17">
        <f t="shared" si="47"/>
        <v>3316882</v>
      </c>
      <c r="M144" s="17">
        <f t="shared" si="47"/>
        <v>2366206</v>
      </c>
      <c r="N144" s="17">
        <f t="shared" si="47"/>
        <v>2431467</v>
      </c>
      <c r="O144" s="17">
        <f t="shared" si="47"/>
        <v>2683192</v>
      </c>
      <c r="P144" s="17">
        <f t="shared" si="47"/>
        <v>3140208</v>
      </c>
      <c r="Q144" s="17">
        <f t="shared" si="47"/>
        <v>3153665</v>
      </c>
      <c r="R144" s="17">
        <f t="shared" si="47"/>
        <v>2567010</v>
      </c>
      <c r="S144" s="776"/>
    </row>
    <row r="145" spans="1:19">
      <c r="A145" s="685"/>
      <c r="B145" s="776"/>
      <c r="C145" s="776" t="s">
        <v>1091</v>
      </c>
      <c r="D145" s="17"/>
      <c r="E145" s="17"/>
      <c r="F145" s="17">
        <f>F137</f>
        <v>-14688</v>
      </c>
      <c r="G145" s="17">
        <f t="shared" ref="G145:R145" si="48">G137</f>
        <v>-62472</v>
      </c>
      <c r="H145" s="17">
        <f t="shared" si="48"/>
        <v>-129179</v>
      </c>
      <c r="I145" s="17">
        <f t="shared" si="48"/>
        <v>-172329</v>
      </c>
      <c r="J145" s="17">
        <f t="shared" si="48"/>
        <v>-35096</v>
      </c>
      <c r="K145" s="17">
        <f t="shared" si="48"/>
        <v>-111776</v>
      </c>
      <c r="L145" s="17">
        <f t="shared" si="48"/>
        <v>-198472</v>
      </c>
      <c r="M145" s="17">
        <f t="shared" si="48"/>
        <v>-52032.000000001877</v>
      </c>
      <c r="N145" s="17">
        <f t="shared" si="48"/>
        <v>-49196</v>
      </c>
      <c r="O145" s="17">
        <f t="shared" si="48"/>
        <v>-183404</v>
      </c>
      <c r="P145" s="17">
        <f t="shared" si="48"/>
        <v>-329895</v>
      </c>
      <c r="Q145" s="17">
        <f t="shared" si="48"/>
        <v>-92803</v>
      </c>
      <c r="R145" s="17">
        <f t="shared" si="48"/>
        <v>-122341</v>
      </c>
      <c r="S145" s="776"/>
    </row>
    <row r="146" spans="1:19">
      <c r="A146" s="685"/>
      <c r="B146" s="776"/>
      <c r="C146" s="776" t="s">
        <v>1092</v>
      </c>
      <c r="D146" s="17"/>
      <c r="E146" s="17"/>
      <c r="F146" s="761">
        <f t="shared" ref="F146:R146" si="49">F153</f>
        <v>0</v>
      </c>
      <c r="G146" s="761">
        <f t="shared" si="49"/>
        <v>-1992</v>
      </c>
      <c r="H146" s="761">
        <f t="shared" si="49"/>
        <v>-2065</v>
      </c>
      <c r="I146" s="761">
        <f t="shared" si="49"/>
        <v>200</v>
      </c>
      <c r="J146" s="761">
        <f t="shared" si="49"/>
        <v>-711</v>
      </c>
      <c r="K146" s="761">
        <f t="shared" si="49"/>
        <v>14200</v>
      </c>
      <c r="L146" s="761">
        <f t="shared" si="49"/>
        <v>28626</v>
      </c>
      <c r="M146" s="761">
        <f t="shared" si="49"/>
        <v>42255</v>
      </c>
      <c r="N146" s="761">
        <f t="shared" si="49"/>
        <v>83462</v>
      </c>
      <c r="O146" s="761">
        <f t="shared" si="49"/>
        <v>152618</v>
      </c>
      <c r="P146" s="761">
        <f t="shared" si="49"/>
        <v>222411</v>
      </c>
      <c r="Q146" s="761">
        <f t="shared" si="49"/>
        <v>310229</v>
      </c>
      <c r="R146" s="761">
        <f t="shared" si="49"/>
        <v>440853.02124999999</v>
      </c>
      <c r="S146" s="776"/>
    </row>
    <row r="147" spans="1:19">
      <c r="A147" s="685"/>
      <c r="B147" s="776"/>
      <c r="C147" s="776" t="s">
        <v>624</v>
      </c>
      <c r="D147" s="17"/>
      <c r="E147" s="17"/>
      <c r="F147" s="17">
        <f>F145+F146</f>
        <v>-14688</v>
      </c>
      <c r="G147" s="17">
        <f t="shared" ref="G147:R147" si="50">G145+G146</f>
        <v>-64464</v>
      </c>
      <c r="H147" s="17">
        <f t="shared" si="50"/>
        <v>-131244</v>
      </c>
      <c r="I147" s="17">
        <f t="shared" si="50"/>
        <v>-172129</v>
      </c>
      <c r="J147" s="17">
        <f t="shared" si="50"/>
        <v>-35807</v>
      </c>
      <c r="K147" s="17">
        <f t="shared" si="50"/>
        <v>-97576</v>
      </c>
      <c r="L147" s="17">
        <f t="shared" si="50"/>
        <v>-169846</v>
      </c>
      <c r="M147" s="17">
        <f t="shared" si="50"/>
        <v>-9777.0000000018772</v>
      </c>
      <c r="N147" s="17">
        <f t="shared" si="50"/>
        <v>34266</v>
      </c>
      <c r="O147" s="17">
        <f t="shared" si="50"/>
        <v>-30786</v>
      </c>
      <c r="P147" s="17">
        <f t="shared" si="50"/>
        <v>-107484</v>
      </c>
      <c r="Q147" s="17">
        <f t="shared" si="50"/>
        <v>217426</v>
      </c>
      <c r="R147" s="17">
        <f t="shared" si="50"/>
        <v>318512.02124999999</v>
      </c>
      <c r="S147" s="776"/>
    </row>
    <row r="148" spans="1:19" ht="13.5" thickBot="1">
      <c r="A148" s="685"/>
      <c r="B148" s="776"/>
      <c r="C148" s="1" t="s">
        <v>1093</v>
      </c>
      <c r="D148" s="17"/>
      <c r="E148" s="17"/>
      <c r="F148" s="747">
        <f>F144+F147</f>
        <v>2075307</v>
      </c>
      <c r="G148" s="747">
        <f t="shared" ref="G148:R148" si="51">G144+G147</f>
        <v>2119512</v>
      </c>
      <c r="H148" s="747">
        <f t="shared" si="51"/>
        <v>2293490</v>
      </c>
      <c r="I148" s="747">
        <f t="shared" si="51"/>
        <v>2308874</v>
      </c>
      <c r="J148" s="747">
        <f t="shared" si="51"/>
        <v>2815856</v>
      </c>
      <c r="K148" s="747">
        <f t="shared" si="51"/>
        <v>2917700</v>
      </c>
      <c r="L148" s="747">
        <f t="shared" si="51"/>
        <v>3147036</v>
      </c>
      <c r="M148" s="747">
        <f t="shared" si="51"/>
        <v>2356428.9999999981</v>
      </c>
      <c r="N148" s="747">
        <f t="shared" si="51"/>
        <v>2465733</v>
      </c>
      <c r="O148" s="747">
        <f t="shared" si="51"/>
        <v>2652406</v>
      </c>
      <c r="P148" s="747">
        <f t="shared" si="51"/>
        <v>3032724</v>
      </c>
      <c r="Q148" s="747">
        <f t="shared" si="51"/>
        <v>3371091</v>
      </c>
      <c r="R148" s="747">
        <f t="shared" si="51"/>
        <v>2885522.0212500002</v>
      </c>
      <c r="S148" s="776"/>
    </row>
    <row r="149" spans="1:19" ht="13.5" thickTop="1">
      <c r="A149" s="685">
        <v>3</v>
      </c>
      <c r="B149" s="776"/>
      <c r="C149" s="753" t="s">
        <v>537</v>
      </c>
      <c r="D149" s="753"/>
      <c r="E149" s="753"/>
      <c r="F149" s="11">
        <v>14452</v>
      </c>
      <c r="G149" s="11">
        <v>48891</v>
      </c>
      <c r="H149" s="11">
        <v>52172</v>
      </c>
      <c r="I149" s="11">
        <v>58584</v>
      </c>
      <c r="J149" s="11">
        <v>59686</v>
      </c>
      <c r="K149" s="11">
        <v>74545</v>
      </c>
      <c r="L149" s="11">
        <v>81309</v>
      </c>
      <c r="M149" s="11">
        <v>77436</v>
      </c>
      <c r="N149" s="11">
        <v>107132</v>
      </c>
      <c r="O149" s="11">
        <v>139556</v>
      </c>
      <c r="P149" s="11">
        <v>149793</v>
      </c>
      <c r="Q149" s="11">
        <v>174318</v>
      </c>
      <c r="R149" s="11">
        <v>209283</v>
      </c>
      <c r="S149" s="2"/>
    </row>
    <row r="150" spans="1:19">
      <c r="A150" s="685"/>
      <c r="B150" s="776"/>
      <c r="C150" s="776" t="s">
        <v>1094</v>
      </c>
      <c r="D150" s="776"/>
      <c r="E150" s="776"/>
      <c r="F150" s="776"/>
      <c r="G150" s="759">
        <f>G166</f>
        <v>-1992</v>
      </c>
      <c r="H150" s="759">
        <f>H171</f>
        <v>-73</v>
      </c>
      <c r="I150" s="759">
        <f>I176</f>
        <v>2265</v>
      </c>
      <c r="J150" s="759">
        <f>J182</f>
        <v>-911</v>
      </c>
      <c r="K150" s="827">
        <f>K189</f>
        <v>14911</v>
      </c>
      <c r="L150" s="827">
        <f>L194</f>
        <v>14426</v>
      </c>
      <c r="M150" s="827">
        <f>M200</f>
        <v>13629</v>
      </c>
      <c r="N150" s="827">
        <f>N206</f>
        <v>41207</v>
      </c>
      <c r="O150" s="776"/>
      <c r="P150" s="776"/>
      <c r="Q150" s="776"/>
      <c r="R150" s="776"/>
      <c r="S150" s="2"/>
    </row>
    <row r="151" spans="1:19" ht="15">
      <c r="A151" s="685"/>
      <c r="B151" s="776"/>
      <c r="C151" s="776" t="s">
        <v>1095</v>
      </c>
      <c r="D151" s="776"/>
      <c r="E151" s="776"/>
      <c r="F151" s="4"/>
      <c r="G151" s="828"/>
      <c r="H151" s="27"/>
      <c r="I151" s="27"/>
      <c r="J151" s="27"/>
      <c r="K151" s="828"/>
      <c r="L151" s="828"/>
      <c r="M151" s="828"/>
      <c r="N151" s="828"/>
      <c r="O151" s="770">
        <f>O149-O152</f>
        <v>69156</v>
      </c>
      <c r="P151" s="770">
        <f>P149-P152</f>
        <v>69793</v>
      </c>
      <c r="Q151" s="770">
        <f>Q149-Q152</f>
        <v>87818</v>
      </c>
      <c r="R151" s="770">
        <f>R149-R152</f>
        <v>130624.02125000001</v>
      </c>
      <c r="S151" s="2"/>
    </row>
    <row r="152" spans="1:19" ht="15">
      <c r="A152" s="685"/>
      <c r="B152" s="776"/>
      <c r="C152" s="776" t="s">
        <v>1096</v>
      </c>
      <c r="D152" s="776"/>
      <c r="E152" s="776"/>
      <c r="F152" s="17">
        <f t="shared" ref="F152:N152" si="52">F149-F150</f>
        <v>14452</v>
      </c>
      <c r="G152" s="17">
        <f t="shared" si="52"/>
        <v>50883</v>
      </c>
      <c r="H152" s="17">
        <f t="shared" si="52"/>
        <v>52245</v>
      </c>
      <c r="I152" s="17">
        <f t="shared" si="52"/>
        <v>56319</v>
      </c>
      <c r="J152" s="17">
        <f t="shared" si="52"/>
        <v>60597</v>
      </c>
      <c r="K152" s="17">
        <f t="shared" si="52"/>
        <v>59634</v>
      </c>
      <c r="L152" s="17">
        <f t="shared" si="52"/>
        <v>66883</v>
      </c>
      <c r="M152" s="17">
        <f t="shared" si="52"/>
        <v>63807</v>
      </c>
      <c r="N152" s="17">
        <f t="shared" si="52"/>
        <v>65925</v>
      </c>
      <c r="O152" s="772">
        <v>70400</v>
      </c>
      <c r="P152" s="773">
        <v>80000</v>
      </c>
      <c r="Q152" s="773">
        <v>86500</v>
      </c>
      <c r="R152" s="773">
        <v>78658.978749999995</v>
      </c>
      <c r="S152" s="2" t="s">
        <v>1097</v>
      </c>
    </row>
    <row r="153" spans="1:19">
      <c r="A153" s="685"/>
      <c r="B153" s="776"/>
      <c r="C153" s="776" t="s">
        <v>1098</v>
      </c>
      <c r="D153" s="776"/>
      <c r="E153" s="776"/>
      <c r="F153" s="17">
        <f>F150</f>
        <v>0</v>
      </c>
      <c r="G153" s="759">
        <f>F153+G150</f>
        <v>-1992</v>
      </c>
      <c r="H153" s="759">
        <f t="shared" ref="H153:N153" si="53">G153+H150</f>
        <v>-2065</v>
      </c>
      <c r="I153" s="759">
        <f t="shared" si="53"/>
        <v>200</v>
      </c>
      <c r="J153" s="759">
        <f t="shared" si="53"/>
        <v>-711</v>
      </c>
      <c r="K153" s="759">
        <f t="shared" si="53"/>
        <v>14200</v>
      </c>
      <c r="L153" s="759">
        <f t="shared" si="53"/>
        <v>28626</v>
      </c>
      <c r="M153" s="759">
        <f t="shared" si="53"/>
        <v>42255</v>
      </c>
      <c r="N153" s="759">
        <f t="shared" si="53"/>
        <v>83462</v>
      </c>
      <c r="O153" s="759">
        <f>N153+O151</f>
        <v>152618</v>
      </c>
      <c r="P153" s="759">
        <f>O153+P151</f>
        <v>222411</v>
      </c>
      <c r="Q153" s="759">
        <f>P153+Q151</f>
        <v>310229</v>
      </c>
      <c r="R153" s="759">
        <f>Q153+R151</f>
        <v>440853.02124999999</v>
      </c>
      <c r="S153" s="2"/>
    </row>
    <row r="154" spans="1:19">
      <c r="A154" s="685"/>
      <c r="B154" s="776"/>
      <c r="C154" s="776" t="s">
        <v>1099</v>
      </c>
      <c r="D154" s="776"/>
      <c r="E154" s="776"/>
      <c r="F154" s="17">
        <f>F144</f>
        <v>2089995</v>
      </c>
      <c r="G154" s="17">
        <f t="shared" ref="G154:R154" si="54">G144</f>
        <v>2183976</v>
      </c>
      <c r="H154" s="17">
        <f t="shared" si="54"/>
        <v>2424734</v>
      </c>
      <c r="I154" s="17">
        <f t="shared" si="54"/>
        <v>2481003</v>
      </c>
      <c r="J154" s="17">
        <f t="shared" si="54"/>
        <v>2851663</v>
      </c>
      <c r="K154" s="17">
        <f t="shared" si="54"/>
        <v>3015276</v>
      </c>
      <c r="L154" s="17">
        <f t="shared" si="54"/>
        <v>3316882</v>
      </c>
      <c r="M154" s="17">
        <f t="shared" si="54"/>
        <v>2366206</v>
      </c>
      <c r="N154" s="17">
        <f t="shared" si="54"/>
        <v>2431467</v>
      </c>
      <c r="O154" s="17">
        <f t="shared" si="54"/>
        <v>2683192</v>
      </c>
      <c r="P154" s="17">
        <f t="shared" si="54"/>
        <v>3140208</v>
      </c>
      <c r="Q154" s="17">
        <f t="shared" si="54"/>
        <v>3153665</v>
      </c>
      <c r="R154" s="17">
        <f t="shared" si="54"/>
        <v>2567010</v>
      </c>
      <c r="S154" s="776"/>
    </row>
    <row r="155" spans="1:19">
      <c r="A155" s="685"/>
      <c r="B155" s="776"/>
      <c r="C155" s="776" t="s">
        <v>1100</v>
      </c>
      <c r="D155" s="776"/>
      <c r="E155" s="776"/>
      <c r="F155" s="17"/>
      <c r="G155" s="180">
        <f>G152/((G154+F154)/2)</f>
        <v>2.3810643544375943E-2</v>
      </c>
      <c r="H155" s="180">
        <f t="shared" ref="H155:N155" si="55">H152/((H154+G154)/2)</f>
        <v>2.2672287907028212E-2</v>
      </c>
      <c r="I155" s="180">
        <f t="shared" si="55"/>
        <v>2.2960464452130229E-2</v>
      </c>
      <c r="J155" s="180">
        <f t="shared" si="55"/>
        <v>2.2726718680674919E-2</v>
      </c>
      <c r="K155" s="180">
        <f t="shared" si="55"/>
        <v>2.0328829053787672E-2</v>
      </c>
      <c r="L155" s="180">
        <f t="shared" si="55"/>
        <v>2.1124867699131956E-2</v>
      </c>
      <c r="M155" s="180">
        <f t="shared" si="55"/>
        <v>2.2455045566776372E-2</v>
      </c>
      <c r="N155" s="180">
        <f t="shared" si="55"/>
        <v>2.7482073080011913E-2</v>
      </c>
      <c r="O155" s="776"/>
      <c r="P155" s="776"/>
      <c r="Q155" s="776"/>
      <c r="R155" s="776"/>
      <c r="S155" s="776"/>
    </row>
    <row r="156" spans="1:19">
      <c r="A156" s="685"/>
      <c r="B156" s="776"/>
      <c r="C156" s="776" t="s">
        <v>1100</v>
      </c>
      <c r="D156" s="17"/>
      <c r="E156" s="17"/>
      <c r="F156" s="27"/>
      <c r="G156" s="27"/>
      <c r="H156" s="27"/>
      <c r="I156" s="27"/>
      <c r="J156" s="27"/>
      <c r="K156" s="27"/>
      <c r="L156" s="27"/>
      <c r="M156" s="27"/>
      <c r="N156" s="27"/>
      <c r="O156" s="774">
        <f>O152/((O154+N154)/2)</f>
        <v>2.7528716968227989E-2</v>
      </c>
      <c r="P156" s="774">
        <f>P152/((P154+O154)/2)</f>
        <v>2.7475358038259436E-2</v>
      </c>
      <c r="Q156" s="774">
        <f>Q152/((Q154+P154)/2)</f>
        <v>2.7487049706913375E-2</v>
      </c>
      <c r="R156" s="774">
        <f>R152/((R154+Q154)/2)</f>
        <v>2.7499894243249265E-2</v>
      </c>
      <c r="S156" s="776"/>
    </row>
    <row r="157" spans="1:19">
      <c r="A157" s="685">
        <v>4</v>
      </c>
      <c r="B157" s="776"/>
      <c r="C157" s="133" t="s">
        <v>1101</v>
      </c>
      <c r="D157" s="133"/>
      <c r="E157" s="133"/>
      <c r="F157" s="776"/>
      <c r="G157" s="829">
        <f>G149/(F131+G131)/2</f>
        <v>5.6173514126620257E-3</v>
      </c>
      <c r="H157" s="829">
        <f t="shared" ref="H157:R157" si="56">H149/(G131+H131)/2</f>
        <v>5.7309297085631327E-3</v>
      </c>
      <c r="I157" s="829">
        <f t="shared" si="56"/>
        <v>6.1076087602442456E-3</v>
      </c>
      <c r="J157" s="829">
        <f t="shared" si="56"/>
        <v>5.0433295743124293E-3</v>
      </c>
      <c r="K157" s="829">
        <f t="shared" si="56"/>
        <v>5.4104031575938774E-3</v>
      </c>
      <c r="L157" s="829">
        <f t="shared" si="56"/>
        <v>5.5096767810786252E-3</v>
      </c>
      <c r="M157" s="829">
        <f t="shared" si="56"/>
        <v>4.4759762224601107E-3</v>
      </c>
      <c r="N157" s="829">
        <f t="shared" si="56"/>
        <v>4.8614708603984796E-3</v>
      </c>
      <c r="O157" s="829">
        <f t="shared" si="56"/>
        <v>5.5486189204581324E-3</v>
      </c>
      <c r="P157" s="829">
        <f t="shared" si="56"/>
        <v>5.8966959245156155E-3</v>
      </c>
      <c r="Q157" s="829">
        <f t="shared" si="56"/>
        <v>6.047316982262619E-3</v>
      </c>
      <c r="R157" s="829">
        <f t="shared" si="56"/>
        <v>6.7133734718537001E-3</v>
      </c>
      <c r="S157" s="776"/>
    </row>
    <row r="158" spans="1:19">
      <c r="A158" s="685"/>
      <c r="B158" s="776"/>
      <c r="C158" s="24" t="s">
        <v>1102</v>
      </c>
      <c r="D158" s="776"/>
      <c r="E158" s="776"/>
      <c r="F158" s="815">
        <v>1999</v>
      </c>
      <c r="G158" s="819"/>
      <c r="H158" s="819"/>
      <c r="I158" s="819"/>
      <c r="J158" s="819"/>
      <c r="K158" s="819"/>
      <c r="L158" s="819"/>
      <c r="M158" s="819"/>
      <c r="N158" s="819"/>
      <c r="O158" s="819"/>
      <c r="P158" s="819"/>
      <c r="Q158" s="17"/>
      <c r="R158" s="776"/>
      <c r="S158" s="776"/>
    </row>
    <row r="159" spans="1:19">
      <c r="A159" s="685"/>
      <c r="B159" s="776"/>
      <c r="C159" s="1" t="s">
        <v>1103</v>
      </c>
      <c r="D159" s="776"/>
      <c r="E159" s="776"/>
      <c r="F159" s="2"/>
      <c r="G159" s="2"/>
      <c r="H159" s="2"/>
      <c r="I159" s="2"/>
      <c r="J159" s="776"/>
      <c r="K159" s="776"/>
      <c r="L159" s="11"/>
      <c r="M159" s="11"/>
      <c r="N159" s="11"/>
      <c r="O159" s="11"/>
      <c r="P159" s="776"/>
      <c r="Q159" s="776"/>
      <c r="R159" s="776"/>
      <c r="S159" s="776"/>
    </row>
    <row r="160" spans="1:19">
      <c r="A160" s="685"/>
      <c r="B160" s="776"/>
      <c r="C160" s="830">
        <v>2000</v>
      </c>
      <c r="D160" s="4"/>
      <c r="E160" s="4"/>
      <c r="F160" s="3"/>
      <c r="G160" s="16">
        <f>C160</f>
        <v>2000</v>
      </c>
      <c r="H160" s="776"/>
      <c r="I160" s="776"/>
      <c r="J160" s="776"/>
      <c r="K160" s="3"/>
      <c r="L160" s="11"/>
      <c r="M160" s="11"/>
      <c r="N160" s="28"/>
      <c r="O160" s="11"/>
      <c r="P160" s="776"/>
      <c r="Q160" s="776"/>
      <c r="R160" s="776"/>
      <c r="S160" s="776"/>
    </row>
    <row r="161" spans="1:19">
      <c r="A161" s="685"/>
      <c r="B161" s="776"/>
      <c r="C161" s="24" t="s">
        <v>1102</v>
      </c>
      <c r="D161" s="776"/>
      <c r="E161" s="776"/>
      <c r="F161" s="2"/>
      <c r="G161" s="2"/>
      <c r="H161" s="2"/>
      <c r="I161" s="2"/>
      <c r="J161" s="776"/>
      <c r="K161" s="776"/>
      <c r="L161" s="11"/>
      <c r="M161" s="11"/>
      <c r="N161" s="11"/>
      <c r="O161" s="11"/>
      <c r="P161" s="776"/>
      <c r="Q161" s="776"/>
      <c r="R161" s="776"/>
      <c r="S161" s="776"/>
    </row>
    <row r="162" spans="1:19">
      <c r="A162" s="685"/>
      <c r="B162" s="776"/>
      <c r="C162" s="1" t="s">
        <v>1104</v>
      </c>
      <c r="D162" s="776"/>
      <c r="E162" s="776"/>
      <c r="F162" s="2"/>
      <c r="G162" s="11">
        <f>G133</f>
        <v>77813</v>
      </c>
      <c r="H162" s="2"/>
      <c r="I162" s="2"/>
      <c r="J162" s="776"/>
      <c r="K162" s="3"/>
      <c r="L162" s="11"/>
      <c r="M162" s="11"/>
      <c r="N162" s="11"/>
      <c r="O162" s="11"/>
      <c r="P162" s="776"/>
      <c r="Q162" s="776"/>
      <c r="R162" s="776"/>
      <c r="S162" s="776"/>
    </row>
    <row r="163" spans="1:19">
      <c r="A163" s="685"/>
      <c r="B163" s="776"/>
      <c r="C163" s="776" t="s">
        <v>1105</v>
      </c>
      <c r="D163" s="776"/>
      <c r="E163" s="776"/>
      <c r="F163" s="2"/>
      <c r="G163" s="17">
        <v>-1992</v>
      </c>
      <c r="H163" s="2" t="s">
        <v>1106</v>
      </c>
      <c r="I163" s="2"/>
      <c r="J163" s="776"/>
      <c r="K163" s="831"/>
      <c r="L163" s="11"/>
      <c r="M163" s="11"/>
      <c r="N163" s="11"/>
      <c r="O163" s="11"/>
      <c r="P163" s="776"/>
      <c r="Q163" s="776"/>
      <c r="R163" s="776"/>
      <c r="S163" s="776"/>
    </row>
    <row r="164" spans="1:19">
      <c r="A164" s="685"/>
      <c r="B164" s="776"/>
      <c r="C164" s="776" t="s">
        <v>1107</v>
      </c>
      <c r="D164" s="776"/>
      <c r="E164" s="776"/>
      <c r="F164" s="2"/>
      <c r="G164" s="25">
        <f>G163/G162</f>
        <v>-2.5599835503065039E-2</v>
      </c>
      <c r="H164" s="2"/>
      <c r="I164" s="2"/>
      <c r="J164" s="776"/>
      <c r="K164" s="25"/>
      <c r="L164" s="11"/>
      <c r="M164" s="11"/>
      <c r="N164" s="11"/>
      <c r="O164" s="11"/>
      <c r="P164" s="776"/>
      <c r="Q164" s="776"/>
      <c r="R164" s="776"/>
      <c r="S164" s="776"/>
    </row>
    <row r="165" spans="1:19">
      <c r="A165" s="685"/>
      <c r="B165" s="776"/>
      <c r="C165" s="776" t="s">
        <v>1108</v>
      </c>
      <c r="D165" s="776"/>
      <c r="E165" s="776"/>
      <c r="F165" s="776"/>
      <c r="G165" s="17">
        <f>G162</f>
        <v>77813</v>
      </c>
      <c r="H165" s="776"/>
      <c r="I165" s="776"/>
      <c r="J165" s="776"/>
      <c r="K165" s="17"/>
      <c r="L165" s="11"/>
      <c r="M165" s="11"/>
      <c r="N165" s="11"/>
      <c r="O165" s="11"/>
      <c r="P165" s="776"/>
      <c r="Q165" s="776"/>
      <c r="R165" s="776"/>
      <c r="S165" s="776"/>
    </row>
    <row r="166" spans="1:19">
      <c r="A166" s="685"/>
      <c r="B166" s="776"/>
      <c r="C166" s="776" t="s">
        <v>1109</v>
      </c>
      <c r="D166" s="776"/>
      <c r="E166" s="776"/>
      <c r="F166" s="776"/>
      <c r="G166" s="17">
        <f>G163</f>
        <v>-1992</v>
      </c>
      <c r="H166" s="776"/>
      <c r="I166" s="776"/>
      <c r="J166" s="776"/>
      <c r="K166" s="530"/>
      <c r="L166" s="11"/>
      <c r="M166" s="11"/>
      <c r="N166" s="11"/>
      <c r="O166" s="11"/>
      <c r="P166" s="776"/>
      <c r="Q166" s="776"/>
      <c r="R166" s="776"/>
      <c r="S166" s="776"/>
    </row>
    <row r="167" spans="1:19">
      <c r="A167" s="685"/>
      <c r="B167" s="776"/>
      <c r="C167" s="1" t="s">
        <v>10</v>
      </c>
      <c r="D167" s="776"/>
      <c r="E167" s="776"/>
      <c r="F167" s="776"/>
      <c r="G167" s="3" t="s">
        <v>940</v>
      </c>
      <c r="H167" s="776"/>
      <c r="I167" s="776"/>
      <c r="J167" s="776"/>
      <c r="K167" s="3"/>
      <c r="L167" s="11"/>
      <c r="M167" s="11"/>
      <c r="N167" s="11"/>
      <c r="O167" s="11"/>
      <c r="P167" s="776"/>
      <c r="Q167" s="776"/>
      <c r="R167" s="776"/>
      <c r="S167" s="776"/>
    </row>
    <row r="168" spans="1:19">
      <c r="A168" s="685"/>
      <c r="B168" s="776"/>
      <c r="C168" s="830">
        <v>2001</v>
      </c>
      <c r="D168" s="4"/>
      <c r="E168" s="4"/>
      <c r="F168" s="2"/>
      <c r="G168" s="776"/>
      <c r="H168" s="16">
        <f>C168</f>
        <v>2001</v>
      </c>
      <c r="I168" s="11"/>
      <c r="J168" s="776"/>
      <c r="K168" s="776"/>
      <c r="L168" s="11"/>
      <c r="M168" s="11"/>
      <c r="N168" s="11"/>
      <c r="O168" s="11"/>
      <c r="P168" s="776"/>
      <c r="Q168" s="776"/>
      <c r="R168" s="776"/>
      <c r="S168" s="776"/>
    </row>
    <row r="169" spans="1:19">
      <c r="A169" s="685"/>
      <c r="B169" s="776"/>
      <c r="C169" s="24" t="s">
        <v>1102</v>
      </c>
      <c r="D169" s="776"/>
      <c r="E169" s="776"/>
      <c r="F169" s="2"/>
      <c r="G169" s="11"/>
      <c r="H169" s="11"/>
      <c r="I169" s="11"/>
      <c r="J169" s="776"/>
      <c r="K169" s="776"/>
      <c r="L169" s="11"/>
      <c r="M169" s="11"/>
      <c r="N169" s="11"/>
      <c r="O169" s="11"/>
      <c r="P169" s="776"/>
      <c r="Q169" s="776"/>
      <c r="R169" s="776"/>
      <c r="S169" s="776"/>
    </row>
    <row r="170" spans="1:19">
      <c r="A170" s="685"/>
      <c r="B170" s="776"/>
      <c r="C170" s="776" t="s">
        <v>1108</v>
      </c>
      <c r="D170" s="776"/>
      <c r="E170" s="776"/>
      <c r="F170" s="776"/>
      <c r="G170" s="776"/>
      <c r="H170" s="17">
        <f>H133</f>
        <v>77813</v>
      </c>
      <c r="I170" s="776"/>
      <c r="J170" s="776"/>
      <c r="K170" s="17"/>
      <c r="L170" s="11"/>
      <c r="M170" s="11"/>
      <c r="N170" s="11"/>
      <c r="O170" s="11"/>
      <c r="P170" s="776"/>
      <c r="Q170" s="776"/>
      <c r="R170" s="776"/>
      <c r="S170" s="776"/>
    </row>
    <row r="171" spans="1:19">
      <c r="A171" s="685"/>
      <c r="B171" s="776"/>
      <c r="C171" s="776" t="s">
        <v>1109</v>
      </c>
      <c r="D171" s="776"/>
      <c r="E171" s="776"/>
      <c r="F171" s="776"/>
      <c r="G171" s="776"/>
      <c r="H171" s="17">
        <v>-73</v>
      </c>
      <c r="I171" s="2" t="s">
        <v>1106</v>
      </c>
      <c r="J171" s="776"/>
      <c r="K171" s="17"/>
      <c r="L171" s="11"/>
      <c r="M171" s="11"/>
      <c r="N171" s="11"/>
      <c r="O171" s="11"/>
      <c r="P171" s="776"/>
      <c r="Q171" s="776"/>
      <c r="R171" s="776"/>
      <c r="S171" s="776"/>
    </row>
    <row r="172" spans="1:19">
      <c r="A172" s="685"/>
      <c r="B172" s="776"/>
      <c r="C172" s="1" t="s">
        <v>10</v>
      </c>
      <c r="D172" s="776"/>
      <c r="E172" s="776"/>
      <c r="F172" s="776"/>
      <c r="G172" s="776"/>
      <c r="H172" s="3" t="s">
        <v>940</v>
      </c>
      <c r="I172" s="776"/>
      <c r="J172" s="776"/>
      <c r="K172" s="3"/>
      <c r="L172" s="11"/>
      <c r="M172" s="11"/>
      <c r="N172" s="11"/>
      <c r="O172" s="11"/>
      <c r="P172" s="776"/>
      <c r="Q172" s="776"/>
      <c r="R172" s="776"/>
      <c r="S172" s="776"/>
    </row>
    <row r="173" spans="1:19">
      <c r="A173" s="685"/>
      <c r="B173" s="776"/>
      <c r="C173" s="830">
        <v>2002</v>
      </c>
      <c r="D173" s="4"/>
      <c r="E173" s="4"/>
      <c r="F173" s="2"/>
      <c r="G173" s="776"/>
      <c r="H173" s="11"/>
      <c r="I173" s="16">
        <f>C173</f>
        <v>2002</v>
      </c>
      <c r="J173" s="776"/>
      <c r="K173" s="776"/>
      <c r="L173" s="11"/>
      <c r="M173" s="11"/>
      <c r="N173" s="11"/>
      <c r="O173" s="11"/>
      <c r="P173" s="776"/>
      <c r="Q173" s="776"/>
      <c r="R173" s="776"/>
      <c r="S173" s="776"/>
    </row>
    <row r="174" spans="1:19">
      <c r="A174" s="685"/>
      <c r="B174" s="776"/>
      <c r="C174" s="24" t="s">
        <v>1102</v>
      </c>
      <c r="D174" s="776"/>
      <c r="E174" s="776"/>
      <c r="F174" s="2"/>
      <c r="G174" s="11"/>
      <c r="H174" s="11"/>
      <c r="I174" s="11"/>
      <c r="J174" s="776"/>
      <c r="K174" s="776"/>
      <c r="L174" s="11"/>
      <c r="M174" s="11"/>
      <c r="N174" s="11"/>
      <c r="O174" s="11"/>
      <c r="P174" s="776"/>
      <c r="Q174" s="776"/>
      <c r="R174" s="776"/>
      <c r="S174" s="776"/>
    </row>
    <row r="175" spans="1:19">
      <c r="A175" s="685"/>
      <c r="B175" s="776"/>
      <c r="C175" s="776" t="s">
        <v>1108</v>
      </c>
      <c r="D175" s="776"/>
      <c r="E175" s="776"/>
      <c r="F175" s="776"/>
      <c r="G175" s="776"/>
      <c r="H175" s="776"/>
      <c r="I175" s="17">
        <f>I133</f>
        <v>77802</v>
      </c>
      <c r="J175" s="776"/>
      <c r="K175" s="776"/>
      <c r="L175" s="11"/>
      <c r="M175" s="11"/>
      <c r="N175" s="11"/>
      <c r="O175" s="11"/>
      <c r="P175" s="776"/>
      <c r="Q175" s="776"/>
      <c r="R175" s="776"/>
      <c r="S175" s="776"/>
    </row>
    <row r="176" spans="1:19">
      <c r="A176" s="685"/>
      <c r="B176" s="776"/>
      <c r="C176" s="776" t="s">
        <v>1109</v>
      </c>
      <c r="D176" s="776"/>
      <c r="E176" s="776"/>
      <c r="F176" s="776"/>
      <c r="G176" s="776"/>
      <c r="H176" s="776"/>
      <c r="I176" s="17">
        <v>2265</v>
      </c>
      <c r="J176" s="776"/>
      <c r="K176" s="776"/>
      <c r="L176" s="11"/>
      <c r="M176" s="11"/>
      <c r="N176" s="11"/>
      <c r="O176" s="11"/>
      <c r="P176" s="776"/>
      <c r="Q176" s="776"/>
      <c r="R176" s="776"/>
      <c r="S176" s="776"/>
    </row>
    <row r="177" spans="1:19">
      <c r="A177" s="685"/>
      <c r="B177" s="776"/>
      <c r="C177" s="1" t="s">
        <v>10</v>
      </c>
      <c r="D177" s="776"/>
      <c r="E177" s="776"/>
      <c r="F177" s="776"/>
      <c r="G177" s="776"/>
      <c r="H177" s="776"/>
      <c r="I177" s="3" t="s">
        <v>940</v>
      </c>
      <c r="J177" s="776"/>
      <c r="K177" s="776"/>
      <c r="L177" s="11"/>
      <c r="M177" s="11"/>
      <c r="N177" s="11"/>
      <c r="O177" s="11"/>
      <c r="P177" s="776"/>
      <c r="Q177" s="776"/>
      <c r="R177" s="776"/>
      <c r="S177" s="776"/>
    </row>
    <row r="178" spans="1:19">
      <c r="A178" s="685"/>
      <c r="B178" s="776"/>
      <c r="C178" s="830">
        <v>2003</v>
      </c>
      <c r="D178" s="4"/>
      <c r="E178" s="4"/>
      <c r="F178" s="2"/>
      <c r="G178" s="776"/>
      <c r="H178" s="11"/>
      <c r="I178" s="11"/>
      <c r="J178" s="16">
        <f>C178</f>
        <v>2003</v>
      </c>
      <c r="K178" s="11"/>
      <c r="L178" s="11"/>
      <c r="M178" s="11"/>
      <c r="N178" s="11"/>
      <c r="O178" s="11"/>
      <c r="P178" s="776"/>
      <c r="Q178" s="776"/>
      <c r="R178" s="776"/>
      <c r="S178" s="776"/>
    </row>
    <row r="179" spans="1:19">
      <c r="A179" s="685"/>
      <c r="B179" s="776"/>
      <c r="C179" s="24" t="s">
        <v>1102</v>
      </c>
      <c r="D179" s="776"/>
      <c r="E179" s="776"/>
      <c r="F179" s="2"/>
      <c r="G179" s="11"/>
      <c r="H179" s="11"/>
      <c r="I179" s="11"/>
      <c r="J179" s="11"/>
      <c r="K179" s="11"/>
      <c r="L179" s="11"/>
      <c r="M179" s="11"/>
      <c r="N179" s="11"/>
      <c r="O179" s="11"/>
      <c r="P179" s="11"/>
      <c r="Q179" s="776"/>
      <c r="R179" s="776"/>
      <c r="S179" s="776"/>
    </row>
    <row r="180" spans="1:19">
      <c r="A180" s="685"/>
      <c r="B180" s="776"/>
      <c r="C180" s="1" t="s">
        <v>1110</v>
      </c>
      <c r="D180" s="776"/>
      <c r="E180" s="776"/>
      <c r="F180" s="2"/>
      <c r="G180" s="11"/>
      <c r="H180" s="11"/>
      <c r="I180" s="11"/>
      <c r="J180" s="17">
        <f>J132</f>
        <v>600000</v>
      </c>
      <c r="K180" s="11"/>
      <c r="L180" s="11"/>
      <c r="M180" s="11"/>
      <c r="N180" s="11"/>
      <c r="O180" s="11"/>
      <c r="P180" s="11"/>
      <c r="Q180" s="776"/>
      <c r="R180" s="776"/>
      <c r="S180" s="776"/>
    </row>
    <row r="181" spans="1:19">
      <c r="A181" s="685"/>
      <c r="B181" s="776"/>
      <c r="C181" s="776" t="s">
        <v>1108</v>
      </c>
      <c r="D181" s="776"/>
      <c r="E181" s="776"/>
      <c r="F181" s="2"/>
      <c r="G181" s="11"/>
      <c r="H181" s="11"/>
      <c r="I181" s="11"/>
      <c r="J181" s="11">
        <f>J133</f>
        <v>677802</v>
      </c>
      <c r="K181" s="11"/>
      <c r="L181" s="11"/>
      <c r="M181" s="11"/>
      <c r="N181" s="11"/>
      <c r="O181" s="11"/>
      <c r="P181" s="11"/>
      <c r="Q181" s="776"/>
      <c r="R181" s="776"/>
      <c r="S181" s="776"/>
    </row>
    <row r="182" spans="1:19">
      <c r="A182" s="685"/>
      <c r="B182" s="776"/>
      <c r="C182" s="776" t="s">
        <v>1109</v>
      </c>
      <c r="D182" s="776"/>
      <c r="E182" s="776"/>
      <c r="F182" s="2"/>
      <c r="G182" s="11"/>
      <c r="H182" s="11"/>
      <c r="I182" s="11"/>
      <c r="J182" s="33">
        <v>-911</v>
      </c>
      <c r="K182" s="2" t="s">
        <v>1106</v>
      </c>
      <c r="L182" s="11"/>
      <c r="M182" s="11"/>
      <c r="N182" s="11"/>
      <c r="O182" s="11"/>
      <c r="P182" s="11"/>
      <c r="Q182" s="776"/>
      <c r="R182" s="776"/>
      <c r="S182" s="776"/>
    </row>
    <row r="183" spans="1:19">
      <c r="A183" s="685"/>
      <c r="B183" s="776"/>
      <c r="C183" s="1" t="s">
        <v>10</v>
      </c>
      <c r="D183" s="776"/>
      <c r="E183" s="776"/>
      <c r="F183" s="776"/>
      <c r="G183" s="776"/>
      <c r="H183" s="776"/>
      <c r="I183" s="776"/>
      <c r="J183" s="3" t="s">
        <v>940</v>
      </c>
      <c r="K183" s="776"/>
      <c r="L183" s="776"/>
      <c r="M183" s="776"/>
      <c r="N183" s="776"/>
      <c r="O183" s="776"/>
      <c r="P183" s="776"/>
      <c r="Q183" s="776"/>
      <c r="R183" s="776"/>
      <c r="S183" s="776"/>
    </row>
    <row r="184" spans="1:19">
      <c r="A184" s="685"/>
      <c r="B184" s="776"/>
      <c r="C184" s="830">
        <v>2004</v>
      </c>
      <c r="D184" s="4"/>
      <c r="E184" s="4"/>
      <c r="F184" s="2"/>
      <c r="G184" s="776"/>
      <c r="H184" s="11"/>
      <c r="I184" s="11"/>
      <c r="J184" s="776"/>
      <c r="K184" s="16">
        <f>C184</f>
        <v>2004</v>
      </c>
      <c r="L184" s="776"/>
      <c r="M184" s="776"/>
      <c r="N184" s="776"/>
      <c r="O184" s="776"/>
      <c r="P184" s="776"/>
      <c r="Q184" s="776"/>
      <c r="R184" s="776"/>
      <c r="S184" s="776"/>
    </row>
    <row r="185" spans="1:19">
      <c r="A185" s="685"/>
      <c r="B185" s="776"/>
      <c r="C185" s="24" t="s">
        <v>1102</v>
      </c>
      <c r="D185" s="776"/>
      <c r="E185" s="776"/>
      <c r="F185" s="2"/>
      <c r="G185" s="11"/>
      <c r="H185" s="11"/>
      <c r="I185" s="11"/>
      <c r="J185" s="776"/>
      <c r="K185" s="776"/>
      <c r="L185" s="776"/>
      <c r="M185" s="776"/>
      <c r="N185" s="776"/>
      <c r="O185" s="776"/>
      <c r="P185" s="776"/>
      <c r="Q185" s="776"/>
      <c r="R185" s="776"/>
      <c r="S185" s="776"/>
    </row>
    <row r="186" spans="1:19">
      <c r="A186" s="685"/>
      <c r="B186" s="776"/>
      <c r="C186" s="776" t="s">
        <v>1105</v>
      </c>
      <c r="D186" s="776"/>
      <c r="E186" s="776"/>
      <c r="F186" s="2"/>
      <c r="G186" s="11"/>
      <c r="H186" s="11"/>
      <c r="I186" s="11"/>
      <c r="J186" s="776"/>
      <c r="K186" s="831">
        <v>11300</v>
      </c>
      <c r="L186" s="776"/>
      <c r="M186" s="776"/>
      <c r="N186" s="776"/>
      <c r="O186" s="776"/>
      <c r="P186" s="776"/>
      <c r="Q186" s="776"/>
      <c r="R186" s="776"/>
      <c r="S186" s="776"/>
    </row>
    <row r="187" spans="1:19">
      <c r="A187" s="685"/>
      <c r="B187" s="776"/>
      <c r="C187" s="776" t="s">
        <v>1107</v>
      </c>
      <c r="D187" s="776"/>
      <c r="E187" s="776"/>
      <c r="F187" s="2"/>
      <c r="G187" s="11"/>
      <c r="H187" s="11"/>
      <c r="I187" s="11"/>
      <c r="J187" s="776"/>
      <c r="K187" s="832">
        <f>K186/J181</f>
        <v>1.667153534513029E-2</v>
      </c>
      <c r="L187" s="832"/>
      <c r="M187" s="776"/>
      <c r="N187" s="776"/>
      <c r="O187" s="776"/>
      <c r="P187" s="776"/>
      <c r="Q187" s="776"/>
      <c r="R187" s="776"/>
      <c r="S187" s="776"/>
    </row>
    <row r="188" spans="1:19">
      <c r="A188" s="685"/>
      <c r="B188" s="776"/>
      <c r="C188" s="776" t="s">
        <v>1108</v>
      </c>
      <c r="D188" s="776"/>
      <c r="E188" s="776"/>
      <c r="F188" s="776"/>
      <c r="G188" s="776"/>
      <c r="H188" s="776"/>
      <c r="I188" s="776"/>
      <c r="J188" s="776"/>
      <c r="K188" s="17">
        <f>K133</f>
        <v>677802</v>
      </c>
      <c r="L188" s="776"/>
      <c r="M188" s="776"/>
      <c r="N188" s="776"/>
      <c r="O188" s="776"/>
      <c r="P188" s="776"/>
      <c r="Q188" s="776"/>
      <c r="R188" s="776"/>
      <c r="S188" s="776"/>
    </row>
    <row r="189" spans="1:19">
      <c r="A189" s="685"/>
      <c r="B189" s="776"/>
      <c r="C189" s="776" t="s">
        <v>1109</v>
      </c>
      <c r="D189" s="776"/>
      <c r="E189" s="776"/>
      <c r="F189" s="776"/>
      <c r="G189" s="776"/>
      <c r="H189" s="776"/>
      <c r="I189" s="776"/>
      <c r="J189" s="776"/>
      <c r="K189" s="530">
        <v>14911</v>
      </c>
      <c r="L189" s="776"/>
      <c r="M189" s="776"/>
      <c r="N189" s="776"/>
      <c r="O189" s="776"/>
      <c r="P189" s="776"/>
      <c r="Q189" s="776"/>
      <c r="R189" s="776"/>
      <c r="S189" s="776"/>
    </row>
    <row r="190" spans="1:19">
      <c r="A190" s="685"/>
      <c r="B190" s="776"/>
      <c r="C190" s="1" t="s">
        <v>10</v>
      </c>
      <c r="D190" s="776"/>
      <c r="E190" s="776"/>
      <c r="F190" s="776"/>
      <c r="G190" s="776"/>
      <c r="H190" s="776"/>
      <c r="I190" s="776"/>
      <c r="J190" s="776"/>
      <c r="K190" s="3" t="s">
        <v>940</v>
      </c>
      <c r="L190" s="776"/>
      <c r="M190" s="776"/>
      <c r="N190" s="776"/>
      <c r="O190" s="776"/>
      <c r="P190" s="776"/>
      <c r="Q190" s="776"/>
      <c r="R190" s="776"/>
      <c r="S190" s="776"/>
    </row>
    <row r="191" spans="1:19">
      <c r="A191" s="685"/>
      <c r="B191" s="776"/>
      <c r="C191" s="830">
        <v>2005</v>
      </c>
      <c r="D191" s="4"/>
      <c r="E191" s="4"/>
      <c r="F191" s="776"/>
      <c r="G191" s="776"/>
      <c r="H191" s="776"/>
      <c r="I191" s="776"/>
      <c r="J191" s="776"/>
      <c r="K191" s="776"/>
      <c r="L191" s="16">
        <f>C191</f>
        <v>2005</v>
      </c>
      <c r="M191" s="776"/>
      <c r="N191" s="776"/>
      <c r="O191" s="776"/>
      <c r="P191" s="776"/>
      <c r="Q191" s="776"/>
      <c r="R191" s="776"/>
      <c r="S191" s="776"/>
    </row>
    <row r="192" spans="1:19">
      <c r="A192" s="685"/>
      <c r="B192" s="776"/>
      <c r="C192" s="24" t="s">
        <v>1102</v>
      </c>
      <c r="D192" s="776"/>
      <c r="E192" s="776"/>
      <c r="F192" s="776"/>
      <c r="G192" s="776"/>
      <c r="H192" s="776"/>
      <c r="I192" s="776"/>
      <c r="J192" s="776"/>
      <c r="K192" s="776"/>
      <c r="L192" s="776"/>
      <c r="M192" s="776"/>
      <c r="N192" s="776"/>
      <c r="O192" s="776"/>
      <c r="P192" s="776"/>
      <c r="Q192" s="776"/>
      <c r="R192" s="776"/>
      <c r="S192" s="776"/>
    </row>
    <row r="193" spans="1:19">
      <c r="A193" s="685"/>
      <c r="B193" s="776"/>
      <c r="C193" s="776" t="s">
        <v>1108</v>
      </c>
      <c r="D193" s="776"/>
      <c r="E193" s="776"/>
      <c r="F193" s="776"/>
      <c r="G193" s="776"/>
      <c r="H193" s="776"/>
      <c r="I193" s="776"/>
      <c r="J193" s="776"/>
      <c r="K193" s="776"/>
      <c r="L193" s="17">
        <f>L133</f>
        <v>677802</v>
      </c>
      <c r="M193" s="776"/>
      <c r="N193" s="776"/>
      <c r="O193" s="776"/>
      <c r="P193" s="776"/>
      <c r="Q193" s="776"/>
      <c r="R193" s="776"/>
      <c r="S193" s="776"/>
    </row>
    <row r="194" spans="1:19">
      <c r="A194" s="685"/>
      <c r="B194" s="776"/>
      <c r="C194" s="776" t="s">
        <v>1109</v>
      </c>
      <c r="D194" s="776"/>
      <c r="E194" s="776"/>
      <c r="F194" s="776"/>
      <c r="G194" s="776"/>
      <c r="H194" s="776"/>
      <c r="I194" s="776"/>
      <c r="J194" s="776"/>
      <c r="K194" s="776"/>
      <c r="L194" s="530">
        <v>14426</v>
      </c>
      <c r="M194" s="776"/>
      <c r="N194" s="776"/>
      <c r="O194" s="776"/>
      <c r="P194" s="776"/>
      <c r="Q194" s="776"/>
      <c r="R194" s="776"/>
      <c r="S194" s="776"/>
    </row>
    <row r="195" spans="1:19">
      <c r="A195" s="685"/>
      <c r="B195" s="776"/>
      <c r="C195" s="1" t="s">
        <v>10</v>
      </c>
      <c r="D195" s="776"/>
      <c r="E195" s="776"/>
      <c r="F195" s="776"/>
      <c r="G195" s="776"/>
      <c r="H195" s="776"/>
      <c r="I195" s="776"/>
      <c r="J195" s="776"/>
      <c r="K195" s="776"/>
      <c r="L195" s="3" t="s">
        <v>940</v>
      </c>
      <c r="M195" s="776"/>
      <c r="N195" s="776"/>
      <c r="O195" s="776"/>
      <c r="P195" s="776"/>
      <c r="Q195" s="776"/>
      <c r="R195" s="776"/>
      <c r="S195" s="776"/>
    </row>
    <row r="196" spans="1:19">
      <c r="A196" s="685"/>
      <c r="B196" s="776"/>
      <c r="C196" s="830">
        <v>2006</v>
      </c>
      <c r="D196" s="4"/>
      <c r="E196" s="4"/>
      <c r="F196" s="776"/>
      <c r="G196" s="776"/>
      <c r="H196" s="776"/>
      <c r="I196" s="776"/>
      <c r="J196" s="776"/>
      <c r="K196" s="776"/>
      <c r="L196" s="776"/>
      <c r="M196" s="16">
        <f>C196</f>
        <v>2006</v>
      </c>
      <c r="N196" s="776"/>
      <c r="O196" s="392" t="s">
        <v>1111</v>
      </c>
      <c r="P196" s="38"/>
      <c r="Q196" s="833">
        <v>760000</v>
      </c>
      <c r="R196" s="776"/>
      <c r="S196" s="776"/>
    </row>
    <row r="197" spans="1:19">
      <c r="A197" s="685"/>
      <c r="B197" s="776"/>
      <c r="C197" s="24" t="s">
        <v>1102</v>
      </c>
      <c r="D197" s="776"/>
      <c r="E197" s="776"/>
      <c r="F197" s="776"/>
      <c r="G197" s="776"/>
      <c r="H197" s="776"/>
      <c r="I197" s="776"/>
      <c r="J197" s="776"/>
      <c r="K197" s="776"/>
      <c r="L197" s="776"/>
      <c r="M197" s="776"/>
      <c r="N197" s="776"/>
      <c r="O197" s="387" t="s">
        <v>60</v>
      </c>
      <c r="P197" s="4"/>
      <c r="Q197" s="834">
        <v>6050</v>
      </c>
      <c r="R197" s="776"/>
      <c r="S197" s="776"/>
    </row>
    <row r="198" spans="1:19">
      <c r="A198" s="685"/>
      <c r="B198" s="776"/>
      <c r="C198" s="1" t="s">
        <v>1112</v>
      </c>
      <c r="D198" s="776"/>
      <c r="E198" s="776"/>
      <c r="F198" s="776"/>
      <c r="G198" s="776"/>
      <c r="H198" s="776"/>
      <c r="I198" s="776"/>
      <c r="J198" s="776"/>
      <c r="K198" s="776"/>
      <c r="L198" s="776"/>
      <c r="M198" s="17">
        <f>M132</f>
        <v>1800000</v>
      </c>
      <c r="N198" s="776"/>
      <c r="O198" s="776"/>
      <c r="P198" s="776"/>
      <c r="Q198" s="776"/>
      <c r="R198" s="776"/>
      <c r="S198" s="776"/>
    </row>
    <row r="199" spans="1:19">
      <c r="A199" s="685"/>
      <c r="B199" s="776"/>
      <c r="C199" s="776" t="s">
        <v>1108</v>
      </c>
      <c r="D199" s="776"/>
      <c r="E199" s="776"/>
      <c r="F199" s="776"/>
      <c r="G199" s="776"/>
      <c r="H199" s="776"/>
      <c r="I199" s="776"/>
      <c r="J199" s="776"/>
      <c r="K199" s="776"/>
      <c r="L199" s="776"/>
      <c r="M199" s="17">
        <f>M133</f>
        <v>2477802</v>
      </c>
      <c r="N199" s="776"/>
      <c r="O199" s="776"/>
      <c r="P199" s="776"/>
      <c r="Q199" s="776"/>
      <c r="R199" s="776"/>
      <c r="S199" s="776"/>
    </row>
    <row r="200" spans="1:19">
      <c r="A200" s="685"/>
      <c r="B200" s="776"/>
      <c r="C200" s="776" t="s">
        <v>1109</v>
      </c>
      <c r="D200" s="776"/>
      <c r="E200" s="776"/>
      <c r="F200" s="776"/>
      <c r="G200" s="776"/>
      <c r="H200" s="776"/>
      <c r="I200" s="776"/>
      <c r="J200" s="776"/>
      <c r="K200" s="776"/>
      <c r="L200" s="776"/>
      <c r="M200" s="530">
        <v>13629</v>
      </c>
      <c r="N200" s="31">
        <f>M200/L193</f>
        <v>2.0107642054759355E-2</v>
      </c>
      <c r="O200" s="776"/>
      <c r="P200" s="776"/>
      <c r="Q200" s="776"/>
      <c r="R200" s="776"/>
      <c r="S200" s="776"/>
    </row>
    <row r="201" spans="1:19">
      <c r="A201" s="685"/>
      <c r="B201" s="776"/>
      <c r="C201" s="1" t="s">
        <v>10</v>
      </c>
      <c r="D201" s="776"/>
      <c r="E201" s="776"/>
      <c r="F201" s="776"/>
      <c r="G201" s="776"/>
      <c r="H201" s="776"/>
      <c r="I201" s="776"/>
      <c r="J201" s="776"/>
      <c r="K201" s="776"/>
      <c r="L201" s="776"/>
      <c r="M201" s="3" t="s">
        <v>940</v>
      </c>
      <c r="N201" s="776"/>
      <c r="O201" s="776"/>
      <c r="P201" s="776"/>
      <c r="Q201" s="776"/>
      <c r="R201" s="776"/>
      <c r="S201" s="776"/>
    </row>
    <row r="202" spans="1:19">
      <c r="A202" s="685"/>
      <c r="B202" s="776"/>
      <c r="C202" s="830">
        <v>2007</v>
      </c>
      <c r="D202" s="4"/>
      <c r="E202" s="4"/>
      <c r="F202" s="776"/>
      <c r="G202" s="776"/>
      <c r="H202" s="776"/>
      <c r="I202" s="776"/>
      <c r="J202" s="776"/>
      <c r="K202" s="776"/>
      <c r="L202" s="776"/>
      <c r="M202" s="776"/>
      <c r="N202" s="16">
        <f>C202</f>
        <v>2007</v>
      </c>
      <c r="O202" s="776"/>
      <c r="P202" s="776"/>
      <c r="Q202" s="776"/>
      <c r="R202" s="776"/>
      <c r="S202" s="776"/>
    </row>
    <row r="203" spans="1:19">
      <c r="A203" s="685"/>
      <c r="B203" s="776"/>
      <c r="C203" s="24" t="s">
        <v>1102</v>
      </c>
      <c r="D203" s="776"/>
      <c r="E203" s="776"/>
      <c r="F203" s="776"/>
      <c r="G203" s="776"/>
      <c r="H203" s="776"/>
      <c r="I203" s="776"/>
      <c r="J203" s="776"/>
      <c r="K203" s="776"/>
      <c r="L203" s="776"/>
      <c r="M203" s="776"/>
      <c r="N203" s="776"/>
      <c r="O203" s="776"/>
      <c r="P203" s="776"/>
      <c r="Q203" s="776"/>
      <c r="R203" s="776"/>
      <c r="S203" s="776"/>
    </row>
    <row r="204" spans="1:19">
      <c r="A204" s="685"/>
      <c r="B204" s="776"/>
      <c r="C204" s="1" t="s">
        <v>1113</v>
      </c>
      <c r="D204" s="776"/>
      <c r="E204" s="776"/>
      <c r="F204" s="776"/>
      <c r="G204" s="776"/>
      <c r="H204" s="776"/>
      <c r="I204" s="776"/>
      <c r="J204" s="776"/>
      <c r="K204" s="776"/>
      <c r="L204" s="776"/>
      <c r="M204" s="776"/>
      <c r="N204" s="17">
        <f>N132</f>
        <v>1455000</v>
      </c>
      <c r="O204" s="776"/>
      <c r="P204" s="776"/>
      <c r="Q204" s="776"/>
      <c r="R204" s="776"/>
      <c r="S204" s="776"/>
    </row>
    <row r="205" spans="1:19">
      <c r="A205" s="685"/>
      <c r="B205" s="776"/>
      <c r="C205" s="776" t="s">
        <v>1108</v>
      </c>
      <c r="D205" s="776"/>
      <c r="E205" s="776"/>
      <c r="F205" s="776"/>
      <c r="G205" s="776"/>
      <c r="H205" s="776"/>
      <c r="I205" s="776"/>
      <c r="J205" s="776"/>
      <c r="K205" s="776"/>
      <c r="L205" s="776"/>
      <c r="M205" s="776"/>
      <c r="N205" s="17">
        <f>M199+N204</f>
        <v>3932802</v>
      </c>
      <c r="O205" s="776"/>
      <c r="P205" s="776"/>
      <c r="Q205" s="776"/>
      <c r="R205" s="776"/>
      <c r="S205" s="776"/>
    </row>
    <row r="206" spans="1:19">
      <c r="A206" s="685"/>
      <c r="B206" s="776"/>
      <c r="C206" s="776" t="s">
        <v>1109</v>
      </c>
      <c r="D206" s="776"/>
      <c r="E206" s="776"/>
      <c r="F206" s="776"/>
      <c r="G206" s="776"/>
      <c r="H206" s="776"/>
      <c r="I206" s="776"/>
      <c r="J206" s="776"/>
      <c r="K206" s="776"/>
      <c r="L206" s="776"/>
      <c r="M206" s="776"/>
      <c r="N206" s="530">
        <v>41207</v>
      </c>
      <c r="O206" s="832">
        <f>N206/M199</f>
        <v>1.6630465226842178E-2</v>
      </c>
      <c r="P206" s="776"/>
      <c r="Q206" s="776"/>
      <c r="R206" s="776"/>
      <c r="S206" s="776"/>
    </row>
    <row r="207" spans="1:19">
      <c r="A207" s="685"/>
      <c r="B207" s="776"/>
      <c r="C207" s="1" t="s">
        <v>10</v>
      </c>
      <c r="D207" s="776"/>
      <c r="E207" s="776"/>
      <c r="F207" s="776"/>
      <c r="G207" s="776"/>
      <c r="H207" s="776"/>
      <c r="I207" s="776"/>
      <c r="J207" s="776"/>
      <c r="K207" s="776"/>
      <c r="L207" s="776"/>
      <c r="M207" s="776"/>
      <c r="N207" s="3" t="s">
        <v>940</v>
      </c>
      <c r="O207" s="776"/>
      <c r="P207" s="776"/>
      <c r="Q207" s="776"/>
      <c r="R207" s="776"/>
      <c r="S207" s="776"/>
    </row>
    <row r="208" spans="1:19">
      <c r="A208" s="685"/>
      <c r="B208" s="776"/>
      <c r="C208" s="830">
        <v>2008</v>
      </c>
      <c r="D208" s="4"/>
      <c r="E208" s="4"/>
      <c r="F208" s="776"/>
      <c r="G208" s="776"/>
      <c r="H208" s="776"/>
      <c r="I208" s="776"/>
      <c r="J208" s="776"/>
      <c r="K208" s="776"/>
      <c r="L208" s="776"/>
      <c r="M208" s="776"/>
      <c r="N208" s="776"/>
      <c r="O208" s="16">
        <f>C208</f>
        <v>2008</v>
      </c>
      <c r="P208" s="776"/>
      <c r="Q208" s="776"/>
      <c r="R208" s="776"/>
      <c r="S208" s="776"/>
    </row>
    <row r="209" spans="1:19">
      <c r="A209" s="685"/>
      <c r="B209" s="776"/>
      <c r="C209" s="24" t="s">
        <v>1114</v>
      </c>
      <c r="D209" s="776"/>
      <c r="E209" s="776"/>
      <c r="F209" s="776"/>
      <c r="G209" s="776"/>
      <c r="H209" s="776"/>
      <c r="I209" s="776"/>
      <c r="J209" s="776"/>
      <c r="K209" s="776"/>
      <c r="L209" s="776"/>
      <c r="M209" s="776"/>
      <c r="N209" s="776"/>
      <c r="O209" s="776"/>
      <c r="P209" s="776"/>
      <c r="Q209" s="776"/>
      <c r="R209" s="776"/>
      <c r="S209" s="776"/>
    </row>
    <row r="210" spans="1:19">
      <c r="A210" s="685"/>
      <c r="B210" s="776"/>
      <c r="C210" s="1" t="s">
        <v>1113</v>
      </c>
      <c r="D210" s="776"/>
      <c r="E210" s="776"/>
      <c r="F210" s="776"/>
      <c r="G210" s="776"/>
      <c r="H210" s="776"/>
      <c r="I210" s="776"/>
      <c r="J210" s="776"/>
      <c r="K210" s="776"/>
      <c r="L210" s="776"/>
      <c r="M210" s="776"/>
      <c r="N210" s="776"/>
      <c r="O210" s="17">
        <f>O132</f>
        <v>0</v>
      </c>
      <c r="P210" s="776"/>
      <c r="Q210" s="776"/>
      <c r="R210" s="776"/>
      <c r="S210" s="776"/>
    </row>
    <row r="211" spans="1:19">
      <c r="A211" s="685"/>
      <c r="B211" s="776"/>
      <c r="C211" s="776" t="s">
        <v>1108</v>
      </c>
      <c r="D211" s="776"/>
      <c r="E211" s="776"/>
      <c r="F211" s="776"/>
      <c r="G211" s="776"/>
      <c r="H211" s="776"/>
      <c r="I211" s="776"/>
      <c r="J211" s="776"/>
      <c r="K211" s="776"/>
      <c r="L211" s="776"/>
      <c r="M211" s="776"/>
      <c r="N211" s="776"/>
      <c r="O211" s="17">
        <f>O133</f>
        <v>3932802</v>
      </c>
      <c r="P211" s="776"/>
      <c r="Q211" s="776"/>
      <c r="R211" s="776"/>
      <c r="S211" s="776"/>
    </row>
    <row r="212" spans="1:19">
      <c r="A212" s="685"/>
      <c r="B212" s="776"/>
      <c r="C212" s="776" t="s">
        <v>1109</v>
      </c>
      <c r="D212" s="776"/>
      <c r="E212" s="776"/>
      <c r="F212" s="776"/>
      <c r="G212" s="776"/>
      <c r="H212" s="776"/>
      <c r="I212" s="776"/>
      <c r="J212" s="776"/>
      <c r="K212" s="776"/>
      <c r="L212" s="776"/>
      <c r="M212" s="776"/>
      <c r="N212" s="776"/>
      <c r="O212" s="530"/>
      <c r="P212" s="776"/>
      <c r="Q212" s="776"/>
      <c r="R212" s="776"/>
      <c r="S212" s="776"/>
    </row>
    <row r="213" spans="1:19">
      <c r="A213" s="685"/>
      <c r="B213" s="776"/>
      <c r="C213" s="1" t="s">
        <v>10</v>
      </c>
      <c r="D213" s="776"/>
      <c r="E213" s="776"/>
      <c r="F213" s="776"/>
      <c r="G213" s="776"/>
      <c r="H213" s="776"/>
      <c r="I213" s="776"/>
      <c r="J213" s="776"/>
      <c r="K213" s="776"/>
      <c r="L213" s="776"/>
      <c r="M213" s="776"/>
      <c r="N213" s="776"/>
      <c r="O213" s="3"/>
      <c r="P213" s="776"/>
      <c r="Q213" s="776"/>
      <c r="R213" s="776"/>
      <c r="S213" s="776"/>
    </row>
    <row r="214" spans="1:19">
      <c r="A214" s="685"/>
      <c r="B214" s="776"/>
      <c r="C214" s="830">
        <v>2009</v>
      </c>
      <c r="D214" s="4"/>
      <c r="E214" s="4"/>
      <c r="F214" s="776"/>
      <c r="G214" s="776"/>
      <c r="H214" s="776"/>
      <c r="I214" s="776"/>
      <c r="J214" s="776"/>
      <c r="K214" s="776"/>
      <c r="L214" s="776"/>
      <c r="M214" s="776"/>
      <c r="N214" s="776"/>
      <c r="O214" s="776"/>
      <c r="P214" s="16">
        <f>C214</f>
        <v>2009</v>
      </c>
      <c r="Q214" s="776"/>
      <c r="R214" s="776"/>
      <c r="S214" s="776"/>
    </row>
    <row r="215" spans="1:19">
      <c r="A215" s="685"/>
      <c r="B215" s="776"/>
      <c r="C215" s="24" t="s">
        <v>1114</v>
      </c>
      <c r="D215" s="776"/>
      <c r="E215" s="776"/>
      <c r="F215" s="776"/>
      <c r="G215" s="776"/>
      <c r="H215" s="776"/>
      <c r="I215" s="776"/>
      <c r="J215" s="776"/>
      <c r="K215" s="776"/>
      <c r="L215" s="776"/>
      <c r="M215" s="776"/>
      <c r="N215" s="776"/>
      <c r="O215" s="776"/>
      <c r="P215" s="776"/>
      <c r="Q215" s="776"/>
      <c r="R215" s="776"/>
      <c r="S215" s="776"/>
    </row>
    <row r="216" spans="1:19">
      <c r="A216" s="685"/>
      <c r="B216" s="776"/>
      <c r="C216" s="1" t="s">
        <v>1113</v>
      </c>
      <c r="D216" s="776"/>
      <c r="E216" s="776"/>
      <c r="F216" s="776"/>
      <c r="G216" s="776"/>
      <c r="H216" s="776"/>
      <c r="I216" s="776"/>
      <c r="J216" s="776"/>
      <c r="K216" s="776"/>
      <c r="L216" s="776"/>
      <c r="M216" s="776"/>
      <c r="N216" s="776"/>
      <c r="O216" s="776"/>
      <c r="P216" s="17">
        <f>P132</f>
        <v>0</v>
      </c>
      <c r="Q216" s="776"/>
      <c r="R216" s="776"/>
      <c r="S216" s="776"/>
    </row>
    <row r="217" spans="1:19">
      <c r="A217" s="685"/>
      <c r="B217" s="776"/>
      <c r="C217" s="776" t="s">
        <v>1108</v>
      </c>
      <c r="D217" s="776"/>
      <c r="E217" s="776"/>
      <c r="F217" s="776"/>
      <c r="G217" s="776"/>
      <c r="H217" s="776"/>
      <c r="I217" s="776"/>
      <c r="J217" s="776"/>
      <c r="K217" s="776"/>
      <c r="L217" s="776"/>
      <c r="M217" s="776"/>
      <c r="N217" s="776"/>
      <c r="O217" s="776"/>
      <c r="P217" s="17">
        <f>P133</f>
        <v>3932802</v>
      </c>
      <c r="Q217" s="776"/>
      <c r="R217" s="776"/>
      <c r="S217" s="776"/>
    </row>
    <row r="218" spans="1:19">
      <c r="A218" s="685"/>
      <c r="B218" s="776"/>
      <c r="C218" s="776" t="s">
        <v>1109</v>
      </c>
      <c r="D218" s="776"/>
      <c r="E218" s="776"/>
      <c r="F218" s="776"/>
      <c r="G218" s="776"/>
      <c r="H218" s="776"/>
      <c r="I218" s="776"/>
      <c r="J218" s="776"/>
      <c r="K218" s="776"/>
      <c r="L218" s="776"/>
      <c r="M218" s="776"/>
      <c r="N218" s="776"/>
      <c r="O218" s="776"/>
      <c r="P218" s="303"/>
      <c r="Q218" s="776"/>
      <c r="R218" s="776"/>
      <c r="S218" s="776"/>
    </row>
    <row r="219" spans="1:19">
      <c r="A219" s="685"/>
      <c r="B219" s="776"/>
      <c r="C219" s="830">
        <v>2010</v>
      </c>
      <c r="D219" s="4"/>
      <c r="E219" s="4"/>
      <c r="F219" s="776"/>
      <c r="G219" s="776"/>
      <c r="H219" s="776"/>
      <c r="I219" s="776"/>
      <c r="J219" s="776"/>
      <c r="K219" s="776"/>
      <c r="L219" s="776"/>
      <c r="M219" s="776"/>
      <c r="N219" s="776"/>
      <c r="O219" s="776"/>
      <c r="P219" s="303"/>
      <c r="Q219" s="16">
        <f>C219</f>
        <v>2010</v>
      </c>
      <c r="R219" s="776"/>
      <c r="S219" s="776"/>
    </row>
    <row r="220" spans="1:19">
      <c r="A220" s="685"/>
      <c r="B220" s="776"/>
      <c r="C220" s="24" t="s">
        <v>1114</v>
      </c>
      <c r="D220" s="776"/>
      <c r="E220" s="776"/>
      <c r="F220" s="776"/>
      <c r="G220" s="776"/>
      <c r="H220" s="776"/>
      <c r="I220" s="776"/>
      <c r="J220" s="776"/>
      <c r="K220" s="776"/>
      <c r="L220" s="776"/>
      <c r="M220" s="776"/>
      <c r="N220" s="776"/>
      <c r="O220" s="776"/>
      <c r="P220" s="303"/>
      <c r="Q220" s="776"/>
      <c r="R220" s="776"/>
      <c r="S220" s="776"/>
    </row>
    <row r="221" spans="1:19">
      <c r="A221" s="685"/>
      <c r="B221" s="776"/>
      <c r="C221" s="1" t="s">
        <v>1113</v>
      </c>
      <c r="D221" s="776"/>
      <c r="E221" s="776"/>
      <c r="F221" s="776"/>
      <c r="G221" s="776"/>
      <c r="H221" s="776"/>
      <c r="I221" s="776"/>
      <c r="J221" s="776"/>
      <c r="K221" s="776"/>
      <c r="L221" s="776"/>
      <c r="M221" s="776"/>
      <c r="N221" s="776"/>
      <c r="O221" s="776"/>
      <c r="P221" s="303"/>
      <c r="Q221" s="17">
        <f>Q132</f>
        <v>1213663</v>
      </c>
      <c r="R221" s="776"/>
      <c r="S221" s="776"/>
    </row>
    <row r="222" spans="1:19">
      <c r="A222" s="685"/>
      <c r="B222" s="776"/>
      <c r="C222" s="776" t="s">
        <v>1108</v>
      </c>
      <c r="D222" s="776"/>
      <c r="E222" s="776"/>
      <c r="F222" s="776"/>
      <c r="G222" s="776"/>
      <c r="H222" s="776"/>
      <c r="I222" s="776"/>
      <c r="J222" s="776"/>
      <c r="K222" s="776"/>
      <c r="L222" s="776"/>
      <c r="M222" s="776"/>
      <c r="N222" s="776"/>
      <c r="O222" s="776"/>
      <c r="P222" s="303"/>
      <c r="Q222" s="17">
        <f>Q133</f>
        <v>5146465</v>
      </c>
      <c r="R222" s="776"/>
      <c r="S222" s="776"/>
    </row>
    <row r="223" spans="1:19">
      <c r="A223" s="685"/>
      <c r="B223" s="776"/>
      <c r="C223" s="776" t="s">
        <v>1109</v>
      </c>
      <c r="D223" s="776"/>
      <c r="E223" s="776"/>
      <c r="F223" s="776"/>
      <c r="G223" s="776"/>
      <c r="H223" s="776"/>
      <c r="I223" s="776"/>
      <c r="J223" s="776"/>
      <c r="K223" s="776"/>
      <c r="L223" s="776"/>
      <c r="M223" s="776"/>
      <c r="N223" s="776"/>
      <c r="O223" s="776"/>
      <c r="P223" s="343"/>
      <c r="Q223" s="776"/>
      <c r="R223" s="776"/>
      <c r="S223" s="776"/>
    </row>
    <row r="224" spans="1:19">
      <c r="A224" s="685"/>
      <c r="B224" s="776"/>
      <c r="C224" s="830">
        <v>2011</v>
      </c>
      <c r="D224" s="4"/>
      <c r="E224" s="4"/>
      <c r="F224" s="776"/>
      <c r="G224" s="776"/>
      <c r="H224" s="776"/>
      <c r="I224" s="776"/>
      <c r="J224" s="776"/>
      <c r="K224" s="776"/>
      <c r="L224" s="776"/>
      <c r="M224" s="776"/>
      <c r="N224" s="776"/>
      <c r="O224" s="776"/>
      <c r="P224" s="343"/>
      <c r="Q224" s="776"/>
      <c r="R224" s="16">
        <f>C224</f>
        <v>2011</v>
      </c>
      <c r="S224" s="776"/>
    </row>
    <row r="225" spans="1:19">
      <c r="A225" s="685"/>
      <c r="B225" s="776"/>
      <c r="C225" s="24" t="s">
        <v>1114</v>
      </c>
      <c r="D225" s="776"/>
      <c r="E225" s="776"/>
      <c r="F225" s="776"/>
      <c r="G225" s="776"/>
      <c r="H225" s="776"/>
      <c r="I225" s="776"/>
      <c r="J225" s="776"/>
      <c r="K225" s="776"/>
      <c r="L225" s="776"/>
      <c r="M225" s="776"/>
      <c r="N225" s="776"/>
      <c r="O225" s="776"/>
      <c r="P225" s="343"/>
      <c r="Q225" s="776"/>
      <c r="R225" s="776"/>
      <c r="S225" s="776"/>
    </row>
    <row r="226" spans="1:19">
      <c r="A226" s="685"/>
      <c r="B226" s="776"/>
      <c r="C226" s="1" t="s">
        <v>1113</v>
      </c>
      <c r="D226" s="776"/>
      <c r="E226" s="776"/>
      <c r="F226" s="776"/>
      <c r="G226" s="776"/>
      <c r="H226" s="776"/>
      <c r="I226" s="776"/>
      <c r="J226" s="776"/>
      <c r="K226" s="776"/>
      <c r="L226" s="776"/>
      <c r="M226" s="776"/>
      <c r="N226" s="776"/>
      <c r="O226" s="776"/>
      <c r="P226" s="343"/>
      <c r="Q226" s="776"/>
      <c r="R226" s="17">
        <f>R132</f>
        <v>129673</v>
      </c>
      <c r="S226" s="776"/>
    </row>
    <row r="227" spans="1:19">
      <c r="A227" s="685"/>
      <c r="B227" s="776"/>
      <c r="C227" s="776" t="s">
        <v>1108</v>
      </c>
      <c r="D227" s="776"/>
      <c r="E227" s="776"/>
      <c r="F227" s="776"/>
      <c r="G227" s="776"/>
      <c r="H227" s="776"/>
      <c r="I227" s="776"/>
      <c r="J227" s="776"/>
      <c r="K227" s="776"/>
      <c r="L227" s="776"/>
      <c r="M227" s="776"/>
      <c r="N227" s="776"/>
      <c r="O227" s="776"/>
      <c r="P227" s="343"/>
      <c r="Q227" s="776"/>
      <c r="R227" s="17">
        <f>R133</f>
        <v>5276138</v>
      </c>
      <c r="S227" s="776"/>
    </row>
    <row r="228" spans="1:19">
      <c r="A228" s="685"/>
      <c r="B228" s="776"/>
      <c r="C228" s="4" t="s">
        <v>1109</v>
      </c>
      <c r="D228" s="4"/>
      <c r="E228" s="4"/>
      <c r="F228" s="4"/>
      <c r="G228" s="4"/>
      <c r="H228" s="4"/>
      <c r="I228" s="4"/>
      <c r="J228" s="4"/>
      <c r="K228" s="4"/>
      <c r="L228" s="4"/>
      <c r="M228" s="4"/>
      <c r="N228" s="4"/>
      <c r="O228" s="4"/>
      <c r="P228" s="304"/>
      <c r="Q228" s="4"/>
      <c r="R228" s="4"/>
      <c r="S228" s="776"/>
    </row>
    <row r="229" spans="1:19">
      <c r="A229" s="685">
        <v>5</v>
      </c>
      <c r="B229" s="776"/>
      <c r="C229" s="133" t="s">
        <v>1115</v>
      </c>
      <c r="D229" s="133"/>
      <c r="E229" s="133"/>
      <c r="F229" s="815">
        <v>1999</v>
      </c>
      <c r="G229" s="815">
        <f>F229+1</f>
        <v>2000</v>
      </c>
      <c r="H229" s="815">
        <f t="shared" ref="H229:N229" si="57">G229+1</f>
        <v>2001</v>
      </c>
      <c r="I229" s="815">
        <f t="shared" si="57"/>
        <v>2002</v>
      </c>
      <c r="J229" s="815">
        <f t="shared" si="57"/>
        <v>2003</v>
      </c>
      <c r="K229" s="815">
        <f t="shared" si="57"/>
        <v>2004</v>
      </c>
      <c r="L229" s="815">
        <f t="shared" si="57"/>
        <v>2005</v>
      </c>
      <c r="M229" s="815">
        <f t="shared" si="57"/>
        <v>2006</v>
      </c>
      <c r="N229" s="815">
        <f t="shared" si="57"/>
        <v>2007</v>
      </c>
      <c r="O229" s="815">
        <f>N229+1</f>
        <v>2008</v>
      </c>
      <c r="P229" s="815">
        <f>O229+1</f>
        <v>2009</v>
      </c>
      <c r="Q229" s="815">
        <f>P229+1</f>
        <v>2010</v>
      </c>
      <c r="R229" s="815">
        <f>Q229+1</f>
        <v>2011</v>
      </c>
      <c r="S229" s="776"/>
    </row>
    <row r="230" spans="1:19">
      <c r="A230" s="685"/>
      <c r="B230" s="776"/>
      <c r="C230" s="776" t="s">
        <v>1116</v>
      </c>
      <c r="D230" s="776"/>
      <c r="E230" s="776"/>
      <c r="F230" s="17">
        <v>0</v>
      </c>
      <c r="G230" s="17">
        <v>1561355</v>
      </c>
      <c r="H230" s="17">
        <v>1673151</v>
      </c>
      <c r="I230" s="17">
        <v>1618158</v>
      </c>
      <c r="J230" s="17">
        <v>1662247</v>
      </c>
      <c r="K230" s="17">
        <v>2299802</v>
      </c>
      <c r="L230" s="17">
        <v>2401779</v>
      </c>
      <c r="M230" s="17">
        <v>2469080</v>
      </c>
      <c r="N230" s="17">
        <v>3446755</v>
      </c>
      <c r="O230" s="17">
        <v>4401790</v>
      </c>
      <c r="P230" s="17">
        <v>4204632</v>
      </c>
      <c r="Q230" s="17">
        <f>P248</f>
        <v>4284128</v>
      </c>
      <c r="R230" s="17">
        <f>Q248</f>
        <v>5070684</v>
      </c>
      <c r="S230" s="776"/>
    </row>
    <row r="231" spans="1:19">
      <c r="A231" s="685"/>
      <c r="B231" s="776"/>
      <c r="C231" s="776"/>
      <c r="D231" s="776"/>
      <c r="E231" s="776"/>
      <c r="F231" s="17"/>
      <c r="G231" s="17"/>
      <c r="H231" s="17"/>
      <c r="I231" s="17"/>
      <c r="J231" s="17"/>
      <c r="K231" s="17"/>
      <c r="L231" s="17"/>
      <c r="M231" s="17">
        <v>8691</v>
      </c>
      <c r="N231" s="17"/>
      <c r="O231" s="17"/>
      <c r="P231" s="17"/>
      <c r="Q231" s="17"/>
      <c r="R231" s="17"/>
      <c r="S231" s="776"/>
    </row>
    <row r="232" spans="1:19">
      <c r="A232" s="685"/>
      <c r="B232" s="776"/>
      <c r="C232" s="34" t="s">
        <v>1117</v>
      </c>
      <c r="D232" s="776"/>
      <c r="E232" s="776"/>
      <c r="F232" s="17">
        <v>110340</v>
      </c>
      <c r="G232" s="17">
        <v>96334</v>
      </c>
      <c r="H232" s="17">
        <v>125100</v>
      </c>
      <c r="I232" s="17">
        <v>84046</v>
      </c>
      <c r="J232" s="17">
        <v>109314</v>
      </c>
      <c r="K232" s="17">
        <v>132905</v>
      </c>
      <c r="L232" s="17">
        <v>218228</v>
      </c>
      <c r="M232" s="835">
        <v>856836</v>
      </c>
      <c r="N232" s="17">
        <v>241230</v>
      </c>
      <c r="O232" s="17">
        <v>128678</v>
      </c>
      <c r="P232" s="17">
        <v>89263</v>
      </c>
      <c r="Q232" s="17">
        <v>184049</v>
      </c>
      <c r="R232" s="17">
        <v>303111</v>
      </c>
      <c r="S232" s="776"/>
    </row>
    <row r="233" spans="1:19">
      <c r="A233" s="685"/>
      <c r="B233" s="776"/>
      <c r="C233" s="34" t="s">
        <v>90</v>
      </c>
      <c r="D233" s="776"/>
      <c r="E233" s="776"/>
      <c r="F233" s="17"/>
      <c r="G233" s="17"/>
      <c r="H233" s="17"/>
      <c r="I233" s="17"/>
      <c r="J233" s="17"/>
      <c r="K233" s="17"/>
      <c r="L233" s="17"/>
      <c r="M233" s="17"/>
      <c r="N233" s="17"/>
      <c r="O233" s="17">
        <v>-116</v>
      </c>
      <c r="P233" s="17"/>
      <c r="Q233" s="17"/>
      <c r="R233" s="17"/>
      <c r="S233" s="776"/>
    </row>
    <row r="234" spans="1:19">
      <c r="A234" s="685"/>
      <c r="B234" s="776"/>
      <c r="C234" s="34" t="s">
        <v>552</v>
      </c>
      <c r="D234" s="776"/>
      <c r="E234" s="776"/>
      <c r="F234" s="17"/>
      <c r="G234" s="17"/>
      <c r="H234" s="17">
        <v>1387</v>
      </c>
      <c r="I234" s="17">
        <v>-8957</v>
      </c>
      <c r="J234" s="17">
        <v>5471</v>
      </c>
      <c r="K234" s="17">
        <v>-13528</v>
      </c>
      <c r="L234" s="17">
        <v>-2097</v>
      </c>
      <c r="M234" s="17">
        <v>-9159</v>
      </c>
      <c r="N234" s="17">
        <v>-2</v>
      </c>
      <c r="O234" s="17">
        <v>81</v>
      </c>
      <c r="P234" s="17">
        <v>255</v>
      </c>
      <c r="Q234" s="17">
        <v>-3060</v>
      </c>
      <c r="R234" s="17">
        <v>2065</v>
      </c>
      <c r="S234" s="776"/>
    </row>
    <row r="235" spans="1:19">
      <c r="A235" s="685"/>
      <c r="B235" s="776"/>
      <c r="C235" s="34" t="s">
        <v>404</v>
      </c>
      <c r="D235" s="776"/>
      <c r="E235" s="776"/>
      <c r="F235" s="17"/>
      <c r="G235" s="17"/>
      <c r="H235" s="17"/>
      <c r="I235" s="17"/>
      <c r="J235" s="17"/>
      <c r="K235" s="17"/>
      <c r="L235" s="17"/>
      <c r="M235" s="17"/>
      <c r="N235" s="17">
        <v>-18944</v>
      </c>
      <c r="O235" s="17">
        <v>-26668</v>
      </c>
      <c r="P235" s="17">
        <v>26896</v>
      </c>
      <c r="Q235" s="17">
        <v>-24279</v>
      </c>
      <c r="R235" s="17">
        <v>-1217</v>
      </c>
      <c r="S235" s="776"/>
    </row>
    <row r="236" spans="1:19">
      <c r="A236" s="685"/>
      <c r="B236" s="776"/>
      <c r="C236" s="34" t="s">
        <v>1118</v>
      </c>
      <c r="D236" s="776"/>
      <c r="E236" s="776"/>
      <c r="F236" s="17"/>
      <c r="G236" s="17"/>
      <c r="H236" s="17"/>
      <c r="I236" s="17"/>
      <c r="J236" s="17"/>
      <c r="K236" s="17"/>
      <c r="L236" s="17"/>
      <c r="M236" s="17"/>
      <c r="N236" s="17"/>
      <c r="O236" s="17"/>
      <c r="P236" s="17"/>
      <c r="Q236" s="17">
        <v>33087</v>
      </c>
      <c r="R236" s="17"/>
      <c r="S236" s="776"/>
    </row>
    <row r="237" spans="1:19">
      <c r="A237" s="685"/>
      <c r="B237" s="776"/>
      <c r="C237" s="34" t="s">
        <v>446</v>
      </c>
      <c r="D237" s="776"/>
      <c r="E237" s="776"/>
      <c r="F237" s="17"/>
      <c r="G237" s="17"/>
      <c r="H237" s="17"/>
      <c r="I237" s="17"/>
      <c r="J237" s="17"/>
      <c r="K237" s="17"/>
      <c r="L237" s="17"/>
      <c r="M237" s="17"/>
      <c r="N237" s="17">
        <v>538</v>
      </c>
      <c r="O237" s="17">
        <v>-2217</v>
      </c>
      <c r="P237" s="17">
        <v>1258</v>
      </c>
      <c r="Q237" s="17">
        <v>8</v>
      </c>
      <c r="R237" s="17">
        <v>-311</v>
      </c>
      <c r="S237" s="776"/>
    </row>
    <row r="238" spans="1:19">
      <c r="A238" s="685"/>
      <c r="B238" s="776"/>
      <c r="C238" s="836" t="s">
        <v>504</v>
      </c>
      <c r="D238" s="44"/>
      <c r="E238" s="44"/>
      <c r="F238" s="17"/>
      <c r="G238" s="796">
        <v>77813</v>
      </c>
      <c r="H238" s="794"/>
      <c r="I238" s="794"/>
      <c r="J238" s="796">
        <v>600000</v>
      </c>
      <c r="K238" s="794"/>
      <c r="L238" s="794"/>
      <c r="M238" s="796">
        <v>1800000</v>
      </c>
      <c r="N238" s="796">
        <v>1455000</v>
      </c>
      <c r="O238" s="794"/>
      <c r="P238" s="794"/>
      <c r="Q238" s="796">
        <v>1213663</v>
      </c>
      <c r="R238" s="796">
        <v>129673</v>
      </c>
      <c r="S238" s="776"/>
    </row>
    <row r="239" spans="1:19">
      <c r="A239" s="685"/>
      <c r="B239" s="776"/>
      <c r="C239" s="836" t="s">
        <v>1119</v>
      </c>
      <c r="D239" s="44"/>
      <c r="E239" s="44"/>
      <c r="F239" s="17"/>
      <c r="G239" s="17"/>
      <c r="H239" s="17"/>
      <c r="I239" s="17"/>
      <c r="J239" s="17"/>
      <c r="K239" s="17"/>
      <c r="L239" s="17"/>
      <c r="M239" s="17"/>
      <c r="N239" s="17">
        <v>7006</v>
      </c>
      <c r="O239" s="17"/>
      <c r="P239" s="17"/>
      <c r="Q239" s="17"/>
      <c r="R239" s="17"/>
      <c r="S239" s="776"/>
    </row>
    <row r="240" spans="1:19">
      <c r="A240" s="685"/>
      <c r="B240" s="776"/>
      <c r="C240" s="836" t="s">
        <v>10</v>
      </c>
      <c r="D240" s="44"/>
      <c r="E240" s="44"/>
      <c r="F240" s="17"/>
      <c r="G240" s="17"/>
      <c r="H240" s="17"/>
      <c r="I240" s="17"/>
      <c r="J240" s="17"/>
      <c r="K240" s="17"/>
      <c r="L240" s="17"/>
      <c r="M240" s="17"/>
      <c r="N240" s="796">
        <v>-476073</v>
      </c>
      <c r="O240" s="17"/>
      <c r="P240" s="17"/>
      <c r="Q240" s="17"/>
      <c r="R240" s="17"/>
      <c r="S240" s="776"/>
    </row>
    <row r="241" spans="1:19">
      <c r="A241" s="685"/>
      <c r="B241" s="776"/>
      <c r="C241" s="836" t="s">
        <v>1120</v>
      </c>
      <c r="D241" s="44"/>
      <c r="E241" s="44"/>
      <c r="F241" s="17"/>
      <c r="G241" s="17"/>
      <c r="H241" s="17"/>
      <c r="I241" s="17"/>
      <c r="J241" s="17"/>
      <c r="K241" s="17"/>
      <c r="L241" s="17"/>
      <c r="M241" s="17"/>
      <c r="N241" s="796">
        <v>114173</v>
      </c>
      <c r="O241" s="17"/>
      <c r="P241" s="17"/>
      <c r="Q241" s="796">
        <v>103299</v>
      </c>
      <c r="R241" s="796">
        <v>2580</v>
      </c>
      <c r="S241" s="776"/>
    </row>
    <row r="242" spans="1:19">
      <c r="A242" s="685"/>
      <c r="B242" s="776"/>
      <c r="C242" s="836" t="s">
        <v>1121</v>
      </c>
      <c r="D242" s="44"/>
      <c r="E242" s="44"/>
      <c r="F242" s="17"/>
      <c r="G242" s="17"/>
      <c r="H242" s="17"/>
      <c r="I242" s="17"/>
      <c r="J242" s="17"/>
      <c r="K242" s="17"/>
      <c r="L242" s="17"/>
      <c r="M242" s="17"/>
      <c r="N242" s="794"/>
      <c r="O242" s="17"/>
      <c r="P242" s="17"/>
      <c r="Q242" s="794"/>
      <c r="R242" s="796">
        <v>147153</v>
      </c>
      <c r="S242" s="776"/>
    </row>
    <row r="243" spans="1:19">
      <c r="A243" s="685"/>
      <c r="B243" s="776"/>
      <c r="C243" s="34" t="s">
        <v>1122</v>
      </c>
      <c r="D243" s="776"/>
      <c r="E243" s="776"/>
      <c r="F243" s="17">
        <v>1600000</v>
      </c>
      <c r="G243" s="17"/>
      <c r="H243" s="17"/>
      <c r="I243" s="17"/>
      <c r="J243" s="17"/>
      <c r="K243" s="17"/>
      <c r="L243" s="17"/>
      <c r="M243" s="17"/>
      <c r="N243" s="17"/>
      <c r="O243" s="17"/>
      <c r="P243" s="17"/>
      <c r="Q243" s="17"/>
      <c r="R243" s="17"/>
      <c r="S243" s="776"/>
    </row>
    <row r="244" spans="1:19">
      <c r="A244" s="685"/>
      <c r="B244" s="776"/>
      <c r="C244" s="34" t="s">
        <v>1123</v>
      </c>
      <c r="D244" s="776"/>
      <c r="E244" s="776"/>
      <c r="F244" s="27"/>
      <c r="G244" s="27"/>
      <c r="H244" s="27"/>
      <c r="I244" s="27"/>
      <c r="J244" s="27"/>
      <c r="K244" s="27"/>
      <c r="L244" s="27"/>
      <c r="M244" s="27"/>
      <c r="N244" s="27"/>
      <c r="O244" s="27"/>
      <c r="P244" s="27">
        <v>-8274</v>
      </c>
      <c r="Q244" s="27">
        <v>-366738</v>
      </c>
      <c r="R244" s="27">
        <v>-38691</v>
      </c>
      <c r="S244" s="776"/>
    </row>
    <row r="245" spans="1:19">
      <c r="A245" s="685"/>
      <c r="B245" s="776"/>
      <c r="C245" s="34"/>
      <c r="D245" s="776"/>
      <c r="E245" s="776"/>
      <c r="F245" s="17">
        <f>SUM(F231:F244)</f>
        <v>1710340</v>
      </c>
      <c r="G245" s="17">
        <f t="shared" ref="G245:R245" si="58">SUM(G231:G244)</f>
        <v>174147</v>
      </c>
      <c r="H245" s="17">
        <f t="shared" si="58"/>
        <v>126487</v>
      </c>
      <c r="I245" s="17">
        <f t="shared" si="58"/>
        <v>75089</v>
      </c>
      <c r="J245" s="17">
        <f t="shared" si="58"/>
        <v>714785</v>
      </c>
      <c r="K245" s="17">
        <f t="shared" si="58"/>
        <v>119377</v>
      </c>
      <c r="L245" s="17">
        <f t="shared" si="58"/>
        <v>216131</v>
      </c>
      <c r="M245" s="17">
        <f t="shared" si="58"/>
        <v>2656368</v>
      </c>
      <c r="N245" s="17">
        <f t="shared" si="58"/>
        <v>1322928</v>
      </c>
      <c r="O245" s="17">
        <f t="shared" si="58"/>
        <v>99758</v>
      </c>
      <c r="P245" s="17">
        <f t="shared" si="58"/>
        <v>109398</v>
      </c>
      <c r="Q245" s="17">
        <f t="shared" si="58"/>
        <v>1140029</v>
      </c>
      <c r="R245" s="17">
        <f t="shared" si="58"/>
        <v>544363</v>
      </c>
      <c r="S245" s="776"/>
    </row>
    <row r="246" spans="1:19">
      <c r="A246" s="685"/>
      <c r="B246" s="776"/>
      <c r="C246" s="34" t="s">
        <v>1124</v>
      </c>
      <c r="D246" s="776"/>
      <c r="E246" s="776"/>
      <c r="F246" s="17"/>
      <c r="G246" s="17"/>
      <c r="H246" s="17"/>
      <c r="I246" s="17"/>
      <c r="J246" s="17"/>
      <c r="K246" s="17"/>
      <c r="L246" s="17"/>
      <c r="M246" s="17"/>
      <c r="N246" s="17"/>
      <c r="O246" s="17">
        <v>981</v>
      </c>
      <c r="P246" s="17">
        <v>98</v>
      </c>
      <c r="Q246" s="17">
        <v>19</v>
      </c>
      <c r="R246" s="17">
        <v>-101</v>
      </c>
      <c r="S246" s="776"/>
    </row>
    <row r="247" spans="1:19">
      <c r="A247" s="685"/>
      <c r="B247" s="776"/>
      <c r="C247" s="34" t="s">
        <v>256</v>
      </c>
      <c r="D247" s="776"/>
      <c r="E247" s="776"/>
      <c r="F247" s="17">
        <v>-148985</v>
      </c>
      <c r="G247" s="17">
        <v>-62351</v>
      </c>
      <c r="H247" s="17">
        <v>-181480</v>
      </c>
      <c r="I247" s="17">
        <v>-31000</v>
      </c>
      <c r="J247" s="17">
        <v>-77230</v>
      </c>
      <c r="K247" s="17">
        <v>-17400</v>
      </c>
      <c r="L247" s="17">
        <v>-148830</v>
      </c>
      <c r="M247" s="17">
        <v>-879406</v>
      </c>
      <c r="N247" s="17">
        <v>-367893</v>
      </c>
      <c r="O247" s="17">
        <v>-297897</v>
      </c>
      <c r="P247" s="17">
        <v>-30000</v>
      </c>
      <c r="Q247" s="17">
        <v>-353492</v>
      </c>
      <c r="R247" s="17">
        <v>-683644</v>
      </c>
      <c r="S247" s="776"/>
    </row>
    <row r="248" spans="1:19" ht="13.5" thickBot="1">
      <c r="A248" s="685"/>
      <c r="B248" s="776"/>
      <c r="C248" s="776" t="s">
        <v>1125</v>
      </c>
      <c r="D248" s="776"/>
      <c r="E248" s="776"/>
      <c r="F248" s="747">
        <f t="shared" ref="F248:R248" si="59">F230+F245+F246+F247</f>
        <v>1561355</v>
      </c>
      <c r="G248" s="747">
        <f t="shared" si="59"/>
        <v>1673151</v>
      </c>
      <c r="H248" s="747">
        <f t="shared" si="59"/>
        <v>1618158</v>
      </c>
      <c r="I248" s="747">
        <f t="shared" si="59"/>
        <v>1662247</v>
      </c>
      <c r="J248" s="747">
        <f t="shared" si="59"/>
        <v>2299802</v>
      </c>
      <c r="K248" s="747">
        <f t="shared" si="59"/>
        <v>2401779</v>
      </c>
      <c r="L248" s="747">
        <f t="shared" si="59"/>
        <v>2469080</v>
      </c>
      <c r="M248" s="747">
        <f t="shared" si="59"/>
        <v>4246042</v>
      </c>
      <c r="N248" s="747">
        <f t="shared" si="59"/>
        <v>4401790</v>
      </c>
      <c r="O248" s="747">
        <f t="shared" si="59"/>
        <v>4204632</v>
      </c>
      <c r="P248" s="747">
        <f t="shared" si="59"/>
        <v>4284128</v>
      </c>
      <c r="Q248" s="747">
        <f t="shared" si="59"/>
        <v>5070684</v>
      </c>
      <c r="R248" s="747">
        <f t="shared" si="59"/>
        <v>4931302</v>
      </c>
      <c r="S248" s="17">
        <f>R248-R52</f>
        <v>898</v>
      </c>
    </row>
    <row r="249" spans="1:19" ht="13.5" thickTop="1">
      <c r="A249" s="685">
        <v>6</v>
      </c>
      <c r="B249" s="776"/>
      <c r="C249" s="837" t="s">
        <v>1126</v>
      </c>
      <c r="D249" s="837"/>
      <c r="E249" s="837"/>
      <c r="F249" s="815">
        <v>1999</v>
      </c>
      <c r="G249" s="815">
        <f>F249+1</f>
        <v>2000</v>
      </c>
      <c r="H249" s="815">
        <f t="shared" ref="H249:N249" si="60">G249+1</f>
        <v>2001</v>
      </c>
      <c r="I249" s="815">
        <f t="shared" si="60"/>
        <v>2002</v>
      </c>
      <c r="J249" s="815">
        <f t="shared" si="60"/>
        <v>2003</v>
      </c>
      <c r="K249" s="815">
        <f t="shared" si="60"/>
        <v>2004</v>
      </c>
      <c r="L249" s="815">
        <f t="shared" si="60"/>
        <v>2005</v>
      </c>
      <c r="M249" s="815">
        <f t="shared" si="60"/>
        <v>2006</v>
      </c>
      <c r="N249" s="815">
        <f t="shared" si="60"/>
        <v>2007</v>
      </c>
      <c r="O249" s="815">
        <f>N249+1</f>
        <v>2008</v>
      </c>
      <c r="P249" s="815">
        <f>O249+1</f>
        <v>2009</v>
      </c>
      <c r="Q249" s="815">
        <f>P249+1</f>
        <v>2010</v>
      </c>
      <c r="R249" s="815">
        <f>Q249+1</f>
        <v>2011</v>
      </c>
      <c r="S249" s="776"/>
    </row>
    <row r="250" spans="1:19">
      <c r="A250" s="685"/>
      <c r="B250" s="776"/>
      <c r="C250" s="776" t="s">
        <v>544</v>
      </c>
      <c r="D250" s="776"/>
      <c r="E250" s="776"/>
      <c r="F250" s="11">
        <f t="shared" ref="F250:R250" si="61">F40</f>
        <v>5014</v>
      </c>
      <c r="G250" s="11">
        <f t="shared" si="61"/>
        <v>28728</v>
      </c>
      <c r="H250" s="11">
        <f t="shared" si="61"/>
        <v>66401</v>
      </c>
      <c r="I250" s="11">
        <f t="shared" si="61"/>
        <v>92031</v>
      </c>
      <c r="J250" s="11">
        <f t="shared" si="61"/>
        <v>138871</v>
      </c>
      <c r="K250" s="11">
        <f t="shared" si="61"/>
        <v>145260</v>
      </c>
      <c r="L250" s="11">
        <f t="shared" si="61"/>
        <v>179168</v>
      </c>
      <c r="M250" s="11">
        <f t="shared" si="61"/>
        <v>970959</v>
      </c>
      <c r="N250" s="11">
        <f t="shared" si="61"/>
        <v>1331772</v>
      </c>
      <c r="O250" s="11">
        <f t="shared" si="61"/>
        <v>1329478</v>
      </c>
      <c r="P250" s="11">
        <f t="shared" si="61"/>
        <v>1301231</v>
      </c>
      <c r="Q250" s="11">
        <f t="shared" si="61"/>
        <v>1559507</v>
      </c>
      <c r="R250" s="11">
        <f t="shared" si="61"/>
        <v>1412330</v>
      </c>
      <c r="S250" s="776"/>
    </row>
    <row r="251" spans="1:19">
      <c r="A251" s="685"/>
      <c r="B251" s="776"/>
      <c r="C251" s="776" t="s">
        <v>1127</v>
      </c>
      <c r="D251" s="776"/>
      <c r="E251" s="776"/>
      <c r="F251" s="776"/>
      <c r="G251" s="776"/>
      <c r="H251" s="776"/>
      <c r="I251" s="776"/>
      <c r="J251" s="776"/>
      <c r="K251" s="776"/>
      <c r="L251" s="776"/>
      <c r="M251" s="776"/>
      <c r="N251" s="776"/>
      <c r="O251" s="776"/>
      <c r="P251" s="776"/>
      <c r="Q251" s="776"/>
      <c r="R251" s="776"/>
      <c r="S251" s="776"/>
    </row>
    <row r="252" spans="1:19">
      <c r="A252" s="685"/>
      <c r="B252" s="776"/>
      <c r="C252" s="776" t="s">
        <v>1128</v>
      </c>
      <c r="D252" s="776"/>
      <c r="E252" s="776"/>
      <c r="F252" s="27">
        <v>0</v>
      </c>
      <c r="G252" s="27">
        <v>5014</v>
      </c>
      <c r="H252" s="27">
        <f t="shared" ref="H252:M252" si="62">G257</f>
        <v>28728</v>
      </c>
      <c r="I252" s="27">
        <f t="shared" si="62"/>
        <v>66401</v>
      </c>
      <c r="J252" s="27">
        <f t="shared" si="62"/>
        <v>92031</v>
      </c>
      <c r="K252" s="27">
        <f t="shared" si="62"/>
        <v>138871</v>
      </c>
      <c r="L252" s="27">
        <f t="shared" si="62"/>
        <v>145260</v>
      </c>
      <c r="M252" s="27">
        <f t="shared" si="62"/>
        <v>179168</v>
      </c>
      <c r="N252" s="27"/>
      <c r="O252" s="27"/>
      <c r="P252" s="27"/>
      <c r="Q252" s="27"/>
      <c r="R252" s="27"/>
      <c r="S252" s="776"/>
    </row>
    <row r="253" spans="1:19">
      <c r="A253" s="685"/>
      <c r="B253" s="776"/>
      <c r="C253" s="776" t="s">
        <v>437</v>
      </c>
      <c r="D253" s="776"/>
      <c r="E253" s="776"/>
      <c r="F253" s="17"/>
      <c r="G253" s="17"/>
      <c r="H253" s="17">
        <v>12187</v>
      </c>
      <c r="I253" s="17"/>
      <c r="J253" s="17">
        <v>21576</v>
      </c>
      <c r="K253" s="17"/>
      <c r="L253" s="17"/>
      <c r="M253" s="17"/>
      <c r="N253" s="17"/>
      <c r="O253" s="17"/>
      <c r="P253" s="17"/>
      <c r="Q253" s="776"/>
      <c r="R253" s="776"/>
      <c r="S253" s="776"/>
    </row>
    <row r="254" spans="1:19">
      <c r="A254" s="685"/>
      <c r="B254" s="776"/>
      <c r="C254" s="776" t="s">
        <v>435</v>
      </c>
      <c r="D254" s="776"/>
      <c r="E254" s="776"/>
      <c r="F254" s="17">
        <v>5014</v>
      </c>
      <c r="G254" s="17">
        <v>23714</v>
      </c>
      <c r="H254" s="17">
        <v>25486</v>
      </c>
      <c r="I254" s="17">
        <v>26554</v>
      </c>
      <c r="J254" s="17">
        <v>24702</v>
      </c>
      <c r="K254" s="17">
        <v>8037</v>
      </c>
      <c r="L254" s="17">
        <v>34138</v>
      </c>
      <c r="M254" s="17">
        <v>-3498</v>
      </c>
      <c r="N254" s="17"/>
      <c r="O254" s="17"/>
      <c r="P254" s="17"/>
      <c r="Q254" s="776"/>
      <c r="R254" s="776"/>
      <c r="S254" s="776"/>
    </row>
    <row r="255" spans="1:19">
      <c r="A255" s="685"/>
      <c r="B255" s="776"/>
      <c r="C255" s="776" t="s">
        <v>345</v>
      </c>
      <c r="D255" s="776"/>
      <c r="E255" s="776"/>
      <c r="F255" s="17"/>
      <c r="G255" s="17"/>
      <c r="H255" s="17"/>
      <c r="I255" s="17">
        <v>-924</v>
      </c>
      <c r="J255" s="17">
        <v>562</v>
      </c>
      <c r="K255" s="17">
        <v>-1648</v>
      </c>
      <c r="L255" s="17">
        <v>-230</v>
      </c>
      <c r="M255" s="17">
        <v>-716</v>
      </c>
      <c r="N255" s="17"/>
      <c r="O255" s="17"/>
      <c r="P255" s="17"/>
      <c r="Q255" s="776"/>
      <c r="R255" s="776"/>
      <c r="S255" s="776"/>
    </row>
    <row r="256" spans="1:19">
      <c r="A256" s="685"/>
      <c r="B256" s="776"/>
      <c r="C256" s="776" t="s">
        <v>1129</v>
      </c>
      <c r="D256" s="776"/>
      <c r="E256" s="776"/>
      <c r="F256" s="27"/>
      <c r="G256" s="27"/>
      <c r="H256" s="27"/>
      <c r="I256" s="27"/>
      <c r="J256" s="27"/>
      <c r="K256" s="27"/>
      <c r="L256" s="27"/>
      <c r="M256" s="838">
        <v>-22865</v>
      </c>
      <c r="N256" s="17"/>
      <c r="O256" s="17"/>
      <c r="P256" s="17"/>
      <c r="Q256" s="776"/>
      <c r="R256" s="776"/>
      <c r="S256" s="776" t="s">
        <v>1130</v>
      </c>
    </row>
    <row r="257" spans="1:19">
      <c r="A257" s="685"/>
      <c r="B257" s="776"/>
      <c r="C257" s="776" t="s">
        <v>1131</v>
      </c>
      <c r="D257" s="776"/>
      <c r="E257" s="776"/>
      <c r="F257" s="17">
        <f t="shared" ref="F257:M257" si="63">SUM(F252:F256)</f>
        <v>5014</v>
      </c>
      <c r="G257" s="17">
        <f t="shared" si="63"/>
        <v>28728</v>
      </c>
      <c r="H257" s="17">
        <f t="shared" si="63"/>
        <v>66401</v>
      </c>
      <c r="I257" s="17">
        <f t="shared" si="63"/>
        <v>92031</v>
      </c>
      <c r="J257" s="17">
        <f t="shared" si="63"/>
        <v>138871</v>
      </c>
      <c r="K257" s="17">
        <f t="shared" si="63"/>
        <v>145260</v>
      </c>
      <c r="L257" s="17">
        <f t="shared" si="63"/>
        <v>179168</v>
      </c>
      <c r="M257" s="17">
        <f t="shared" si="63"/>
        <v>152089</v>
      </c>
      <c r="N257" s="17"/>
      <c r="O257" s="17"/>
      <c r="P257" s="17"/>
      <c r="Q257" s="776"/>
      <c r="R257" s="776"/>
      <c r="S257" s="776"/>
    </row>
    <row r="258" spans="1:19">
      <c r="A258" s="685"/>
      <c r="B258" s="776"/>
      <c r="C258" s="776"/>
      <c r="D258" s="776"/>
      <c r="E258" s="776"/>
      <c r="F258" s="17"/>
      <c r="G258" s="17"/>
      <c r="H258" s="17"/>
      <c r="I258" s="17"/>
      <c r="J258" s="17"/>
      <c r="K258" s="17"/>
      <c r="L258" s="17"/>
      <c r="M258" s="839">
        <v>38899</v>
      </c>
      <c r="N258" s="17"/>
      <c r="O258" s="17"/>
      <c r="P258" s="17"/>
      <c r="Q258" s="776"/>
      <c r="R258" s="776"/>
      <c r="S258" s="776"/>
    </row>
    <row r="259" spans="1:19">
      <c r="A259" s="685"/>
      <c r="B259" s="776"/>
      <c r="C259" s="776" t="s">
        <v>1132</v>
      </c>
      <c r="D259" s="776"/>
      <c r="E259" s="776"/>
      <c r="F259" s="17"/>
      <c r="G259" s="17"/>
      <c r="H259" s="17"/>
      <c r="I259" s="17"/>
      <c r="J259" s="17"/>
      <c r="K259" s="17"/>
      <c r="L259" s="17"/>
      <c r="M259" s="27">
        <f>M257</f>
        <v>152089</v>
      </c>
      <c r="N259" s="27">
        <f>M276</f>
        <v>970959</v>
      </c>
      <c r="O259" s="27">
        <f>N276</f>
        <v>1331735</v>
      </c>
      <c r="P259" s="27">
        <f>O276</f>
        <v>1328356</v>
      </c>
      <c r="Q259" s="27">
        <f>P276</f>
        <v>1300782</v>
      </c>
      <c r="R259" s="27">
        <f>Q276</f>
        <v>1556108</v>
      </c>
      <c r="S259" s="776"/>
    </row>
    <row r="260" spans="1:19">
      <c r="A260" s="685"/>
      <c r="B260" s="776"/>
      <c r="C260" s="776" t="s">
        <v>315</v>
      </c>
      <c r="D260" s="776"/>
      <c r="E260" s="776"/>
      <c r="F260" s="17"/>
      <c r="G260" s="17"/>
      <c r="H260" s="17"/>
      <c r="I260" s="17"/>
      <c r="J260" s="17"/>
      <c r="K260" s="776"/>
      <c r="L260" s="17"/>
      <c r="M260" s="17">
        <f>M257-M259</f>
        <v>0</v>
      </c>
      <c r="N260" s="17">
        <f>-132</f>
        <v>-132</v>
      </c>
      <c r="O260" s="776"/>
      <c r="P260" s="17"/>
      <c r="Q260" s="776"/>
      <c r="R260" s="776"/>
      <c r="S260" s="776"/>
    </row>
    <row r="261" spans="1:19">
      <c r="A261" s="685"/>
      <c r="B261" s="776"/>
      <c r="C261" s="776" t="s">
        <v>435</v>
      </c>
      <c r="D261" s="776"/>
      <c r="E261" s="776"/>
      <c r="F261" s="17"/>
      <c r="G261" s="17"/>
      <c r="H261" s="17"/>
      <c r="I261" s="17"/>
      <c r="J261" s="17"/>
      <c r="K261" s="17"/>
      <c r="L261" s="17"/>
      <c r="M261" s="17"/>
      <c r="N261" s="17">
        <v>11328</v>
      </c>
      <c r="O261" s="17">
        <v>11507</v>
      </c>
      <c r="P261" s="17">
        <v>-35128</v>
      </c>
      <c r="Q261" s="17">
        <v>-16032</v>
      </c>
      <c r="R261" s="17">
        <v>-37604</v>
      </c>
      <c r="S261" s="776"/>
    </row>
    <row r="262" spans="1:19">
      <c r="A262" s="685"/>
      <c r="B262" s="776"/>
      <c r="C262" s="776" t="s">
        <v>349</v>
      </c>
      <c r="D262" s="776"/>
      <c r="E262" s="776"/>
      <c r="F262" s="17"/>
      <c r="G262" s="17"/>
      <c r="H262" s="17"/>
      <c r="I262" s="17"/>
      <c r="J262" s="17"/>
      <c r="K262" s="17"/>
      <c r="L262" s="17"/>
      <c r="M262" s="17"/>
      <c r="N262" s="17">
        <v>476073</v>
      </c>
      <c r="O262" s="17">
        <v>-13341</v>
      </c>
      <c r="P262" s="17">
        <v>8274</v>
      </c>
      <c r="Q262" s="17">
        <v>366738</v>
      </c>
      <c r="R262" s="17">
        <v>38691</v>
      </c>
      <c r="S262" s="776"/>
    </row>
    <row r="263" spans="1:19">
      <c r="A263" s="685"/>
      <c r="B263" s="776"/>
      <c r="C263" s="776" t="s">
        <v>1133</v>
      </c>
      <c r="D263" s="776"/>
      <c r="E263" s="776"/>
      <c r="F263" s="17"/>
      <c r="G263" s="17"/>
      <c r="H263" s="17"/>
      <c r="I263" s="17"/>
      <c r="J263" s="17"/>
      <c r="K263" s="17"/>
      <c r="L263" s="17"/>
      <c r="M263" s="17"/>
      <c r="N263" s="17"/>
      <c r="O263" s="17"/>
      <c r="P263" s="17"/>
      <c r="Q263" s="17">
        <v>2613</v>
      </c>
      <c r="R263" s="17">
        <v>0</v>
      </c>
      <c r="S263" s="776"/>
    </row>
    <row r="264" spans="1:19">
      <c r="A264" s="685"/>
      <c r="B264" s="776"/>
      <c r="C264" s="44" t="s">
        <v>1134</v>
      </c>
      <c r="D264" s="44"/>
      <c r="E264" s="776"/>
      <c r="F264" s="17"/>
      <c r="G264" s="17"/>
      <c r="H264" s="17"/>
      <c r="I264" s="17"/>
      <c r="J264" s="17"/>
      <c r="K264" s="17"/>
      <c r="L264" s="17"/>
      <c r="M264" s="17"/>
      <c r="N264" s="17"/>
      <c r="O264" s="17"/>
      <c r="P264" s="17"/>
      <c r="Q264" s="17"/>
      <c r="R264" s="17"/>
      <c r="S264" s="776"/>
    </row>
    <row r="265" spans="1:19">
      <c r="A265" s="685"/>
      <c r="B265" s="776"/>
      <c r="C265" s="836" t="s">
        <v>534</v>
      </c>
      <c r="D265" s="44"/>
      <c r="E265" s="776"/>
      <c r="F265" s="17"/>
      <c r="G265" s="17"/>
      <c r="H265" s="17"/>
      <c r="I265" s="17"/>
      <c r="J265" s="17"/>
      <c r="K265" s="17"/>
      <c r="L265" s="17"/>
      <c r="M265" s="17"/>
      <c r="N265" s="17"/>
      <c r="O265" s="17"/>
      <c r="P265" s="17"/>
      <c r="Q265" s="17"/>
      <c r="R265" s="796">
        <v>17410</v>
      </c>
      <c r="S265" s="776"/>
    </row>
    <row r="266" spans="1:19">
      <c r="A266" s="685"/>
      <c r="B266" s="776"/>
      <c r="C266" s="836" t="s">
        <v>349</v>
      </c>
      <c r="D266" s="44"/>
      <c r="E266" s="776"/>
      <c r="F266" s="17"/>
      <c r="G266" s="17"/>
      <c r="H266" s="17"/>
      <c r="I266" s="17"/>
      <c r="J266" s="17"/>
      <c r="K266" s="17"/>
      <c r="L266" s="17"/>
      <c r="M266" s="17"/>
      <c r="N266" s="17"/>
      <c r="O266" s="17"/>
      <c r="P266" s="17"/>
      <c r="Q266" s="17"/>
      <c r="R266" s="796">
        <v>-147153</v>
      </c>
      <c r="S266" s="17">
        <f>S267-R267</f>
        <v>-129743</v>
      </c>
    </row>
    <row r="267" spans="1:19">
      <c r="A267" s="685"/>
      <c r="B267" s="776"/>
      <c r="C267" s="836" t="s">
        <v>335</v>
      </c>
      <c r="D267" s="44"/>
      <c r="E267" s="776"/>
      <c r="F267" s="17"/>
      <c r="G267" s="17"/>
      <c r="H267" s="17"/>
      <c r="I267" s="17"/>
      <c r="J267" s="17"/>
      <c r="K267" s="17"/>
      <c r="L267" s="17"/>
      <c r="M267" s="17"/>
      <c r="N267" s="17"/>
      <c r="O267" s="17"/>
      <c r="P267" s="17"/>
      <c r="Q267" s="17"/>
      <c r="R267" s="796">
        <v>-22899</v>
      </c>
      <c r="S267" s="17">
        <f>SUM(R265:R267)</f>
        <v>-152642</v>
      </c>
    </row>
    <row r="268" spans="1:19">
      <c r="A268" s="685"/>
      <c r="B268" s="776"/>
      <c r="C268" s="776" t="s">
        <v>386</v>
      </c>
      <c r="D268" s="776"/>
      <c r="E268" s="776"/>
      <c r="F268" s="17"/>
      <c r="G268" s="17"/>
      <c r="H268" s="17"/>
      <c r="I268" s="17"/>
      <c r="J268" s="17"/>
      <c r="K268" s="17"/>
      <c r="L268" s="17"/>
      <c r="M268" s="17"/>
      <c r="N268" s="17">
        <v>4424</v>
      </c>
      <c r="O268" s="17">
        <v>0</v>
      </c>
      <c r="P268" s="17"/>
      <c r="Q268" s="776"/>
      <c r="R268" s="17"/>
      <c r="S268" s="776"/>
    </row>
    <row r="269" spans="1:19">
      <c r="A269" s="685"/>
      <c r="B269" s="776"/>
      <c r="C269" s="776" t="s">
        <v>83</v>
      </c>
      <c r="D269" s="776"/>
      <c r="E269" s="776"/>
      <c r="F269" s="17"/>
      <c r="G269" s="17"/>
      <c r="H269" s="17"/>
      <c r="I269" s="17"/>
      <c r="J269" s="17"/>
      <c r="K269" s="17"/>
      <c r="L269" s="17"/>
      <c r="M269" s="17"/>
      <c r="N269" s="17">
        <v>-16744</v>
      </c>
      <c r="O269" s="17">
        <v>-2859</v>
      </c>
      <c r="P269" s="17">
        <v>-720</v>
      </c>
      <c r="Q269" s="17">
        <v>-9442</v>
      </c>
      <c r="R269" s="17">
        <v>2410</v>
      </c>
      <c r="S269" s="776"/>
    </row>
    <row r="270" spans="1:19">
      <c r="A270" s="685"/>
      <c r="B270" s="776"/>
      <c r="C270" s="44" t="s">
        <v>1135</v>
      </c>
      <c r="D270" s="44"/>
      <c r="E270" s="44"/>
      <c r="F270" s="17"/>
      <c r="G270" s="17"/>
      <c r="H270" s="17"/>
      <c r="I270" s="17"/>
      <c r="J270" s="17"/>
      <c r="K270" s="17"/>
      <c r="L270" s="17"/>
      <c r="M270" s="794"/>
      <c r="N270" s="796">
        <v>-113928</v>
      </c>
      <c r="O270" s="17">
        <v>0</v>
      </c>
      <c r="P270" s="17"/>
      <c r="Q270" s="796">
        <v>-103270</v>
      </c>
      <c r="R270" s="796">
        <v>-2610</v>
      </c>
      <c r="S270" s="776"/>
    </row>
    <row r="271" spans="1:19">
      <c r="A271" s="685"/>
      <c r="B271" s="776"/>
      <c r="C271" s="776" t="s">
        <v>346</v>
      </c>
      <c r="D271" s="776"/>
      <c r="E271" s="776"/>
      <c r="F271" s="17"/>
      <c r="G271" s="17"/>
      <c r="H271" s="17"/>
      <c r="I271" s="17"/>
      <c r="J271" s="17"/>
      <c r="K271" s="17"/>
      <c r="L271" s="17"/>
      <c r="M271" s="17"/>
      <c r="N271" s="17">
        <v>-126</v>
      </c>
      <c r="O271" s="17">
        <v>1191</v>
      </c>
      <c r="P271" s="17"/>
      <c r="Q271" s="17">
        <v>-18</v>
      </c>
      <c r="R271" s="17">
        <v>24</v>
      </c>
      <c r="S271" s="776"/>
    </row>
    <row r="272" spans="1:19">
      <c r="A272" s="685"/>
      <c r="B272" s="776"/>
      <c r="C272" s="776" t="s">
        <v>446</v>
      </c>
      <c r="D272" s="776"/>
      <c r="E272" s="776"/>
      <c r="F272" s="17"/>
      <c r="G272" s="17"/>
      <c r="H272" s="17"/>
      <c r="I272" s="17"/>
      <c r="J272" s="17"/>
      <c r="K272" s="17"/>
      <c r="L272" s="17"/>
      <c r="M272" s="17"/>
      <c r="N272" s="17">
        <v>-119</v>
      </c>
      <c r="O272" s="17">
        <v>123</v>
      </c>
      <c r="P272" s="17"/>
      <c r="Q272" s="17">
        <v>-11</v>
      </c>
      <c r="R272" s="17">
        <v>6</v>
      </c>
      <c r="S272" s="776"/>
    </row>
    <row r="273" spans="1:19">
      <c r="A273" s="685"/>
      <c r="B273" s="776"/>
      <c r="C273" s="776" t="s">
        <v>1136</v>
      </c>
      <c r="D273" s="776"/>
      <c r="E273" s="776"/>
      <c r="F273" s="17" t="s">
        <v>626</v>
      </c>
      <c r="G273" s="17"/>
      <c r="H273" s="17"/>
      <c r="I273" s="17"/>
      <c r="J273" s="17"/>
      <c r="K273" s="17"/>
      <c r="L273" s="776"/>
      <c r="M273" s="776"/>
      <c r="N273" s="17">
        <v>0</v>
      </c>
      <c r="O273" s="17">
        <v>0</v>
      </c>
      <c r="P273" s="17">
        <v>0</v>
      </c>
      <c r="Q273" s="17"/>
      <c r="R273" s="17"/>
      <c r="S273" s="776"/>
    </row>
    <row r="274" spans="1:19">
      <c r="A274" s="685"/>
      <c r="B274" s="776"/>
      <c r="C274" s="44" t="s">
        <v>1137</v>
      </c>
      <c r="D274" s="44"/>
      <c r="E274" s="44"/>
      <c r="F274" s="17"/>
      <c r="G274" s="17"/>
      <c r="H274" s="17"/>
      <c r="I274" s="17"/>
      <c r="J274" s="17"/>
      <c r="K274" s="17"/>
      <c r="L274" s="776"/>
      <c r="M274" s="776"/>
      <c r="N274" s="17"/>
      <c r="O274" s="17"/>
      <c r="P274" s="17"/>
      <c r="Q274" s="840">
        <v>14748</v>
      </c>
      <c r="R274" s="17">
        <v>0</v>
      </c>
      <c r="S274" s="776" t="s">
        <v>1138</v>
      </c>
    </row>
    <row r="275" spans="1:19">
      <c r="A275" s="685"/>
      <c r="B275" s="776"/>
      <c r="C275" s="776" t="s">
        <v>1139</v>
      </c>
      <c r="D275" s="776"/>
      <c r="E275" s="776"/>
      <c r="F275" s="17"/>
      <c r="G275" s="17"/>
      <c r="H275" s="17"/>
      <c r="I275" s="17"/>
      <c r="J275" s="17"/>
      <c r="K275" s="17"/>
      <c r="L275" s="17"/>
      <c r="M275" s="27">
        <v>818870</v>
      </c>
      <c r="N275" s="27"/>
      <c r="O275" s="27"/>
      <c r="P275" s="27"/>
      <c r="Q275" s="4"/>
      <c r="R275" s="27"/>
      <c r="S275" s="776"/>
    </row>
    <row r="276" spans="1:19">
      <c r="A276" s="685"/>
      <c r="B276" s="776"/>
      <c r="C276" s="776" t="s">
        <v>469</v>
      </c>
      <c r="D276" s="776"/>
      <c r="E276" s="776"/>
      <c r="F276" s="776"/>
      <c r="G276" s="776"/>
      <c r="H276" s="776"/>
      <c r="I276" s="776"/>
      <c r="J276" s="776"/>
      <c r="K276" s="776"/>
      <c r="L276" s="776"/>
      <c r="M276" s="794">
        <f>SUM(M259:M275)</f>
        <v>970959</v>
      </c>
      <c r="N276" s="794">
        <f>SUM(N259:N275)</f>
        <v>1331735</v>
      </c>
      <c r="O276" s="794">
        <f>SUM(O259:O273)</f>
        <v>1328356</v>
      </c>
      <c r="P276" s="794">
        <f>SUM(P259:P273)</f>
        <v>1300782</v>
      </c>
      <c r="Q276" s="794">
        <f>SUM(Q259:Q275)</f>
        <v>1556108</v>
      </c>
      <c r="R276" s="794">
        <f>SUM(R259:R275)</f>
        <v>1404383</v>
      </c>
      <c r="S276" s="776"/>
    </row>
    <row r="277" spans="1:19">
      <c r="A277" s="685"/>
      <c r="B277" s="776"/>
      <c r="C277" s="776" t="s">
        <v>465</v>
      </c>
      <c r="D277" s="776"/>
      <c r="E277" s="776"/>
      <c r="F277" s="776"/>
      <c r="G277" s="776"/>
      <c r="H277" s="776"/>
      <c r="I277" s="776"/>
      <c r="J277" s="776"/>
      <c r="K277" s="776"/>
      <c r="L277" s="776"/>
      <c r="M277" s="1"/>
      <c r="N277" s="794">
        <f>N276+N278</f>
        <v>1331772</v>
      </c>
      <c r="O277" s="794">
        <f>O276+O278</f>
        <v>1329478</v>
      </c>
      <c r="P277" s="794">
        <f>P276+P278</f>
        <v>1301231</v>
      </c>
      <c r="Q277" s="794">
        <f>Q276+Q278</f>
        <v>1559507</v>
      </c>
      <c r="R277" s="794">
        <f>R276+R278</f>
        <v>1412330</v>
      </c>
      <c r="S277" s="776"/>
    </row>
    <row r="278" spans="1:19">
      <c r="A278" s="685"/>
      <c r="B278" s="776"/>
      <c r="C278" s="776" t="s">
        <v>315</v>
      </c>
      <c r="D278" s="776"/>
      <c r="E278" s="776"/>
      <c r="F278" s="17"/>
      <c r="G278" s="17"/>
      <c r="H278" s="17"/>
      <c r="I278" s="17"/>
      <c r="J278" s="17"/>
      <c r="K278" s="17"/>
      <c r="L278" s="776"/>
      <c r="M278" s="17"/>
      <c r="N278" s="17">
        <v>37</v>
      </c>
      <c r="O278" s="17">
        <v>1122</v>
      </c>
      <c r="P278" s="17">
        <v>449</v>
      </c>
      <c r="Q278" s="17">
        <v>3399</v>
      </c>
      <c r="R278" s="17">
        <v>7947</v>
      </c>
      <c r="S278" s="776"/>
    </row>
    <row r="279" spans="1:19">
      <c r="A279" s="685"/>
      <c r="B279" s="776"/>
      <c r="C279" s="4"/>
      <c r="D279" s="4"/>
      <c r="E279" s="4"/>
      <c r="F279" s="4"/>
      <c r="G279" s="4"/>
      <c r="H279" s="4"/>
      <c r="I279" s="4"/>
      <c r="J279" s="4"/>
      <c r="K279" s="4"/>
      <c r="L279" s="4"/>
      <c r="M279" s="4" t="s">
        <v>1140</v>
      </c>
      <c r="N279" s="27">
        <v>970827</v>
      </c>
      <c r="O279" s="4"/>
      <c r="P279" s="4"/>
      <c r="Q279" s="4"/>
      <c r="R279" s="4"/>
      <c r="S279" s="776"/>
    </row>
    <row r="280" spans="1:19">
      <c r="A280" s="685">
        <v>5</v>
      </c>
      <c r="B280" s="776"/>
      <c r="C280" s="133" t="s">
        <v>1141</v>
      </c>
      <c r="D280" s="133"/>
      <c r="E280" s="133"/>
      <c r="F280" s="815">
        <v>1999</v>
      </c>
      <c r="G280" s="815">
        <f t="shared" ref="G280:Q280" si="64">F280+1</f>
        <v>2000</v>
      </c>
      <c r="H280" s="815">
        <f t="shared" si="64"/>
        <v>2001</v>
      </c>
      <c r="I280" s="815">
        <f t="shared" si="64"/>
        <v>2002</v>
      </c>
      <c r="J280" s="815">
        <f t="shared" si="64"/>
        <v>2003</v>
      </c>
      <c r="K280" s="815">
        <f t="shared" si="64"/>
        <v>2004</v>
      </c>
      <c r="L280" s="815">
        <f t="shared" si="64"/>
        <v>2005</v>
      </c>
      <c r="M280" s="815">
        <f t="shared" si="64"/>
        <v>2006</v>
      </c>
      <c r="N280" s="815">
        <f t="shared" si="64"/>
        <v>2007</v>
      </c>
      <c r="O280" s="815">
        <f t="shared" si="64"/>
        <v>2008</v>
      </c>
      <c r="P280" s="815">
        <f t="shared" si="64"/>
        <v>2009</v>
      </c>
      <c r="Q280" s="815">
        <f t="shared" si="64"/>
        <v>2010</v>
      </c>
      <c r="R280" s="815">
        <f>Q280+1</f>
        <v>2011</v>
      </c>
      <c r="S280" s="776"/>
    </row>
    <row r="281" spans="1:19">
      <c r="A281" s="685"/>
      <c r="B281" s="776"/>
      <c r="C281" s="776"/>
      <c r="D281" s="776"/>
      <c r="E281" s="776"/>
      <c r="F281" s="776"/>
      <c r="G281" s="776"/>
      <c r="H281" s="776"/>
      <c r="I281" s="776"/>
      <c r="J281" s="776"/>
      <c r="K281" s="776"/>
      <c r="L281" s="776"/>
      <c r="M281" s="776"/>
      <c r="N281" s="776"/>
      <c r="O281" s="776"/>
      <c r="P281" s="776"/>
      <c r="Q281" s="776"/>
      <c r="R281" s="776"/>
      <c r="S281" s="776"/>
    </row>
    <row r="282" spans="1:19">
      <c r="A282" s="685"/>
      <c r="B282" s="776"/>
      <c r="C282" s="776" t="s">
        <v>544</v>
      </c>
      <c r="D282" s="776"/>
      <c r="E282" s="776"/>
      <c r="F282" s="750">
        <f t="shared" ref="F282:R282" si="65">F40</f>
        <v>5014</v>
      </c>
      <c r="G282" s="750">
        <f t="shared" si="65"/>
        <v>28728</v>
      </c>
      <c r="H282" s="750">
        <f t="shared" si="65"/>
        <v>66401</v>
      </c>
      <c r="I282" s="750">
        <f t="shared" si="65"/>
        <v>92031</v>
      </c>
      <c r="J282" s="750">
        <f t="shared" si="65"/>
        <v>138871</v>
      </c>
      <c r="K282" s="750">
        <f t="shared" si="65"/>
        <v>145260</v>
      </c>
      <c r="L282" s="750">
        <f t="shared" si="65"/>
        <v>179168</v>
      </c>
      <c r="M282" s="750">
        <f t="shared" si="65"/>
        <v>970959</v>
      </c>
      <c r="N282" s="750">
        <f t="shared" si="65"/>
        <v>1331772</v>
      </c>
      <c r="O282" s="750">
        <f t="shared" si="65"/>
        <v>1329478</v>
      </c>
      <c r="P282" s="750">
        <f t="shared" si="65"/>
        <v>1301231</v>
      </c>
      <c r="Q282" s="750">
        <f t="shared" si="65"/>
        <v>1559507</v>
      </c>
      <c r="R282" s="750">
        <f t="shared" si="65"/>
        <v>1412330</v>
      </c>
      <c r="S282" s="2" t="s">
        <v>1142</v>
      </c>
    </row>
    <row r="283" spans="1:19">
      <c r="A283" s="685"/>
      <c r="B283" s="776"/>
      <c r="C283" s="776" t="s">
        <v>1143</v>
      </c>
      <c r="D283" s="776"/>
      <c r="E283" s="776">
        <v>2007</v>
      </c>
      <c r="F283" s="750"/>
      <c r="G283" s="750"/>
      <c r="H283" s="750"/>
      <c r="I283" s="750"/>
      <c r="J283" s="750"/>
      <c r="K283" s="750"/>
      <c r="L283" s="750"/>
      <c r="M283" s="750"/>
      <c r="N283" s="750">
        <f>-N270</f>
        <v>113928</v>
      </c>
      <c r="O283" s="750">
        <f>N283</f>
        <v>113928</v>
      </c>
      <c r="P283" s="750">
        <f>O283</f>
        <v>113928</v>
      </c>
      <c r="Q283" s="750">
        <f>P283</f>
        <v>113928</v>
      </c>
      <c r="R283" s="750">
        <f>Q283</f>
        <v>113928</v>
      </c>
      <c r="S283" s="2"/>
    </row>
    <row r="284" spans="1:19">
      <c r="A284" s="685"/>
      <c r="B284" s="776"/>
      <c r="C284" s="776"/>
      <c r="D284" s="776"/>
      <c r="E284" s="776">
        <v>2010</v>
      </c>
      <c r="F284" s="750"/>
      <c r="G284" s="750"/>
      <c r="H284" s="750"/>
      <c r="I284" s="750"/>
      <c r="J284" s="750"/>
      <c r="K284" s="750"/>
      <c r="L284" s="750"/>
      <c r="M284" s="750"/>
      <c r="N284" s="750"/>
      <c r="O284" s="750"/>
      <c r="P284" s="750"/>
      <c r="Q284" s="750">
        <f>-Q270</f>
        <v>103270</v>
      </c>
      <c r="R284" s="750">
        <f>Q284</f>
        <v>103270</v>
      </c>
      <c r="S284" s="2"/>
    </row>
    <row r="285" spans="1:19">
      <c r="A285" s="685"/>
      <c r="B285" s="776"/>
      <c r="C285" s="776"/>
      <c r="D285" s="776"/>
      <c r="E285" s="776">
        <v>2011</v>
      </c>
      <c r="F285" s="751"/>
      <c r="G285" s="751"/>
      <c r="H285" s="751"/>
      <c r="I285" s="751"/>
      <c r="J285" s="751"/>
      <c r="K285" s="751"/>
      <c r="L285" s="751"/>
      <c r="M285" s="751"/>
      <c r="N285" s="751"/>
      <c r="O285" s="751"/>
      <c r="P285" s="751"/>
      <c r="Q285" s="751"/>
      <c r="R285" s="751">
        <f>-R270</f>
        <v>2610</v>
      </c>
      <c r="S285" s="2"/>
    </row>
    <row r="286" spans="1:19">
      <c r="A286" s="685"/>
      <c r="B286" s="776"/>
      <c r="C286" s="776" t="s">
        <v>1144</v>
      </c>
      <c r="D286" s="776"/>
      <c r="E286" s="776"/>
      <c r="F286" s="750">
        <f>SUM(F282:F285)</f>
        <v>5014</v>
      </c>
      <c r="G286" s="750">
        <f t="shared" ref="G286:R286" si="66">SUM(G282:G285)</f>
        <v>28728</v>
      </c>
      <c r="H286" s="750">
        <f t="shared" si="66"/>
        <v>66401</v>
      </c>
      <c r="I286" s="750">
        <f t="shared" si="66"/>
        <v>92031</v>
      </c>
      <c r="J286" s="750">
        <f t="shared" si="66"/>
        <v>138871</v>
      </c>
      <c r="K286" s="750">
        <f t="shared" si="66"/>
        <v>145260</v>
      </c>
      <c r="L286" s="750">
        <f t="shared" si="66"/>
        <v>179168</v>
      </c>
      <c r="M286" s="750">
        <f t="shared" si="66"/>
        <v>970959</v>
      </c>
      <c r="N286" s="750">
        <f t="shared" si="66"/>
        <v>1445700</v>
      </c>
      <c r="O286" s="750">
        <f t="shared" si="66"/>
        <v>1443406</v>
      </c>
      <c r="P286" s="750">
        <f t="shared" si="66"/>
        <v>1415159</v>
      </c>
      <c r="Q286" s="750">
        <f t="shared" si="66"/>
        <v>1776705</v>
      </c>
      <c r="R286" s="750">
        <f t="shared" si="66"/>
        <v>1632138</v>
      </c>
      <c r="S286" s="2"/>
    </row>
    <row r="287" spans="1:19">
      <c r="A287" s="685"/>
      <c r="B287" s="776"/>
      <c r="C287" s="776" t="s">
        <v>503</v>
      </c>
      <c r="D287" s="776"/>
      <c r="E287" s="776"/>
      <c r="F287" s="650">
        <f>F133</f>
        <v>0</v>
      </c>
      <c r="G287" s="650">
        <f t="shared" ref="G287:R287" si="67">G133</f>
        <v>77813</v>
      </c>
      <c r="H287" s="650">
        <f t="shared" si="67"/>
        <v>77813</v>
      </c>
      <c r="I287" s="650">
        <f t="shared" si="67"/>
        <v>77802</v>
      </c>
      <c r="J287" s="650">
        <f t="shared" si="67"/>
        <v>677802</v>
      </c>
      <c r="K287" s="650">
        <f t="shared" si="67"/>
        <v>677802</v>
      </c>
      <c r="L287" s="650">
        <f t="shared" si="67"/>
        <v>677802</v>
      </c>
      <c r="M287" s="650">
        <f t="shared" si="67"/>
        <v>2477802</v>
      </c>
      <c r="N287" s="650">
        <f t="shared" si="67"/>
        <v>3932802</v>
      </c>
      <c r="O287" s="650">
        <f t="shared" si="67"/>
        <v>3932802</v>
      </c>
      <c r="P287" s="650">
        <f t="shared" si="67"/>
        <v>3932802</v>
      </c>
      <c r="Q287" s="650">
        <f t="shared" si="67"/>
        <v>5146465</v>
      </c>
      <c r="R287" s="650">
        <f t="shared" si="67"/>
        <v>5276138</v>
      </c>
      <c r="S287" s="2"/>
    </row>
    <row r="288" spans="1:19">
      <c r="A288" s="685"/>
      <c r="B288" s="776"/>
      <c r="C288" s="776"/>
      <c r="D288" s="776"/>
      <c r="E288" s="776"/>
      <c r="F288" s="841">
        <v>0</v>
      </c>
      <c r="G288" s="841">
        <v>0</v>
      </c>
      <c r="H288" s="841">
        <v>0</v>
      </c>
      <c r="I288" s="841">
        <v>0</v>
      </c>
      <c r="J288" s="841">
        <v>0</v>
      </c>
      <c r="K288" s="841">
        <v>0</v>
      </c>
      <c r="L288" s="841">
        <v>0</v>
      </c>
      <c r="M288" s="841">
        <v>0.28000000000000003</v>
      </c>
      <c r="N288" s="841">
        <v>0.28000000000000003</v>
      </c>
      <c r="O288" s="841">
        <v>0.28000000000000003</v>
      </c>
      <c r="P288" s="841">
        <v>0.28000000000000003</v>
      </c>
      <c r="Q288" s="841">
        <v>0.28000000000000003</v>
      </c>
      <c r="R288" s="841">
        <v>0.28000000000000003</v>
      </c>
      <c r="S288" s="2"/>
    </row>
    <row r="289" spans="1:19">
      <c r="A289" s="685"/>
      <c r="B289" s="776"/>
      <c r="C289" s="776" t="s">
        <v>1145</v>
      </c>
      <c r="D289" s="776"/>
      <c r="E289" s="776"/>
      <c r="F289" s="750"/>
      <c r="G289" s="750"/>
      <c r="H289" s="750"/>
      <c r="I289" s="750"/>
      <c r="J289" s="750"/>
      <c r="K289" s="750"/>
      <c r="L289" s="750"/>
      <c r="M289" s="842">
        <f t="shared" ref="M289:R289" si="68">M287*M288</f>
        <v>693784.56</v>
      </c>
      <c r="N289" s="842">
        <f t="shared" si="68"/>
        <v>1101184.56</v>
      </c>
      <c r="O289" s="842">
        <f t="shared" si="68"/>
        <v>1101184.56</v>
      </c>
      <c r="P289" s="842">
        <f t="shared" si="68"/>
        <v>1101184.56</v>
      </c>
      <c r="Q289" s="842">
        <f t="shared" si="68"/>
        <v>1441010.2000000002</v>
      </c>
      <c r="R289" s="842">
        <f t="shared" si="68"/>
        <v>1477318.6400000001</v>
      </c>
      <c r="S289" s="2"/>
    </row>
    <row r="290" spans="1:19">
      <c r="A290" s="685"/>
      <c r="B290" s="776"/>
      <c r="C290" s="776" t="s">
        <v>1146</v>
      </c>
      <c r="D290" s="776"/>
      <c r="E290" s="776"/>
      <c r="F290" s="750"/>
      <c r="G290" s="750"/>
      <c r="H290" s="750"/>
      <c r="I290" s="750"/>
      <c r="J290" s="750"/>
      <c r="K290" s="750"/>
      <c r="L290" s="750"/>
      <c r="M290" s="110">
        <f t="shared" ref="M290:R290" si="69">M286-M289</f>
        <v>277174.43999999994</v>
      </c>
      <c r="N290" s="110">
        <f t="shared" si="69"/>
        <v>344515.43999999994</v>
      </c>
      <c r="O290" s="110">
        <f t="shared" si="69"/>
        <v>342221.43999999994</v>
      </c>
      <c r="P290" s="110">
        <f t="shared" si="69"/>
        <v>313974.43999999994</v>
      </c>
      <c r="Q290" s="110">
        <f t="shared" si="69"/>
        <v>335694.79999999981</v>
      </c>
      <c r="R290" s="110">
        <f t="shared" si="69"/>
        <v>154819.35999999987</v>
      </c>
      <c r="S290" s="2"/>
    </row>
    <row r="291" spans="1:19">
      <c r="A291" s="685"/>
      <c r="B291" s="776"/>
      <c r="C291" s="776" t="s">
        <v>1147</v>
      </c>
      <c r="D291" s="776"/>
      <c r="E291" s="776"/>
      <c r="F291" s="750"/>
      <c r="G291" s="750"/>
      <c r="H291" s="750"/>
      <c r="I291" s="750"/>
      <c r="J291" s="750"/>
      <c r="K291" s="750"/>
      <c r="L291" s="750"/>
      <c r="M291" s="750"/>
      <c r="N291" s="750">
        <f>N290-M290</f>
        <v>67341</v>
      </c>
      <c r="O291" s="750">
        <f>O290-N290</f>
        <v>-2294</v>
      </c>
      <c r="P291" s="750">
        <f>P290-O290</f>
        <v>-28247</v>
      </c>
      <c r="Q291" s="750">
        <f>Q290-P290</f>
        <v>21720.35999999987</v>
      </c>
      <c r="R291" s="750">
        <f>R290-Q290</f>
        <v>-180875.43999999994</v>
      </c>
      <c r="S291" s="2"/>
    </row>
    <row r="292" spans="1:19">
      <c r="A292" s="685"/>
      <c r="B292" s="776"/>
      <c r="C292" s="776"/>
      <c r="D292" s="776"/>
      <c r="E292" s="776"/>
      <c r="F292" s="750"/>
      <c r="G292" s="750"/>
      <c r="H292" s="750"/>
      <c r="I292" s="750"/>
      <c r="J292" s="750"/>
      <c r="K292" s="750"/>
      <c r="L292" s="750"/>
      <c r="M292" s="750"/>
      <c r="N292" s="750"/>
      <c r="O292" s="750"/>
      <c r="P292" s="750"/>
      <c r="Q292" s="750"/>
      <c r="R292" s="750"/>
      <c r="S292" s="2"/>
    </row>
    <row r="293" spans="1:19">
      <c r="A293" s="685"/>
      <c r="B293" s="776"/>
      <c r="C293" s="776"/>
      <c r="D293" s="776"/>
      <c r="E293" s="776"/>
      <c r="F293" s="750"/>
      <c r="G293" s="750"/>
      <c r="H293" s="750"/>
      <c r="I293" s="750"/>
      <c r="J293" s="750"/>
      <c r="K293" s="750"/>
      <c r="L293" s="750"/>
      <c r="M293" s="750"/>
      <c r="N293" s="750"/>
      <c r="O293" s="750"/>
      <c r="P293" s="750"/>
      <c r="Q293" s="750"/>
      <c r="R293" s="750"/>
      <c r="S293" s="2"/>
    </row>
    <row r="294" spans="1:19">
      <c r="A294" s="685"/>
      <c r="B294" s="776"/>
      <c r="C294" s="776" t="s">
        <v>1148</v>
      </c>
      <c r="D294" s="776"/>
      <c r="E294" s="776"/>
      <c r="F294" s="650">
        <f t="shared" ref="F294:R294" si="70">F47</f>
        <v>0</v>
      </c>
      <c r="G294" s="650">
        <f t="shared" si="70"/>
        <v>77813</v>
      </c>
      <c r="H294" s="650">
        <f t="shared" si="70"/>
        <v>77813</v>
      </c>
      <c r="I294" s="12">
        <f t="shared" si="70"/>
        <v>77802</v>
      </c>
      <c r="J294" s="650">
        <f t="shared" si="70"/>
        <v>677802</v>
      </c>
      <c r="K294" s="650">
        <f t="shared" si="70"/>
        <v>677802</v>
      </c>
      <c r="L294" s="650">
        <f t="shared" si="70"/>
        <v>677802</v>
      </c>
      <c r="M294" s="650">
        <f t="shared" si="70"/>
        <v>1652713</v>
      </c>
      <c r="N294" s="650">
        <f t="shared" si="70"/>
        <v>2746509</v>
      </c>
      <c r="O294" s="650">
        <f t="shared" si="70"/>
        <v>2737795</v>
      </c>
      <c r="P294" s="650">
        <f t="shared" si="70"/>
        <v>2737092</v>
      </c>
      <c r="Q294" s="650">
        <f t="shared" si="70"/>
        <v>3686651</v>
      </c>
      <c r="R294" s="650">
        <f t="shared" si="70"/>
        <v>3392516</v>
      </c>
      <c r="S294" s="2" t="s">
        <v>1142</v>
      </c>
    </row>
    <row r="295" spans="1:19">
      <c r="A295" s="685"/>
      <c r="B295" s="776"/>
      <c r="C295" s="776" t="s">
        <v>1149</v>
      </c>
      <c r="D295" s="776"/>
      <c r="E295" s="776"/>
      <c r="F295" s="2">
        <f>F282+F294</f>
        <v>5014</v>
      </c>
      <c r="G295" s="2">
        <f t="shared" ref="G295:Q295" si="71">G282+G294</f>
        <v>106541</v>
      </c>
      <c r="H295" s="2">
        <f t="shared" si="71"/>
        <v>144214</v>
      </c>
      <c r="I295" s="2">
        <f t="shared" si="71"/>
        <v>169833</v>
      </c>
      <c r="J295" s="2">
        <f t="shared" si="71"/>
        <v>816673</v>
      </c>
      <c r="K295" s="2">
        <f t="shared" si="71"/>
        <v>823062</v>
      </c>
      <c r="L295" s="2">
        <f t="shared" si="71"/>
        <v>856970</v>
      </c>
      <c r="M295" s="2">
        <f t="shared" si="71"/>
        <v>2623672</v>
      </c>
      <c r="N295" s="2">
        <f t="shared" si="71"/>
        <v>4078281</v>
      </c>
      <c r="O295" s="2">
        <f t="shared" si="71"/>
        <v>4067273</v>
      </c>
      <c r="P295" s="2">
        <f t="shared" si="71"/>
        <v>4038323</v>
      </c>
      <c r="Q295" s="2">
        <f t="shared" si="71"/>
        <v>5246158</v>
      </c>
      <c r="R295" s="2">
        <f>R282+R294</f>
        <v>4804846</v>
      </c>
      <c r="S295" s="776"/>
    </row>
    <row r="296" spans="1:19">
      <c r="A296" s="685"/>
      <c r="B296" s="776"/>
      <c r="C296" s="24" t="s">
        <v>1150</v>
      </c>
      <c r="D296" s="776"/>
      <c r="E296" s="776"/>
      <c r="F296" s="2"/>
      <c r="G296" s="2"/>
      <c r="H296" s="2"/>
      <c r="I296" s="2"/>
      <c r="J296" s="2"/>
      <c r="K296" s="2"/>
      <c r="L296" s="2"/>
      <c r="M296" s="843">
        <f t="shared" ref="M296:R296" si="72">M282/M295</f>
        <v>0.3700763662530987</v>
      </c>
      <c r="N296" s="843">
        <f t="shared" si="72"/>
        <v>0.3265522900457325</v>
      </c>
      <c r="O296" s="843">
        <f t="shared" si="72"/>
        <v>0.32687208358032521</v>
      </c>
      <c r="P296" s="843">
        <f t="shared" si="72"/>
        <v>0.3222206346545336</v>
      </c>
      <c r="Q296" s="843">
        <f t="shared" si="72"/>
        <v>0.29726649483298062</v>
      </c>
      <c r="R296" s="843">
        <f t="shared" si="72"/>
        <v>0.29393866109340444</v>
      </c>
      <c r="S296" s="776"/>
    </row>
    <row r="297" spans="1:19">
      <c r="A297" s="685"/>
      <c r="B297" s="776"/>
      <c r="C297" s="776" t="s">
        <v>503</v>
      </c>
      <c r="D297" s="776"/>
      <c r="E297" s="776"/>
      <c r="F297" s="650">
        <f t="shared" ref="F297:R297" si="73">F133</f>
        <v>0</v>
      </c>
      <c r="G297" s="650">
        <f t="shared" si="73"/>
        <v>77813</v>
      </c>
      <c r="H297" s="650">
        <f t="shared" si="73"/>
        <v>77813</v>
      </c>
      <c r="I297" s="650">
        <f t="shared" si="73"/>
        <v>77802</v>
      </c>
      <c r="J297" s="650">
        <f t="shared" si="73"/>
        <v>677802</v>
      </c>
      <c r="K297" s="650">
        <f t="shared" si="73"/>
        <v>677802</v>
      </c>
      <c r="L297" s="650">
        <f t="shared" si="73"/>
        <v>677802</v>
      </c>
      <c r="M297" s="650">
        <f t="shared" si="73"/>
        <v>2477802</v>
      </c>
      <c r="N297" s="650">
        <f t="shared" si="73"/>
        <v>3932802</v>
      </c>
      <c r="O297" s="650">
        <f t="shared" si="73"/>
        <v>3932802</v>
      </c>
      <c r="P297" s="650">
        <f t="shared" si="73"/>
        <v>3932802</v>
      </c>
      <c r="Q297" s="650">
        <f t="shared" si="73"/>
        <v>5146465</v>
      </c>
      <c r="R297" s="650">
        <f t="shared" si="73"/>
        <v>5276138</v>
      </c>
      <c r="S297" s="776"/>
    </row>
    <row r="298" spans="1:19">
      <c r="A298" s="685"/>
      <c r="B298" s="776"/>
      <c r="C298" s="776" t="s">
        <v>948</v>
      </c>
      <c r="D298" s="776"/>
      <c r="E298" s="776"/>
      <c r="F298" s="750">
        <f>F295-F297</f>
        <v>5014</v>
      </c>
      <c r="G298" s="750">
        <f t="shared" ref="G298:Q298" si="74">G295-G297</f>
        <v>28728</v>
      </c>
      <c r="H298" s="750">
        <f t="shared" si="74"/>
        <v>66401</v>
      </c>
      <c r="I298" s="750">
        <f t="shared" si="74"/>
        <v>92031</v>
      </c>
      <c r="J298" s="750">
        <f t="shared" si="74"/>
        <v>138871</v>
      </c>
      <c r="K298" s="750">
        <f t="shared" si="74"/>
        <v>145260</v>
      </c>
      <c r="L298" s="750">
        <f t="shared" si="74"/>
        <v>179168</v>
      </c>
      <c r="M298" s="750">
        <f t="shared" si="74"/>
        <v>145870</v>
      </c>
      <c r="N298" s="750">
        <f t="shared" si="74"/>
        <v>145479</v>
      </c>
      <c r="O298" s="750">
        <f t="shared" si="74"/>
        <v>134471</v>
      </c>
      <c r="P298" s="750">
        <f t="shared" si="74"/>
        <v>105521</v>
      </c>
      <c r="Q298" s="750">
        <f t="shared" si="74"/>
        <v>99693</v>
      </c>
      <c r="R298" s="752">
        <f>R295-R297</f>
        <v>-471292</v>
      </c>
      <c r="S298" s="776"/>
    </row>
    <row r="299" spans="1:19">
      <c r="A299" s="685"/>
      <c r="B299" s="776"/>
      <c r="C299" s="24" t="s">
        <v>1151</v>
      </c>
      <c r="D299" s="776"/>
      <c r="E299" s="776"/>
      <c r="F299" s="2"/>
      <c r="G299" s="2"/>
      <c r="H299" s="2"/>
      <c r="I299" s="2"/>
      <c r="J299" s="2"/>
      <c r="K299" s="2"/>
      <c r="L299" s="2"/>
      <c r="M299" s="843">
        <f t="shared" ref="M299:R299" si="75">M282/M297</f>
        <v>0.39186303021791086</v>
      </c>
      <c r="N299" s="843">
        <f t="shared" si="75"/>
        <v>0.33863184569169769</v>
      </c>
      <c r="O299" s="843">
        <f t="shared" si="75"/>
        <v>0.33804854655789945</v>
      </c>
      <c r="P299" s="843">
        <f t="shared" si="75"/>
        <v>0.33086613564578132</v>
      </c>
      <c r="Q299" s="843">
        <f t="shared" si="75"/>
        <v>0.30302489184323611</v>
      </c>
      <c r="R299" s="843">
        <f t="shared" si="75"/>
        <v>0.26768253597612496</v>
      </c>
      <c r="S299" s="24"/>
    </row>
    <row r="300" spans="1:19">
      <c r="A300" s="685"/>
      <c r="B300" s="776"/>
      <c r="C300" s="24" t="s">
        <v>1152</v>
      </c>
      <c r="D300" s="24"/>
      <c r="E300" s="24"/>
      <c r="F300" s="841">
        <v>0</v>
      </c>
      <c r="G300" s="841">
        <v>0</v>
      </c>
      <c r="H300" s="841">
        <v>0</v>
      </c>
      <c r="I300" s="841">
        <v>0</v>
      </c>
      <c r="J300" s="841">
        <v>0</v>
      </c>
      <c r="K300" s="841">
        <v>0</v>
      </c>
      <c r="L300" s="841">
        <v>0</v>
      </c>
      <c r="M300" s="841">
        <v>0.33</v>
      </c>
      <c r="N300" s="841">
        <v>0.3</v>
      </c>
      <c r="O300" s="841">
        <v>0.3</v>
      </c>
      <c r="P300" s="841">
        <v>0.3</v>
      </c>
      <c r="Q300" s="841">
        <v>0.28000000000000003</v>
      </c>
      <c r="R300" s="841">
        <v>0.28000000000000003</v>
      </c>
      <c r="S300" s="24"/>
    </row>
    <row r="301" spans="1:19">
      <c r="A301" s="685"/>
      <c r="B301" s="776"/>
      <c r="C301" s="776" t="s">
        <v>1153</v>
      </c>
      <c r="D301" s="776"/>
      <c r="E301" s="776"/>
      <c r="F301" s="17"/>
      <c r="G301" s="17"/>
      <c r="H301" s="17"/>
      <c r="I301" s="17"/>
      <c r="J301" s="17"/>
      <c r="K301" s="17"/>
      <c r="L301" s="17"/>
      <c r="M301" s="17">
        <f t="shared" ref="M301:R301" si="76">M300*M297</f>
        <v>817674.66</v>
      </c>
      <c r="N301" s="17">
        <f t="shared" si="76"/>
        <v>1179840.5999999999</v>
      </c>
      <c r="O301" s="17">
        <f t="shared" si="76"/>
        <v>1179840.5999999999</v>
      </c>
      <c r="P301" s="17">
        <f t="shared" si="76"/>
        <v>1179840.5999999999</v>
      </c>
      <c r="Q301" s="17">
        <f t="shared" si="76"/>
        <v>1441010.2000000002</v>
      </c>
      <c r="R301" s="17">
        <f t="shared" si="76"/>
        <v>1477318.6400000001</v>
      </c>
      <c r="S301" s="776"/>
    </row>
    <row r="302" spans="1:19">
      <c r="A302" s="685"/>
      <c r="B302" s="776"/>
      <c r="C302" s="776" t="s">
        <v>544</v>
      </c>
      <c r="D302" s="776"/>
      <c r="E302" s="776"/>
      <c r="F302" s="17"/>
      <c r="G302" s="17"/>
      <c r="H302" s="17"/>
      <c r="I302" s="17"/>
      <c r="J302" s="17"/>
      <c r="K302" s="17"/>
      <c r="L302" s="17"/>
      <c r="M302" s="27">
        <f t="shared" ref="M302:R302" si="77">M282</f>
        <v>970959</v>
      </c>
      <c r="N302" s="27">
        <f t="shared" si="77"/>
        <v>1331772</v>
      </c>
      <c r="O302" s="27">
        <f t="shared" si="77"/>
        <v>1329478</v>
      </c>
      <c r="P302" s="27">
        <f t="shared" si="77"/>
        <v>1301231</v>
      </c>
      <c r="Q302" s="27">
        <f t="shared" si="77"/>
        <v>1559507</v>
      </c>
      <c r="R302" s="27">
        <f t="shared" si="77"/>
        <v>1412330</v>
      </c>
      <c r="S302" s="776"/>
    </row>
    <row r="303" spans="1:19">
      <c r="A303" s="685"/>
      <c r="B303" s="776"/>
      <c r="C303" s="776" t="s">
        <v>1154</v>
      </c>
      <c r="D303" s="776"/>
      <c r="E303" s="776"/>
      <c r="F303" s="17"/>
      <c r="G303" s="17"/>
      <c r="H303" s="17"/>
      <c r="I303" s="17"/>
      <c r="J303" s="17"/>
      <c r="K303" s="17"/>
      <c r="L303" s="17"/>
      <c r="M303" s="17">
        <f t="shared" ref="M303:R303" si="78">M302-M301</f>
        <v>153284.33999999997</v>
      </c>
      <c r="N303" s="17">
        <f t="shared" si="78"/>
        <v>151931.40000000014</v>
      </c>
      <c r="O303" s="17">
        <f t="shared" si="78"/>
        <v>149637.40000000014</v>
      </c>
      <c r="P303" s="17">
        <f t="shared" si="78"/>
        <v>121390.40000000014</v>
      </c>
      <c r="Q303" s="17">
        <f t="shared" si="78"/>
        <v>118496.79999999981</v>
      </c>
      <c r="R303" s="17">
        <f t="shared" si="78"/>
        <v>-64988.64000000013</v>
      </c>
      <c r="S303" s="776"/>
    </row>
    <row r="304" spans="1:19">
      <c r="A304" s="685"/>
      <c r="B304" s="776"/>
      <c r="C304" s="24" t="s">
        <v>525</v>
      </c>
      <c r="D304" s="776"/>
      <c r="E304" s="776"/>
      <c r="F304" s="17"/>
      <c r="G304" s="17"/>
      <c r="H304" s="17"/>
      <c r="I304" s="17"/>
      <c r="J304" s="17"/>
      <c r="K304" s="17"/>
      <c r="L304" s="17"/>
      <c r="M304" s="17"/>
      <c r="N304" s="17">
        <f>N303-M303</f>
        <v>-1352.9399999998277</v>
      </c>
      <c r="O304" s="17">
        <f>O303-N303</f>
        <v>-2294</v>
      </c>
      <c r="P304" s="17">
        <f>P303-O303</f>
        <v>-28247</v>
      </c>
      <c r="Q304" s="17">
        <f>Q303-P303</f>
        <v>-2893.600000000326</v>
      </c>
      <c r="R304" s="17">
        <f>R303-Q303</f>
        <v>-183485.43999999994</v>
      </c>
      <c r="S304" s="776"/>
    </row>
    <row r="305" spans="1:19">
      <c r="A305" s="685"/>
      <c r="B305" s="776"/>
      <c r="C305" s="24" t="s">
        <v>1155</v>
      </c>
      <c r="D305" s="24"/>
      <c r="E305" s="24"/>
      <c r="F305" s="841">
        <v>0</v>
      </c>
      <c r="G305" s="841">
        <v>0</v>
      </c>
      <c r="H305" s="841">
        <v>0</v>
      </c>
      <c r="I305" s="841">
        <v>0</v>
      </c>
      <c r="J305" s="841">
        <v>0</v>
      </c>
      <c r="K305" s="841">
        <v>0</v>
      </c>
      <c r="L305" s="841">
        <v>0</v>
      </c>
      <c r="M305" s="841">
        <v>0.28000000000000003</v>
      </c>
      <c r="N305" s="841">
        <v>0.28000000000000003</v>
      </c>
      <c r="O305" s="841">
        <v>0.28000000000000003</v>
      </c>
      <c r="P305" s="841">
        <v>0.28000000000000003</v>
      </c>
      <c r="Q305" s="841">
        <v>0.28000000000000003</v>
      </c>
      <c r="R305" s="841">
        <v>0.28000000000000003</v>
      </c>
      <c r="S305" s="776"/>
    </row>
    <row r="306" spans="1:19">
      <c r="A306" s="685"/>
      <c r="B306" s="776"/>
      <c r="C306" s="776" t="s">
        <v>1156</v>
      </c>
      <c r="D306" s="776"/>
      <c r="E306" s="776"/>
      <c r="F306" s="17"/>
      <c r="G306" s="17"/>
      <c r="H306" s="17"/>
      <c r="I306" s="17"/>
      <c r="J306" s="17"/>
      <c r="K306" s="17"/>
      <c r="L306" s="17"/>
      <c r="M306" s="9">
        <f t="shared" ref="M306:R306" si="79">M305*M297</f>
        <v>693784.56</v>
      </c>
      <c r="N306" s="9">
        <f t="shared" si="79"/>
        <v>1101184.56</v>
      </c>
      <c r="O306" s="9">
        <f t="shared" si="79"/>
        <v>1101184.56</v>
      </c>
      <c r="P306" s="9">
        <f t="shared" si="79"/>
        <v>1101184.56</v>
      </c>
      <c r="Q306" s="9">
        <f t="shared" si="79"/>
        <v>1441010.2000000002</v>
      </c>
      <c r="R306" s="9">
        <f t="shared" si="79"/>
        <v>1477318.6400000001</v>
      </c>
      <c r="S306" s="776"/>
    </row>
    <row r="307" spans="1:19">
      <c r="A307" s="685"/>
      <c r="B307" s="776"/>
      <c r="C307" s="776" t="s">
        <v>544</v>
      </c>
      <c r="D307" s="776"/>
      <c r="E307" s="776"/>
      <c r="F307" s="17"/>
      <c r="G307" s="17"/>
      <c r="H307" s="17"/>
      <c r="I307" s="17"/>
      <c r="J307" s="17"/>
      <c r="K307" s="17"/>
      <c r="L307" s="17"/>
      <c r="M307" s="828">
        <f t="shared" ref="M307:R307" si="80">M282</f>
        <v>970959</v>
      </c>
      <c r="N307" s="828">
        <f t="shared" si="80"/>
        <v>1331772</v>
      </c>
      <c r="O307" s="828">
        <f t="shared" si="80"/>
        <v>1329478</v>
      </c>
      <c r="P307" s="828">
        <f t="shared" si="80"/>
        <v>1301231</v>
      </c>
      <c r="Q307" s="828">
        <f t="shared" si="80"/>
        <v>1559507</v>
      </c>
      <c r="R307" s="828">
        <f t="shared" si="80"/>
        <v>1412330</v>
      </c>
      <c r="S307" s="776"/>
    </row>
    <row r="308" spans="1:19">
      <c r="A308" s="685"/>
      <c r="B308" s="776"/>
      <c r="C308" s="776" t="s">
        <v>1154</v>
      </c>
      <c r="D308" s="776"/>
      <c r="E308" s="776"/>
      <c r="F308" s="17"/>
      <c r="G308" s="17"/>
      <c r="H308" s="17"/>
      <c r="I308" s="17"/>
      <c r="J308" s="17"/>
      <c r="K308" s="17"/>
      <c r="L308" s="17"/>
      <c r="M308" s="844">
        <f t="shared" ref="M308:R308" si="81">M307-M306</f>
        <v>277174.43999999994</v>
      </c>
      <c r="N308" s="844">
        <f t="shared" si="81"/>
        <v>230587.43999999994</v>
      </c>
      <c r="O308" s="844">
        <f t="shared" si="81"/>
        <v>228293.43999999994</v>
      </c>
      <c r="P308" s="844">
        <f t="shared" si="81"/>
        <v>200046.43999999994</v>
      </c>
      <c r="Q308" s="844">
        <f t="shared" si="81"/>
        <v>118496.79999999981</v>
      </c>
      <c r="R308" s="844">
        <f t="shared" si="81"/>
        <v>-64988.64000000013</v>
      </c>
      <c r="S308" s="776"/>
    </row>
    <row r="309" spans="1:19">
      <c r="A309" s="685"/>
      <c r="B309" s="776"/>
      <c r="C309" s="24" t="s">
        <v>525</v>
      </c>
      <c r="D309" s="776"/>
      <c r="E309" s="776"/>
      <c r="F309" s="17"/>
      <c r="G309" s="17"/>
      <c r="H309" s="17"/>
      <c r="I309" s="17"/>
      <c r="J309" s="17"/>
      <c r="K309" s="17"/>
      <c r="L309" s="17"/>
      <c r="M309" s="17"/>
      <c r="N309" s="17">
        <f>N308-M308</f>
        <v>-46587</v>
      </c>
      <c r="O309" s="17">
        <f>O308-N308</f>
        <v>-2294</v>
      </c>
      <c r="P309" s="17">
        <f>P308-O308</f>
        <v>-28247</v>
      </c>
      <c r="Q309" s="17">
        <f>Q308-P308</f>
        <v>-81549.64000000013</v>
      </c>
      <c r="R309" s="17">
        <f>R308-Q308</f>
        <v>-183485.43999999994</v>
      </c>
      <c r="S309" s="776"/>
    </row>
    <row r="310" spans="1:19">
      <c r="A310" s="685"/>
      <c r="B310" s="776"/>
      <c r="C310" s="4" t="s">
        <v>1157</v>
      </c>
      <c r="D310" s="4"/>
      <c r="E310" s="4"/>
      <c r="F310" s="27"/>
      <c r="G310" s="27"/>
      <c r="H310" s="27"/>
      <c r="I310" s="27"/>
      <c r="J310" s="27"/>
      <c r="K310" s="27"/>
      <c r="L310" s="27"/>
      <c r="M310" s="777"/>
      <c r="N310" s="777">
        <f>N270</f>
        <v>-113928</v>
      </c>
      <c r="O310" s="777">
        <v>0</v>
      </c>
      <c r="P310" s="777">
        <v>0</v>
      </c>
      <c r="Q310" s="777">
        <f>Q270</f>
        <v>-103270</v>
      </c>
      <c r="R310" s="777">
        <f>R270</f>
        <v>-2610</v>
      </c>
      <c r="S310" s="776"/>
    </row>
    <row r="311" spans="1:19">
      <c r="A311" s="685"/>
      <c r="B311" s="776"/>
      <c r="C311" s="845" t="s">
        <v>1158</v>
      </c>
      <c r="D311" s="837"/>
      <c r="E311" s="837"/>
      <c r="F311" s="815">
        <v>1999</v>
      </c>
      <c r="G311" s="815">
        <f>F311+1</f>
        <v>2000</v>
      </c>
      <c r="H311" s="815">
        <f t="shared" ref="H311:N311" si="82">G311+1</f>
        <v>2001</v>
      </c>
      <c r="I311" s="815">
        <f t="shared" si="82"/>
        <v>2002</v>
      </c>
      <c r="J311" s="815">
        <f t="shared" si="82"/>
        <v>2003</v>
      </c>
      <c r="K311" s="815">
        <f t="shared" si="82"/>
        <v>2004</v>
      </c>
      <c r="L311" s="815">
        <f t="shared" si="82"/>
        <v>2005</v>
      </c>
      <c r="M311" s="815">
        <f t="shared" si="82"/>
        <v>2006</v>
      </c>
      <c r="N311" s="815">
        <f t="shared" si="82"/>
        <v>2007</v>
      </c>
      <c r="O311" s="815">
        <f>N311+1</f>
        <v>2008</v>
      </c>
      <c r="P311" s="815">
        <f>O311+1</f>
        <v>2009</v>
      </c>
      <c r="Q311" s="815">
        <f>P311+1</f>
        <v>2010</v>
      </c>
      <c r="R311" s="815">
        <f>Q311+1</f>
        <v>2011</v>
      </c>
      <c r="S311" s="776"/>
    </row>
    <row r="312" spans="1:19">
      <c r="A312" s="685"/>
      <c r="B312" s="776"/>
      <c r="C312" s="776"/>
      <c r="D312" s="776"/>
      <c r="E312" s="776"/>
      <c r="F312" s="2"/>
      <c r="G312" s="2"/>
      <c r="H312" s="2"/>
      <c r="I312" s="2"/>
      <c r="J312" s="2"/>
      <c r="K312" s="2"/>
      <c r="L312" s="2"/>
      <c r="M312" s="2" t="s">
        <v>1159</v>
      </c>
      <c r="N312" s="2"/>
      <c r="O312" s="846" t="s">
        <v>1160</v>
      </c>
      <c r="P312" s="847" t="s">
        <v>1161</v>
      </c>
      <c r="Q312" s="848"/>
      <c r="R312" s="776"/>
      <c r="S312" s="776"/>
    </row>
    <row r="313" spans="1:19">
      <c r="A313" s="685"/>
      <c r="B313" s="776"/>
      <c r="C313" s="776" t="s">
        <v>343</v>
      </c>
      <c r="D313" s="776"/>
      <c r="E313" s="776"/>
      <c r="F313" s="2"/>
      <c r="G313" s="2"/>
      <c r="H313" s="2"/>
      <c r="I313" s="2"/>
      <c r="J313" s="2"/>
      <c r="K313" s="2"/>
      <c r="L313" s="2"/>
      <c r="M313" s="343">
        <f>M47</f>
        <v>1652713</v>
      </c>
      <c r="N313" s="343">
        <f>N47</f>
        <v>2746509</v>
      </c>
      <c r="O313" s="849">
        <f>N313-M313</f>
        <v>1093796</v>
      </c>
      <c r="P313" s="11">
        <v>1455000</v>
      </c>
      <c r="Q313" s="260"/>
      <c r="R313" s="17"/>
      <c r="S313" s="776"/>
    </row>
    <row r="314" spans="1:19">
      <c r="A314" s="685"/>
      <c r="B314" s="776"/>
      <c r="C314" s="776" t="s">
        <v>349</v>
      </c>
      <c r="D314" s="776"/>
      <c r="E314" s="776"/>
      <c r="F314" s="2"/>
      <c r="G314" s="2"/>
      <c r="H314" s="2"/>
      <c r="I314" s="2"/>
      <c r="J314" s="2"/>
      <c r="K314" s="2"/>
      <c r="L314" s="2"/>
      <c r="M314" s="2">
        <f>M313-M315</f>
        <v>681754</v>
      </c>
      <c r="N314" s="2">
        <f>N313-N315</f>
        <v>1414737</v>
      </c>
      <c r="O314" s="849">
        <f>N314-M314</f>
        <v>732983</v>
      </c>
      <c r="P314" s="11">
        <f>P313-P315</f>
        <v>978927</v>
      </c>
      <c r="Q314" s="260"/>
      <c r="R314" s="776"/>
      <c r="S314" s="776"/>
    </row>
    <row r="315" spans="1:19">
      <c r="A315" s="685"/>
      <c r="B315" s="776"/>
      <c r="C315" s="776" t="s">
        <v>544</v>
      </c>
      <c r="D315" s="776"/>
      <c r="E315" s="776"/>
      <c r="F315" s="2"/>
      <c r="G315" s="2"/>
      <c r="H315" s="2"/>
      <c r="I315" s="2"/>
      <c r="J315" s="2"/>
      <c r="K315" s="2"/>
      <c r="L315" s="2"/>
      <c r="M315" s="2">
        <f>M40</f>
        <v>970959</v>
      </c>
      <c r="N315" s="2">
        <f>N40</f>
        <v>1331772</v>
      </c>
      <c r="O315" s="849">
        <f>N315-M315</f>
        <v>360813</v>
      </c>
      <c r="P315" s="11">
        <v>476073</v>
      </c>
      <c r="Q315" s="850">
        <f>P315-O315</f>
        <v>115260</v>
      </c>
      <c r="R315" s="851" t="s">
        <v>1162</v>
      </c>
      <c r="S315" s="776"/>
    </row>
    <row r="316" spans="1:19">
      <c r="A316" s="685"/>
      <c r="B316" s="776"/>
      <c r="C316" s="776"/>
      <c r="D316" s="776"/>
      <c r="E316" s="776"/>
      <c r="F316" s="2"/>
      <c r="G316" s="2"/>
      <c r="H316" s="2"/>
      <c r="I316" s="2"/>
      <c r="J316" s="11"/>
      <c r="K316" s="2"/>
      <c r="L316" s="11" t="s">
        <v>525</v>
      </c>
      <c r="M316" s="776"/>
      <c r="N316" s="11"/>
      <c r="O316" s="852"/>
      <c r="P316" s="4"/>
      <c r="Q316" s="853">
        <v>114173</v>
      </c>
      <c r="R316" s="2" t="s">
        <v>1142</v>
      </c>
      <c r="S316" s="776"/>
    </row>
    <row r="317" spans="1:19">
      <c r="A317" s="685"/>
      <c r="B317" s="776"/>
      <c r="C317" s="776"/>
      <c r="D317" s="776"/>
      <c r="E317" s="776"/>
      <c r="F317" s="2"/>
      <c r="G317" s="2"/>
      <c r="H317" s="2"/>
      <c r="I317" s="2"/>
      <c r="J317" s="2"/>
      <c r="K317" s="2"/>
      <c r="L317" s="11" t="s">
        <v>1163</v>
      </c>
      <c r="M317" s="11">
        <v>-824177</v>
      </c>
      <c r="N317" s="11">
        <v>-1192386</v>
      </c>
      <c r="O317" s="776"/>
      <c r="P317" s="2"/>
      <c r="Q317" s="776"/>
      <c r="R317" s="2"/>
      <c r="S317" s="776"/>
    </row>
    <row r="318" spans="1:19">
      <c r="A318" s="685"/>
      <c r="B318" s="776"/>
      <c r="C318" s="776"/>
      <c r="D318" s="776"/>
      <c r="E318" s="776"/>
      <c r="F318" s="2"/>
      <c r="G318" s="2"/>
      <c r="H318" s="2"/>
      <c r="I318" s="2"/>
      <c r="J318" s="2"/>
      <c r="K318" s="2"/>
      <c r="L318" s="11" t="s">
        <v>1164</v>
      </c>
      <c r="M318" s="11">
        <v>818870</v>
      </c>
      <c r="N318" s="11">
        <v>1178793</v>
      </c>
      <c r="O318" s="776"/>
      <c r="P318" s="2"/>
      <c r="Q318" s="11"/>
      <c r="R318" s="2"/>
      <c r="S318" s="776"/>
    </row>
    <row r="319" spans="1:19">
      <c r="A319" s="685"/>
      <c r="B319" s="776"/>
      <c r="C319" s="776"/>
      <c r="D319" s="776"/>
      <c r="E319" s="776"/>
      <c r="F319" s="2"/>
      <c r="G319" s="2"/>
      <c r="H319" s="2"/>
      <c r="I319" s="2"/>
      <c r="J319" s="2"/>
      <c r="K319" s="2"/>
      <c r="L319" s="2"/>
      <c r="M319" s="2"/>
      <c r="N319" s="2"/>
      <c r="O319" s="2"/>
      <c r="P319" s="2"/>
      <c r="Q319" s="776"/>
      <c r="R319" s="776"/>
      <c r="S319" s="854" t="s">
        <v>1165</v>
      </c>
    </row>
    <row r="320" spans="1:19">
      <c r="A320" s="685"/>
      <c r="B320" s="776"/>
      <c r="C320" s="776" t="s">
        <v>546</v>
      </c>
      <c r="D320" s="776"/>
      <c r="E320" s="776"/>
      <c r="F320" s="11"/>
      <c r="G320" s="11">
        <f t="shared" ref="G320:R320" si="83">G47</f>
        <v>77813</v>
      </c>
      <c r="H320" s="11">
        <f t="shared" si="83"/>
        <v>77813</v>
      </c>
      <c r="I320" s="11">
        <f t="shared" si="83"/>
        <v>77802</v>
      </c>
      <c r="J320" s="11">
        <f t="shared" si="83"/>
        <v>677802</v>
      </c>
      <c r="K320" s="11">
        <f t="shared" si="83"/>
        <v>677802</v>
      </c>
      <c r="L320" s="11">
        <f t="shared" si="83"/>
        <v>677802</v>
      </c>
      <c r="M320" s="11">
        <f t="shared" si="83"/>
        <v>1652713</v>
      </c>
      <c r="N320" s="11">
        <f t="shared" si="83"/>
        <v>2746509</v>
      </c>
      <c r="O320" s="11">
        <f t="shared" si="83"/>
        <v>2737795</v>
      </c>
      <c r="P320" s="11">
        <f t="shared" si="83"/>
        <v>2737092</v>
      </c>
      <c r="Q320" s="11">
        <f t="shared" si="83"/>
        <v>3686651</v>
      </c>
      <c r="R320" s="11">
        <f t="shared" si="83"/>
        <v>3392516</v>
      </c>
      <c r="S320" s="855">
        <f>N320-M320</f>
        <v>1093796</v>
      </c>
    </row>
    <row r="321" spans="1:19">
      <c r="A321" s="685"/>
      <c r="B321" s="776"/>
      <c r="C321" s="776" t="s">
        <v>525</v>
      </c>
      <c r="D321" s="776"/>
      <c r="E321" s="776"/>
      <c r="F321" s="11">
        <f>F320-E320</f>
        <v>0</v>
      </c>
      <c r="G321" s="11">
        <f>G320-F320</f>
        <v>77813</v>
      </c>
      <c r="H321" s="11">
        <f>H320-G320</f>
        <v>0</v>
      </c>
      <c r="I321" s="11">
        <f>I320-H320</f>
        <v>-11</v>
      </c>
      <c r="J321" s="11">
        <f>J320-I320</f>
        <v>600000</v>
      </c>
      <c r="K321" s="11">
        <f t="shared" ref="K321:P321" si="84">K320-J320</f>
        <v>0</v>
      </c>
      <c r="L321" s="11">
        <f t="shared" si="84"/>
        <v>0</v>
      </c>
      <c r="M321" s="11">
        <f t="shared" si="84"/>
        <v>974911</v>
      </c>
      <c r="N321" s="11">
        <f t="shared" si="84"/>
        <v>1093796</v>
      </c>
      <c r="O321" s="11">
        <f t="shared" si="84"/>
        <v>-8714</v>
      </c>
      <c r="P321" s="11">
        <f t="shared" si="84"/>
        <v>-703</v>
      </c>
      <c r="Q321" s="11">
        <f>Q320-P320</f>
        <v>949559</v>
      </c>
      <c r="R321" s="11">
        <f>R320-Q320</f>
        <v>-294135</v>
      </c>
      <c r="S321" s="855">
        <f>N321-M321</f>
        <v>118885</v>
      </c>
    </row>
    <row r="322" spans="1:19">
      <c r="A322" s="685"/>
      <c r="B322" s="776"/>
      <c r="C322" s="776"/>
      <c r="D322" s="776"/>
      <c r="E322" s="776"/>
      <c r="F322" s="11"/>
      <c r="G322" s="11"/>
      <c r="H322" s="11"/>
      <c r="I322" s="11"/>
      <c r="J322" s="11"/>
      <c r="K322" s="11"/>
      <c r="L322" s="11"/>
      <c r="M322" s="11"/>
      <c r="N322" s="11"/>
      <c r="O322" s="11"/>
      <c r="P322" s="11"/>
      <c r="Q322" s="11"/>
      <c r="R322" s="11"/>
      <c r="S322" s="855"/>
    </row>
    <row r="323" spans="1:19">
      <c r="A323" s="685"/>
      <c r="B323" s="776"/>
      <c r="C323" s="776" t="s">
        <v>544</v>
      </c>
      <c r="D323" s="776"/>
      <c r="E323" s="776"/>
      <c r="F323" s="11">
        <f t="shared" ref="F323:R323" si="85">F40</f>
        <v>5014</v>
      </c>
      <c r="G323" s="11">
        <f t="shared" si="85"/>
        <v>28728</v>
      </c>
      <c r="H323" s="11">
        <f t="shared" si="85"/>
        <v>66401</v>
      </c>
      <c r="I323" s="11">
        <f t="shared" si="85"/>
        <v>92031</v>
      </c>
      <c r="J323" s="11">
        <f t="shared" si="85"/>
        <v>138871</v>
      </c>
      <c r="K323" s="11">
        <f t="shared" si="85"/>
        <v>145260</v>
      </c>
      <c r="L323" s="11">
        <f t="shared" si="85"/>
        <v>179168</v>
      </c>
      <c r="M323" s="11">
        <f t="shared" si="85"/>
        <v>970959</v>
      </c>
      <c r="N323" s="11">
        <f t="shared" si="85"/>
        <v>1331772</v>
      </c>
      <c r="O323" s="11">
        <f t="shared" si="85"/>
        <v>1329478</v>
      </c>
      <c r="P323" s="11">
        <f t="shared" si="85"/>
        <v>1301231</v>
      </c>
      <c r="Q323" s="11">
        <f t="shared" si="85"/>
        <v>1559507</v>
      </c>
      <c r="R323" s="11">
        <f t="shared" si="85"/>
        <v>1412330</v>
      </c>
      <c r="S323" s="855">
        <f>N323-M323</f>
        <v>360813</v>
      </c>
    </row>
    <row r="324" spans="1:19">
      <c r="A324" s="685"/>
      <c r="B324" s="776"/>
      <c r="C324" s="776" t="s">
        <v>1166</v>
      </c>
      <c r="D324" s="776"/>
      <c r="E324" s="776"/>
      <c r="F324" s="12">
        <f t="shared" ref="F324:P324" si="86">F320-F323</f>
        <v>-5014</v>
      </c>
      <c r="G324" s="12">
        <f t="shared" si="86"/>
        <v>49085</v>
      </c>
      <c r="H324" s="12">
        <f t="shared" si="86"/>
        <v>11412</v>
      </c>
      <c r="I324" s="12">
        <f t="shared" si="86"/>
        <v>-14229</v>
      </c>
      <c r="J324" s="12">
        <f t="shared" si="86"/>
        <v>538931</v>
      </c>
      <c r="K324" s="12">
        <f t="shared" si="86"/>
        <v>532542</v>
      </c>
      <c r="L324" s="12">
        <f t="shared" si="86"/>
        <v>498634</v>
      </c>
      <c r="M324" s="12">
        <f t="shared" si="86"/>
        <v>681754</v>
      </c>
      <c r="N324" s="12">
        <f t="shared" si="86"/>
        <v>1414737</v>
      </c>
      <c r="O324" s="12">
        <f t="shared" si="86"/>
        <v>1408317</v>
      </c>
      <c r="P324" s="12">
        <f t="shared" si="86"/>
        <v>1435861</v>
      </c>
      <c r="Q324" s="12">
        <f>Q320-Q323</f>
        <v>2127144</v>
      </c>
      <c r="R324" s="12">
        <f>R320-R323</f>
        <v>1980186</v>
      </c>
      <c r="S324" s="856">
        <f>N324-M324</f>
        <v>732983</v>
      </c>
    </row>
    <row r="325" spans="1:19">
      <c r="A325" s="685"/>
      <c r="B325" s="776"/>
      <c r="C325" s="4" t="s">
        <v>546</v>
      </c>
      <c r="D325" s="4"/>
      <c r="E325" s="4"/>
      <c r="F325" s="12">
        <f t="shared" ref="F325:P325" si="87">F323+F324</f>
        <v>0</v>
      </c>
      <c r="G325" s="12">
        <f t="shared" si="87"/>
        <v>77813</v>
      </c>
      <c r="H325" s="12">
        <f t="shared" si="87"/>
        <v>77813</v>
      </c>
      <c r="I325" s="12">
        <f t="shared" si="87"/>
        <v>77802</v>
      </c>
      <c r="J325" s="12">
        <f t="shared" si="87"/>
        <v>677802</v>
      </c>
      <c r="K325" s="12">
        <f t="shared" si="87"/>
        <v>677802</v>
      </c>
      <c r="L325" s="12">
        <f t="shared" si="87"/>
        <v>677802</v>
      </c>
      <c r="M325" s="12">
        <f t="shared" si="87"/>
        <v>1652713</v>
      </c>
      <c r="N325" s="12">
        <f t="shared" si="87"/>
        <v>2746509</v>
      </c>
      <c r="O325" s="12">
        <f t="shared" si="87"/>
        <v>2737795</v>
      </c>
      <c r="P325" s="12">
        <f t="shared" si="87"/>
        <v>2737092</v>
      </c>
      <c r="Q325" s="12">
        <f>Q323+Q324</f>
        <v>3686651</v>
      </c>
      <c r="R325" s="12">
        <f>R323+R324</f>
        <v>3392516</v>
      </c>
      <c r="S325" s="856">
        <f>N325-M325</f>
        <v>1093796</v>
      </c>
    </row>
    <row r="326" spans="1:19">
      <c r="A326" s="685">
        <v>4</v>
      </c>
      <c r="B326" s="776"/>
      <c r="C326" s="680" t="s">
        <v>1167</v>
      </c>
      <c r="D326" s="680"/>
      <c r="E326" s="680"/>
      <c r="F326" s="815">
        <v>1999</v>
      </c>
      <c r="G326" s="815">
        <f t="shared" ref="G326:R326" si="88">F326+1</f>
        <v>2000</v>
      </c>
      <c r="H326" s="815">
        <f t="shared" si="88"/>
        <v>2001</v>
      </c>
      <c r="I326" s="815">
        <f t="shared" si="88"/>
        <v>2002</v>
      </c>
      <c r="J326" s="815">
        <f t="shared" si="88"/>
        <v>2003</v>
      </c>
      <c r="K326" s="815">
        <f t="shared" si="88"/>
        <v>2004</v>
      </c>
      <c r="L326" s="815">
        <f t="shared" si="88"/>
        <v>2005</v>
      </c>
      <c r="M326" s="815">
        <f t="shared" si="88"/>
        <v>2006</v>
      </c>
      <c r="N326" s="815">
        <f t="shared" si="88"/>
        <v>2007</v>
      </c>
      <c r="O326" s="815">
        <f t="shared" si="88"/>
        <v>2008</v>
      </c>
      <c r="P326" s="815">
        <f t="shared" si="88"/>
        <v>2009</v>
      </c>
      <c r="Q326" s="815">
        <f t="shared" si="88"/>
        <v>2010</v>
      </c>
      <c r="R326" s="815">
        <f t="shared" si="88"/>
        <v>2011</v>
      </c>
      <c r="S326" s="776"/>
    </row>
    <row r="327" spans="1:19">
      <c r="A327" s="685"/>
      <c r="B327" s="776"/>
      <c r="C327" s="24" t="s">
        <v>1168</v>
      </c>
      <c r="D327" s="857"/>
      <c r="E327" s="857"/>
      <c r="F327" s="360">
        <v>0</v>
      </c>
      <c r="G327" s="360">
        <v>0</v>
      </c>
      <c r="H327" s="360">
        <v>0</v>
      </c>
      <c r="I327" s="360">
        <v>0</v>
      </c>
      <c r="J327" s="360">
        <v>0</v>
      </c>
      <c r="K327" s="360">
        <v>0</v>
      </c>
      <c r="L327" s="360">
        <v>0</v>
      </c>
      <c r="M327" s="360">
        <v>0.33</v>
      </c>
      <c r="N327" s="360">
        <v>0.3</v>
      </c>
      <c r="O327" s="360">
        <v>0.3</v>
      </c>
      <c r="P327" s="360">
        <v>0.3</v>
      </c>
      <c r="Q327" s="360">
        <v>0.28000000000000003</v>
      </c>
      <c r="R327" s="360">
        <v>0.28000000000000003</v>
      </c>
      <c r="S327" s="776"/>
    </row>
    <row r="328" spans="1:19">
      <c r="A328" s="685"/>
      <c r="B328" s="776"/>
      <c r="C328" s="776" t="s">
        <v>1169</v>
      </c>
      <c r="D328" s="776"/>
      <c r="E328" s="776"/>
      <c r="F328" s="17">
        <f t="shared" ref="F328:R328" si="89">F142</f>
        <v>0</v>
      </c>
      <c r="G328" s="17">
        <f t="shared" si="89"/>
        <v>-77813</v>
      </c>
      <c r="H328" s="17">
        <f t="shared" si="89"/>
        <v>-77813</v>
      </c>
      <c r="I328" s="17">
        <f t="shared" si="89"/>
        <v>-77802</v>
      </c>
      <c r="J328" s="17">
        <f t="shared" si="89"/>
        <v>-677802</v>
      </c>
      <c r="K328" s="17">
        <f t="shared" si="89"/>
        <v>-677802</v>
      </c>
      <c r="L328" s="17">
        <f t="shared" si="89"/>
        <v>-677802</v>
      </c>
      <c r="M328" s="17">
        <f t="shared" si="89"/>
        <v>-2477802</v>
      </c>
      <c r="N328" s="17">
        <f t="shared" si="89"/>
        <v>-3932802</v>
      </c>
      <c r="O328" s="17">
        <f t="shared" si="89"/>
        <v>-3932802</v>
      </c>
      <c r="P328" s="17">
        <f t="shared" si="89"/>
        <v>-3932802</v>
      </c>
      <c r="Q328" s="17">
        <f t="shared" si="89"/>
        <v>-5146465</v>
      </c>
      <c r="R328" s="17">
        <f t="shared" si="89"/>
        <v>-5276138</v>
      </c>
      <c r="S328" s="776" t="s">
        <v>1170</v>
      </c>
    </row>
    <row r="329" spans="1:19">
      <c r="A329" s="685"/>
      <c r="B329" s="776"/>
      <c r="C329" s="776" t="s">
        <v>1171</v>
      </c>
      <c r="D329" s="776"/>
      <c r="E329" s="776"/>
      <c r="F329" s="17">
        <f t="shared" ref="F329:R329" si="90">F294</f>
        <v>0</v>
      </c>
      <c r="G329" s="17">
        <f t="shared" si="90"/>
        <v>77813</v>
      </c>
      <c r="H329" s="17">
        <f t="shared" si="90"/>
        <v>77813</v>
      </c>
      <c r="I329" s="17">
        <f t="shared" si="90"/>
        <v>77802</v>
      </c>
      <c r="J329" s="17">
        <f t="shared" si="90"/>
        <v>677802</v>
      </c>
      <c r="K329" s="17">
        <f t="shared" si="90"/>
        <v>677802</v>
      </c>
      <c r="L329" s="17">
        <f t="shared" si="90"/>
        <v>677802</v>
      </c>
      <c r="M329" s="17">
        <f t="shared" si="90"/>
        <v>1652713</v>
      </c>
      <c r="N329" s="17">
        <f t="shared" si="90"/>
        <v>2746509</v>
      </c>
      <c r="O329" s="17">
        <f t="shared" si="90"/>
        <v>2737795</v>
      </c>
      <c r="P329" s="17">
        <f t="shared" si="90"/>
        <v>2737092</v>
      </c>
      <c r="Q329" s="17">
        <f t="shared" si="90"/>
        <v>3686651</v>
      </c>
      <c r="R329" s="17">
        <f t="shared" si="90"/>
        <v>3392516</v>
      </c>
      <c r="S329" s="776" t="s">
        <v>1172</v>
      </c>
    </row>
    <row r="330" spans="1:19">
      <c r="A330" s="685"/>
      <c r="B330" s="776"/>
      <c r="C330" s="4" t="s">
        <v>1077</v>
      </c>
      <c r="D330" s="4"/>
      <c r="E330" s="4"/>
      <c r="F330" s="27"/>
      <c r="G330" s="27"/>
      <c r="H330" s="27"/>
      <c r="I330" s="27"/>
      <c r="J330" s="27"/>
      <c r="K330" s="27"/>
      <c r="L330" s="27"/>
      <c r="M330" s="27">
        <f t="shared" ref="M330:R330" si="91">M327*M328</f>
        <v>-817674.66</v>
      </c>
      <c r="N330" s="27">
        <f t="shared" si="91"/>
        <v>-1179840.5999999999</v>
      </c>
      <c r="O330" s="27">
        <f t="shared" si="91"/>
        <v>-1179840.5999999999</v>
      </c>
      <c r="P330" s="27">
        <f t="shared" si="91"/>
        <v>-1179840.5999999999</v>
      </c>
      <c r="Q330" s="27">
        <f t="shared" si="91"/>
        <v>-1441010.2000000002</v>
      </c>
      <c r="R330" s="27">
        <f t="shared" si="91"/>
        <v>-1477318.6400000001</v>
      </c>
      <c r="S330" s="776" t="s">
        <v>1173</v>
      </c>
    </row>
    <row r="331" spans="1:19">
      <c r="A331" s="685"/>
      <c r="B331" s="776"/>
      <c r="C331" s="24" t="s">
        <v>1168</v>
      </c>
      <c r="D331" s="776"/>
      <c r="E331" s="776"/>
      <c r="F331" s="75"/>
      <c r="G331" s="17"/>
      <c r="H331" s="17"/>
      <c r="I331" s="17"/>
      <c r="J331" s="17"/>
      <c r="K331" s="17"/>
      <c r="L331" s="17"/>
      <c r="M331" s="858">
        <v>0.28000000000000003</v>
      </c>
      <c r="N331" s="859">
        <v>0.28000000000000003</v>
      </c>
      <c r="O331" s="859">
        <v>0.28000000000000003</v>
      </c>
      <c r="P331" s="859">
        <v>0.28000000000000003</v>
      </c>
      <c r="Q331" s="859">
        <v>0.28000000000000003</v>
      </c>
      <c r="R331" s="859">
        <v>0.28000000000000003</v>
      </c>
      <c r="S331" s="776" t="s">
        <v>1174</v>
      </c>
    </row>
    <row r="332" spans="1:19">
      <c r="A332" s="685"/>
      <c r="B332" s="776"/>
      <c r="C332" s="776" t="s">
        <v>1169</v>
      </c>
      <c r="D332" s="776"/>
      <c r="E332" s="776"/>
      <c r="F332" s="835">
        <f t="shared" ref="F332:R332" si="92">+F142</f>
        <v>0</v>
      </c>
      <c r="G332" s="835">
        <f t="shared" si="92"/>
        <v>-77813</v>
      </c>
      <c r="H332" s="835">
        <f t="shared" si="92"/>
        <v>-77813</v>
      </c>
      <c r="I332" s="835">
        <f t="shared" si="92"/>
        <v>-77802</v>
      </c>
      <c r="J332" s="835">
        <f t="shared" si="92"/>
        <v>-677802</v>
      </c>
      <c r="K332" s="835">
        <f t="shared" si="92"/>
        <v>-677802</v>
      </c>
      <c r="L332" s="835">
        <f t="shared" si="92"/>
        <v>-677802</v>
      </c>
      <c r="M332" s="835">
        <f t="shared" si="92"/>
        <v>-2477802</v>
      </c>
      <c r="N332" s="835">
        <f t="shared" si="92"/>
        <v>-3932802</v>
      </c>
      <c r="O332" s="835">
        <f t="shared" si="92"/>
        <v>-3932802</v>
      </c>
      <c r="P332" s="835">
        <f t="shared" si="92"/>
        <v>-3932802</v>
      </c>
      <c r="Q332" s="835">
        <f t="shared" si="92"/>
        <v>-5146465</v>
      </c>
      <c r="R332" s="835">
        <f t="shared" si="92"/>
        <v>-5276138</v>
      </c>
      <c r="S332" s="776" t="s">
        <v>1170</v>
      </c>
    </row>
    <row r="333" spans="1:19">
      <c r="A333" s="685"/>
      <c r="B333" s="776"/>
      <c r="C333" s="776" t="s">
        <v>1171</v>
      </c>
      <c r="D333" s="776"/>
      <c r="E333" s="776"/>
      <c r="F333" s="835">
        <f>F329</f>
        <v>0</v>
      </c>
      <c r="G333" s="835">
        <f t="shared" ref="G333:L333" si="93">G329</f>
        <v>77813</v>
      </c>
      <c r="H333" s="835">
        <f t="shared" si="93"/>
        <v>77813</v>
      </c>
      <c r="I333" s="835">
        <f t="shared" si="93"/>
        <v>77802</v>
      </c>
      <c r="J333" s="835">
        <f t="shared" si="93"/>
        <v>677802</v>
      </c>
      <c r="K333" s="835">
        <f t="shared" si="93"/>
        <v>677802</v>
      </c>
      <c r="L333" s="835">
        <f t="shared" si="93"/>
        <v>677802</v>
      </c>
      <c r="M333" s="835">
        <f t="shared" ref="M333:R333" si="94">M334-M332</f>
        <v>1784017.44</v>
      </c>
      <c r="N333" s="835">
        <f t="shared" si="94"/>
        <v>2831617.44</v>
      </c>
      <c r="O333" s="835">
        <f t="shared" si="94"/>
        <v>2831617.44</v>
      </c>
      <c r="P333" s="835">
        <f t="shared" si="94"/>
        <v>2831617.44</v>
      </c>
      <c r="Q333" s="835">
        <f t="shared" si="94"/>
        <v>3705454.8</v>
      </c>
      <c r="R333" s="835">
        <f t="shared" si="94"/>
        <v>3798819.36</v>
      </c>
      <c r="S333" s="776" t="s">
        <v>1172</v>
      </c>
    </row>
    <row r="334" spans="1:19">
      <c r="A334" s="685"/>
      <c r="B334" s="776"/>
      <c r="C334" s="776" t="s">
        <v>1077</v>
      </c>
      <c r="D334" s="776"/>
      <c r="E334" s="776"/>
      <c r="F334" s="647"/>
      <c r="G334" s="835"/>
      <c r="H334" s="835"/>
      <c r="I334" s="835"/>
      <c r="J334" s="835"/>
      <c r="K334" s="835"/>
      <c r="L334" s="835"/>
      <c r="M334" s="777">
        <f t="shared" ref="M334:R334" si="95">M332*M331</f>
        <v>-693784.56</v>
      </c>
      <c r="N334" s="777">
        <f t="shared" si="95"/>
        <v>-1101184.56</v>
      </c>
      <c r="O334" s="777">
        <f t="shared" si="95"/>
        <v>-1101184.56</v>
      </c>
      <c r="P334" s="777">
        <f t="shared" si="95"/>
        <v>-1101184.56</v>
      </c>
      <c r="Q334" s="777">
        <f t="shared" si="95"/>
        <v>-1441010.2000000002</v>
      </c>
      <c r="R334" s="777">
        <f t="shared" si="95"/>
        <v>-1477318.6400000001</v>
      </c>
      <c r="S334" s="776" t="s">
        <v>1173</v>
      </c>
    </row>
    <row r="335" spans="1:19">
      <c r="A335" s="685"/>
      <c r="B335" s="776"/>
      <c r="C335" s="776"/>
      <c r="D335" s="776"/>
      <c r="E335" s="776"/>
      <c r="F335" s="75"/>
      <c r="G335" s="17"/>
      <c r="H335" s="17"/>
      <c r="I335" s="17"/>
      <c r="J335" s="17"/>
      <c r="K335" s="776" t="s">
        <v>155</v>
      </c>
      <c r="L335" s="776" t="s">
        <v>1175</v>
      </c>
      <c r="M335" s="17">
        <f t="shared" ref="M335:R335" si="96">M330-M334</f>
        <v>-123890.09999999998</v>
      </c>
      <c r="N335" s="17">
        <f t="shared" si="96"/>
        <v>-78656.039999999804</v>
      </c>
      <c r="O335" s="17">
        <f t="shared" si="96"/>
        <v>-78656.039999999804</v>
      </c>
      <c r="P335" s="17">
        <f t="shared" si="96"/>
        <v>-78656.039999999804</v>
      </c>
      <c r="Q335" s="17">
        <f t="shared" si="96"/>
        <v>0</v>
      </c>
      <c r="R335" s="17">
        <f t="shared" si="96"/>
        <v>0</v>
      </c>
      <c r="S335" s="776" t="s">
        <v>1176</v>
      </c>
    </row>
    <row r="336" spans="1:19">
      <c r="A336" s="685"/>
      <c r="B336" s="776"/>
      <c r="C336" s="1"/>
      <c r="D336" s="776"/>
      <c r="E336" s="776"/>
      <c r="F336" s="17"/>
      <c r="G336" s="17"/>
      <c r="H336" s="17"/>
      <c r="I336" s="17"/>
      <c r="J336" s="17"/>
      <c r="K336" s="776" t="s">
        <v>155</v>
      </c>
      <c r="L336" s="17" t="s">
        <v>1177</v>
      </c>
      <c r="M336" s="17">
        <f t="shared" ref="M336:R336" si="97">M329-M333</f>
        <v>-131304.43999999994</v>
      </c>
      <c r="N336" s="17">
        <f t="shared" si="97"/>
        <v>-85108.439999999944</v>
      </c>
      <c r="O336" s="17">
        <f t="shared" si="97"/>
        <v>-93822.439999999944</v>
      </c>
      <c r="P336" s="17">
        <f t="shared" si="97"/>
        <v>-94525.439999999944</v>
      </c>
      <c r="Q336" s="17">
        <f t="shared" si="97"/>
        <v>-18803.799999999814</v>
      </c>
      <c r="R336" s="17">
        <f t="shared" si="97"/>
        <v>-406303.35999999987</v>
      </c>
      <c r="S336" s="776"/>
    </row>
    <row r="337" spans="1:19">
      <c r="A337" s="708"/>
      <c r="B337" s="4"/>
      <c r="C337" s="16"/>
      <c r="D337" s="4"/>
      <c r="E337" s="4"/>
      <c r="F337" s="4"/>
      <c r="G337" s="27"/>
      <c r="H337" s="27"/>
      <c r="I337" s="27"/>
      <c r="J337" s="27"/>
      <c r="K337" s="27"/>
      <c r="L337" s="27"/>
      <c r="M337" s="777"/>
      <c r="N337" s="777"/>
      <c r="O337" s="777"/>
      <c r="P337" s="777"/>
      <c r="Q337" s="777"/>
      <c r="R337" s="777"/>
      <c r="S337" s="776"/>
    </row>
    <row r="338" spans="1:19">
      <c r="A338" s="685"/>
      <c r="B338" s="776"/>
      <c r="C338" s="776" t="str">
        <f>C250</f>
        <v>Deferred Tax actual</v>
      </c>
      <c r="D338" s="776"/>
      <c r="E338" s="776"/>
      <c r="F338" s="17">
        <f>F40</f>
        <v>5014</v>
      </c>
      <c r="G338" s="17">
        <f t="shared" ref="G338:R338" si="98">G40</f>
        <v>28728</v>
      </c>
      <c r="H338" s="17">
        <f t="shared" si="98"/>
        <v>66401</v>
      </c>
      <c r="I338" s="17">
        <f t="shared" si="98"/>
        <v>92031</v>
      </c>
      <c r="J338" s="17">
        <f t="shared" si="98"/>
        <v>138871</v>
      </c>
      <c r="K338" s="17">
        <f t="shared" si="98"/>
        <v>145260</v>
      </c>
      <c r="L338" s="17">
        <f t="shared" si="98"/>
        <v>179168</v>
      </c>
      <c r="M338" s="17">
        <f t="shared" si="98"/>
        <v>970959</v>
      </c>
      <c r="N338" s="17">
        <f t="shared" si="98"/>
        <v>1331772</v>
      </c>
      <c r="O338" s="17">
        <f t="shared" si="98"/>
        <v>1329478</v>
      </c>
      <c r="P338" s="17">
        <f t="shared" si="98"/>
        <v>1301231</v>
      </c>
      <c r="Q338" s="17">
        <f t="shared" si="98"/>
        <v>1559507</v>
      </c>
      <c r="R338" s="17">
        <f t="shared" si="98"/>
        <v>1412330</v>
      </c>
      <c r="S338" s="17"/>
    </row>
    <row r="339" spans="1:19">
      <c r="A339" s="685">
        <v>313</v>
      </c>
      <c r="B339" s="776"/>
      <c r="C339" s="776" t="s">
        <v>1178</v>
      </c>
      <c r="D339" s="776"/>
      <c r="E339" s="860">
        <v>0.28000000000000003</v>
      </c>
      <c r="F339" s="17"/>
      <c r="G339" s="17"/>
      <c r="H339" s="17"/>
      <c r="I339" s="17"/>
      <c r="J339" s="17"/>
      <c r="K339" s="17"/>
      <c r="L339" s="17"/>
      <c r="M339" s="17">
        <f t="shared" ref="M339:R339" si="99">M334</f>
        <v>-693784.56</v>
      </c>
      <c r="N339" s="17">
        <f t="shared" si="99"/>
        <v>-1101184.56</v>
      </c>
      <c r="O339" s="17">
        <f t="shared" si="99"/>
        <v>-1101184.56</v>
      </c>
      <c r="P339" s="17">
        <f t="shared" si="99"/>
        <v>-1101184.56</v>
      </c>
      <c r="Q339" s="17">
        <f t="shared" si="99"/>
        <v>-1441010.2000000002</v>
      </c>
      <c r="R339" s="17">
        <f t="shared" si="99"/>
        <v>-1477318.6400000001</v>
      </c>
      <c r="S339" s="17"/>
    </row>
    <row r="340" spans="1:19">
      <c r="A340" s="685"/>
      <c r="B340" s="776"/>
      <c r="C340" s="776" t="str">
        <f>C270</f>
        <v>Revaluation Reserve Tax Rate adj</v>
      </c>
      <c r="D340" s="776"/>
      <c r="E340" s="776"/>
      <c r="F340" s="17"/>
      <c r="G340" s="17"/>
      <c r="H340" s="17"/>
      <c r="I340" s="17"/>
      <c r="J340" s="17"/>
      <c r="K340" s="17"/>
      <c r="L340" s="17"/>
      <c r="M340" s="17"/>
      <c r="N340" s="17">
        <f>N270</f>
        <v>-113928</v>
      </c>
      <c r="O340" s="17">
        <f>O270</f>
        <v>0</v>
      </c>
      <c r="P340" s="17">
        <f>P270</f>
        <v>0</v>
      </c>
      <c r="Q340" s="17">
        <f>Q270</f>
        <v>-103270</v>
      </c>
      <c r="R340" s="17">
        <f>R270</f>
        <v>-2610</v>
      </c>
      <c r="S340" s="776"/>
    </row>
    <row r="341" spans="1:19">
      <c r="A341" s="685"/>
      <c r="B341" s="776"/>
      <c r="C341" s="776" t="str">
        <f>C256</f>
        <v>Disposal Subsidiary</v>
      </c>
      <c r="D341" s="776"/>
      <c r="E341" s="776"/>
      <c r="F341" s="17"/>
      <c r="G341" s="17"/>
      <c r="H341" s="17"/>
      <c r="I341" s="17"/>
      <c r="J341" s="17"/>
      <c r="K341" s="17"/>
      <c r="L341" s="17"/>
      <c r="M341" s="835">
        <f t="shared" ref="M341:R341" si="100">M256</f>
        <v>-22865</v>
      </c>
      <c r="N341" s="17">
        <f t="shared" si="100"/>
        <v>0</v>
      </c>
      <c r="O341" s="17">
        <f t="shared" si="100"/>
        <v>0</v>
      </c>
      <c r="P341" s="17">
        <f t="shared" si="100"/>
        <v>0</v>
      </c>
      <c r="Q341" s="17">
        <f t="shared" si="100"/>
        <v>0</v>
      </c>
      <c r="R341" s="17">
        <f t="shared" si="100"/>
        <v>0</v>
      </c>
      <c r="S341" s="776"/>
    </row>
    <row r="342" spans="1:19">
      <c r="A342" s="685"/>
      <c r="B342" s="776"/>
      <c r="C342" s="776" t="str">
        <f>C274</f>
        <v>Tax Depreciation change</v>
      </c>
      <c r="D342" s="776"/>
      <c r="E342" s="776"/>
      <c r="F342" s="27"/>
      <c r="G342" s="27"/>
      <c r="H342" s="27"/>
      <c r="I342" s="27"/>
      <c r="J342" s="27"/>
      <c r="K342" s="27"/>
      <c r="L342" s="27"/>
      <c r="M342" s="27"/>
      <c r="N342" s="27"/>
      <c r="O342" s="27"/>
      <c r="P342" s="27"/>
      <c r="Q342" s="861"/>
      <c r="R342" s="862"/>
      <c r="S342" s="776"/>
    </row>
    <row r="343" spans="1:19">
      <c r="A343" s="685"/>
      <c r="B343" s="776"/>
      <c r="C343" s="776" t="s">
        <v>1179</v>
      </c>
      <c r="D343" s="776"/>
      <c r="E343" s="776"/>
      <c r="F343" s="17">
        <f>SUM(F338:F342)</f>
        <v>5014</v>
      </c>
      <c r="G343" s="17">
        <f t="shared" ref="G343:Q343" si="101">SUM(G338:G342)</f>
        <v>28728</v>
      </c>
      <c r="H343" s="17">
        <f t="shared" si="101"/>
        <v>66401</v>
      </c>
      <c r="I343" s="17">
        <f t="shared" si="101"/>
        <v>92031</v>
      </c>
      <c r="J343" s="17">
        <f t="shared" si="101"/>
        <v>138871</v>
      </c>
      <c r="K343" s="17">
        <f t="shared" si="101"/>
        <v>145260</v>
      </c>
      <c r="L343" s="17">
        <f t="shared" si="101"/>
        <v>179168</v>
      </c>
      <c r="M343" s="17">
        <f t="shared" si="101"/>
        <v>254309.43999999994</v>
      </c>
      <c r="N343" s="17">
        <f t="shared" si="101"/>
        <v>116659.43999999994</v>
      </c>
      <c r="O343" s="17">
        <f t="shared" si="101"/>
        <v>228293.43999999994</v>
      </c>
      <c r="P343" s="17">
        <f t="shared" si="101"/>
        <v>200046.43999999994</v>
      </c>
      <c r="Q343" s="17">
        <f t="shared" si="101"/>
        <v>15226.799999999814</v>
      </c>
      <c r="R343" s="17">
        <f>SUM(R338:R342)</f>
        <v>-67598.64000000013</v>
      </c>
      <c r="S343" s="776"/>
    </row>
    <row r="344" spans="1:19">
      <c r="A344" s="685"/>
      <c r="B344" s="776"/>
      <c r="C344" s="776" t="s">
        <v>525</v>
      </c>
      <c r="D344" s="776"/>
      <c r="E344" s="776"/>
      <c r="F344" s="835"/>
      <c r="G344" s="835">
        <f>G343-F343</f>
        <v>23714</v>
      </c>
      <c r="H344" s="835">
        <f t="shared" ref="H344:R344" si="102">H343-G343</f>
        <v>37673</v>
      </c>
      <c r="I344" s="835">
        <f t="shared" si="102"/>
        <v>25630</v>
      </c>
      <c r="J344" s="835">
        <f t="shared" si="102"/>
        <v>46840</v>
      </c>
      <c r="K344" s="835">
        <f t="shared" si="102"/>
        <v>6389</v>
      </c>
      <c r="L344" s="835">
        <f t="shared" si="102"/>
        <v>33908</v>
      </c>
      <c r="M344" s="835">
        <f t="shared" si="102"/>
        <v>75141.439999999944</v>
      </c>
      <c r="N344" s="835">
        <f t="shared" si="102"/>
        <v>-137650</v>
      </c>
      <c r="O344" s="835">
        <f t="shared" si="102"/>
        <v>111634</v>
      </c>
      <c r="P344" s="835">
        <f t="shared" si="102"/>
        <v>-28247</v>
      </c>
      <c r="Q344" s="835">
        <f t="shared" si="102"/>
        <v>-184819.64000000013</v>
      </c>
      <c r="R344" s="835">
        <f t="shared" si="102"/>
        <v>-82825.439999999944</v>
      </c>
      <c r="S344" s="776"/>
    </row>
    <row r="345" spans="1:19">
      <c r="A345" s="685"/>
      <c r="B345" s="776"/>
      <c r="C345" s="776"/>
      <c r="D345" s="776"/>
      <c r="E345" s="776"/>
      <c r="F345" s="17"/>
      <c r="G345" s="17"/>
      <c r="H345" s="17"/>
      <c r="I345" s="17"/>
      <c r="J345" s="17"/>
      <c r="K345" s="17"/>
      <c r="L345" s="17"/>
      <c r="M345" s="17"/>
      <c r="N345" s="17"/>
      <c r="O345" s="17"/>
      <c r="P345" s="17"/>
      <c r="Q345" s="17"/>
      <c r="R345" s="17"/>
      <c r="S345" s="776"/>
    </row>
    <row r="346" spans="1:19">
      <c r="A346" s="685"/>
      <c r="B346" s="776"/>
      <c r="C346" s="776" t="s">
        <v>1180</v>
      </c>
      <c r="D346" s="776"/>
      <c r="E346" s="776"/>
      <c r="F346" s="27"/>
      <c r="G346" s="27"/>
      <c r="H346" s="27"/>
      <c r="I346" s="27"/>
      <c r="J346" s="27"/>
      <c r="K346" s="27"/>
      <c r="L346" s="27"/>
      <c r="M346" s="777">
        <f>-M341</f>
        <v>22865</v>
      </c>
      <c r="N346" s="777">
        <f>-N340</f>
        <v>113928</v>
      </c>
      <c r="O346" s="777">
        <f>-O340</f>
        <v>0</v>
      </c>
      <c r="P346" s="777">
        <f>-P340</f>
        <v>0</v>
      </c>
      <c r="Q346" s="777">
        <f>-Q340-Q342</f>
        <v>103270</v>
      </c>
      <c r="R346" s="777">
        <f>-R340-R342</f>
        <v>2610</v>
      </c>
      <c r="S346" s="776"/>
    </row>
    <row r="347" spans="1:19">
      <c r="A347" s="685"/>
      <c r="B347" s="776"/>
      <c r="C347" s="776"/>
      <c r="D347" s="776"/>
      <c r="E347" s="776"/>
      <c r="F347" s="17">
        <f>F343+F346</f>
        <v>5014</v>
      </c>
      <c r="G347" s="17">
        <f t="shared" ref="G347:Q347" si="103">G343+G346</f>
        <v>28728</v>
      </c>
      <c r="H347" s="17">
        <f t="shared" si="103"/>
        <v>66401</v>
      </c>
      <c r="I347" s="17">
        <f t="shared" si="103"/>
        <v>92031</v>
      </c>
      <c r="J347" s="17">
        <f t="shared" si="103"/>
        <v>138871</v>
      </c>
      <c r="K347" s="17">
        <f t="shared" si="103"/>
        <v>145260</v>
      </c>
      <c r="L347" s="17">
        <f t="shared" si="103"/>
        <v>179168</v>
      </c>
      <c r="M347" s="17">
        <f t="shared" si="103"/>
        <v>277174.43999999994</v>
      </c>
      <c r="N347" s="17">
        <f t="shared" si="103"/>
        <v>230587.43999999994</v>
      </c>
      <c r="O347" s="17">
        <f t="shared" si="103"/>
        <v>228293.43999999994</v>
      </c>
      <c r="P347" s="17">
        <f t="shared" si="103"/>
        <v>200046.43999999994</v>
      </c>
      <c r="Q347" s="17">
        <f t="shared" si="103"/>
        <v>118496.79999999981</v>
      </c>
      <c r="R347" s="17">
        <f>R343+R346</f>
        <v>-64988.64000000013</v>
      </c>
      <c r="S347" s="776"/>
    </row>
    <row r="348" spans="1:19">
      <c r="A348" s="685"/>
      <c r="B348" s="776"/>
      <c r="C348" s="776" t="s">
        <v>525</v>
      </c>
      <c r="D348" s="776"/>
      <c r="E348" s="776"/>
      <c r="F348" s="17"/>
      <c r="G348" s="17">
        <f>G347-F347</f>
        <v>23714</v>
      </c>
      <c r="H348" s="17">
        <f t="shared" ref="H348:R348" si="104">H347-G347</f>
        <v>37673</v>
      </c>
      <c r="I348" s="17">
        <f t="shared" si="104"/>
        <v>25630</v>
      </c>
      <c r="J348" s="17">
        <f t="shared" si="104"/>
        <v>46840</v>
      </c>
      <c r="K348" s="17">
        <f t="shared" si="104"/>
        <v>6389</v>
      </c>
      <c r="L348" s="17">
        <f t="shared" si="104"/>
        <v>33908</v>
      </c>
      <c r="M348" s="17">
        <f t="shared" si="104"/>
        <v>98006.439999999944</v>
      </c>
      <c r="N348" s="17">
        <f t="shared" si="104"/>
        <v>-46587</v>
      </c>
      <c r="O348" s="17">
        <f t="shared" si="104"/>
        <v>-2294</v>
      </c>
      <c r="P348" s="17">
        <f t="shared" si="104"/>
        <v>-28247</v>
      </c>
      <c r="Q348" s="17">
        <f t="shared" si="104"/>
        <v>-81549.64000000013</v>
      </c>
      <c r="R348" s="17">
        <f t="shared" si="104"/>
        <v>-183485.43999999994</v>
      </c>
      <c r="S348" s="17">
        <f>SUM(M348:Q348)</f>
        <v>-60671.200000000186</v>
      </c>
    </row>
    <row r="349" spans="1:19">
      <c r="A349" s="685"/>
      <c r="B349" s="776"/>
      <c r="C349" s="776"/>
      <c r="D349" s="776"/>
      <c r="E349" s="776"/>
      <c r="F349" s="17"/>
      <c r="G349" s="17"/>
      <c r="H349" s="17"/>
      <c r="I349" s="17"/>
      <c r="J349" s="17"/>
      <c r="K349" s="17"/>
      <c r="L349" s="17"/>
      <c r="M349" s="17"/>
      <c r="N349" s="17"/>
      <c r="O349" s="17"/>
      <c r="P349" s="17"/>
      <c r="Q349" s="17"/>
      <c r="R349" s="17"/>
      <c r="S349" s="776"/>
    </row>
    <row r="350" spans="1:19">
      <c r="A350" s="685"/>
      <c r="B350" s="776"/>
      <c r="C350" s="776" t="s">
        <v>10</v>
      </c>
      <c r="D350" s="303"/>
      <c r="E350" s="303"/>
      <c r="F350" s="303">
        <f>F40</f>
        <v>5014</v>
      </c>
      <c r="G350" s="303">
        <f t="shared" ref="G350:R350" si="105">G40</f>
        <v>28728</v>
      </c>
      <c r="H350" s="303">
        <f t="shared" si="105"/>
        <v>66401</v>
      </c>
      <c r="I350" s="303">
        <f t="shared" si="105"/>
        <v>92031</v>
      </c>
      <c r="J350" s="303">
        <f t="shared" si="105"/>
        <v>138871</v>
      </c>
      <c r="K350" s="303">
        <f t="shared" si="105"/>
        <v>145260</v>
      </c>
      <c r="L350" s="303">
        <f t="shared" si="105"/>
        <v>179168</v>
      </c>
      <c r="M350" s="303">
        <f t="shared" si="105"/>
        <v>970959</v>
      </c>
      <c r="N350" s="303">
        <f t="shared" si="105"/>
        <v>1331772</v>
      </c>
      <c r="O350" s="303">
        <f t="shared" si="105"/>
        <v>1329478</v>
      </c>
      <c r="P350" s="303">
        <f t="shared" si="105"/>
        <v>1301231</v>
      </c>
      <c r="Q350" s="303">
        <f t="shared" si="105"/>
        <v>1559507</v>
      </c>
      <c r="R350" s="303">
        <f t="shared" si="105"/>
        <v>1412330</v>
      </c>
      <c r="S350" s="776"/>
    </row>
    <row r="351" spans="1:19">
      <c r="A351" s="685"/>
      <c r="B351" s="776"/>
      <c r="C351" s="776" t="s">
        <v>525</v>
      </c>
      <c r="D351" s="776"/>
      <c r="E351" s="776"/>
      <c r="F351" s="776"/>
      <c r="G351" s="9">
        <f>G350-F350</f>
        <v>23714</v>
      </c>
      <c r="H351" s="9">
        <f t="shared" ref="H351:R351" si="106">H350-G350</f>
        <v>37673</v>
      </c>
      <c r="I351" s="9">
        <f t="shared" si="106"/>
        <v>25630</v>
      </c>
      <c r="J351" s="9">
        <f t="shared" si="106"/>
        <v>46840</v>
      </c>
      <c r="K351" s="9">
        <f t="shared" si="106"/>
        <v>6389</v>
      </c>
      <c r="L351" s="9">
        <f t="shared" si="106"/>
        <v>33908</v>
      </c>
      <c r="M351" s="9">
        <f t="shared" si="106"/>
        <v>791791</v>
      </c>
      <c r="N351" s="9">
        <f t="shared" si="106"/>
        <v>360813</v>
      </c>
      <c r="O351" s="9">
        <f t="shared" si="106"/>
        <v>-2294</v>
      </c>
      <c r="P351" s="9">
        <f t="shared" si="106"/>
        <v>-28247</v>
      </c>
      <c r="Q351" s="9">
        <f t="shared" si="106"/>
        <v>258276</v>
      </c>
      <c r="R351" s="9">
        <f t="shared" si="106"/>
        <v>-147177</v>
      </c>
      <c r="S351" s="776"/>
    </row>
    <row r="352" spans="1:19">
      <c r="A352" s="685"/>
      <c r="B352" s="776"/>
      <c r="C352" s="776"/>
      <c r="D352" s="776"/>
      <c r="E352" s="776"/>
      <c r="F352" s="776"/>
      <c r="G352" s="776"/>
      <c r="H352" s="776"/>
      <c r="I352" s="776"/>
      <c r="J352" s="776"/>
      <c r="K352" s="776"/>
      <c r="L352" s="776"/>
      <c r="M352" s="17">
        <f>-M341</f>
        <v>22865</v>
      </c>
      <c r="N352" s="17">
        <f>-N340</f>
        <v>113928</v>
      </c>
      <c r="O352" s="17">
        <f>-O340</f>
        <v>0</v>
      </c>
      <c r="P352" s="17">
        <f>-P340</f>
        <v>0</v>
      </c>
      <c r="Q352" s="17">
        <f>-Q340</f>
        <v>103270</v>
      </c>
      <c r="R352" s="17">
        <f>-R340</f>
        <v>2610</v>
      </c>
      <c r="S352" s="776"/>
    </row>
    <row r="353" spans="1:19">
      <c r="A353" s="685"/>
      <c r="B353" s="776"/>
      <c r="C353" s="776"/>
      <c r="D353" s="776"/>
      <c r="E353" s="776"/>
      <c r="F353" s="9">
        <f>+F350</f>
        <v>5014</v>
      </c>
      <c r="G353" s="9">
        <f t="shared" ref="G353:L353" si="107">+G350</f>
        <v>28728</v>
      </c>
      <c r="H353" s="9">
        <f t="shared" si="107"/>
        <v>66401</v>
      </c>
      <c r="I353" s="9">
        <f t="shared" si="107"/>
        <v>92031</v>
      </c>
      <c r="J353" s="9">
        <f t="shared" si="107"/>
        <v>138871</v>
      </c>
      <c r="K353" s="9">
        <f t="shared" si="107"/>
        <v>145260</v>
      </c>
      <c r="L353" s="9">
        <f t="shared" si="107"/>
        <v>179168</v>
      </c>
      <c r="M353" s="9">
        <f>M338+M341</f>
        <v>948094</v>
      </c>
      <c r="N353" s="17">
        <f>N338+N340</f>
        <v>1217844</v>
      </c>
      <c r="O353" s="17">
        <f>O338+O340</f>
        <v>1329478</v>
      </c>
      <c r="P353" s="17">
        <f>P338+P340</f>
        <v>1301231</v>
      </c>
      <c r="Q353" s="17">
        <f>Q338+Q340</f>
        <v>1456237</v>
      </c>
      <c r="R353" s="17">
        <f>R338+R340</f>
        <v>1409720</v>
      </c>
      <c r="S353" s="776"/>
    </row>
    <row r="354" spans="1:19">
      <c r="A354" s="685"/>
      <c r="B354" s="776"/>
      <c r="C354" s="776" t="s">
        <v>1181</v>
      </c>
      <c r="D354" s="776"/>
      <c r="E354" s="776"/>
      <c r="F354" s="647"/>
      <c r="G354" s="835">
        <f t="shared" ref="G354:R354" si="108">G353-F353</f>
        <v>23714</v>
      </c>
      <c r="H354" s="835">
        <f t="shared" si="108"/>
        <v>37673</v>
      </c>
      <c r="I354" s="835">
        <f t="shared" si="108"/>
        <v>25630</v>
      </c>
      <c r="J354" s="835">
        <f t="shared" si="108"/>
        <v>46840</v>
      </c>
      <c r="K354" s="835">
        <f t="shared" si="108"/>
        <v>6389</v>
      </c>
      <c r="L354" s="835">
        <f t="shared" si="108"/>
        <v>33908</v>
      </c>
      <c r="M354" s="835">
        <f t="shared" si="108"/>
        <v>768926</v>
      </c>
      <c r="N354" s="835">
        <f t="shared" si="108"/>
        <v>269750</v>
      </c>
      <c r="O354" s="835">
        <f t="shared" si="108"/>
        <v>111634</v>
      </c>
      <c r="P354" s="835">
        <f t="shared" si="108"/>
        <v>-28247</v>
      </c>
      <c r="Q354" s="835">
        <f t="shared" si="108"/>
        <v>155006</v>
      </c>
      <c r="R354" s="835">
        <f t="shared" si="108"/>
        <v>-46517</v>
      </c>
      <c r="S354" s="776"/>
    </row>
    <row r="355" spans="1:19">
      <c r="A355" s="685"/>
      <c r="B355" s="776"/>
      <c r="C355" s="776"/>
      <c r="D355" s="776"/>
      <c r="E355" s="776"/>
      <c r="F355" s="776"/>
      <c r="G355" s="776"/>
      <c r="H355" s="776"/>
      <c r="I355" s="776"/>
      <c r="J355" s="776"/>
      <c r="K355" s="776"/>
      <c r="L355" s="776"/>
      <c r="M355" s="776"/>
      <c r="N355" s="776"/>
      <c r="O355" s="776"/>
      <c r="P355" s="776"/>
      <c r="Q355" s="776"/>
      <c r="R355" s="776"/>
      <c r="S355" s="776"/>
    </row>
    <row r="356" spans="1:19">
      <c r="A356" s="874"/>
      <c r="B356" s="17"/>
      <c r="C356" s="17" t="s">
        <v>1182</v>
      </c>
      <c r="D356" s="17"/>
      <c r="E356" s="17"/>
      <c r="F356" s="17">
        <f>F338</f>
        <v>5014</v>
      </c>
      <c r="G356" s="17">
        <f t="shared" ref="G356:Q356" si="109">G338</f>
        <v>28728</v>
      </c>
      <c r="H356" s="17">
        <f t="shared" si="109"/>
        <v>66401</v>
      </c>
      <c r="I356" s="17">
        <f t="shared" si="109"/>
        <v>92031</v>
      </c>
      <c r="J356" s="17">
        <f t="shared" si="109"/>
        <v>138871</v>
      </c>
      <c r="K356" s="17">
        <f t="shared" si="109"/>
        <v>145260</v>
      </c>
      <c r="L356" s="17">
        <f t="shared" si="109"/>
        <v>179168</v>
      </c>
      <c r="M356" s="17">
        <f t="shared" si="109"/>
        <v>970959</v>
      </c>
      <c r="N356" s="17">
        <f t="shared" si="109"/>
        <v>1331772</v>
      </c>
      <c r="O356" s="17">
        <f t="shared" si="109"/>
        <v>1329478</v>
      </c>
      <c r="P356" s="17">
        <f t="shared" si="109"/>
        <v>1301231</v>
      </c>
      <c r="Q356" s="17">
        <f t="shared" si="109"/>
        <v>1559507</v>
      </c>
      <c r="R356" s="17">
        <f>R338</f>
        <v>1412330</v>
      </c>
      <c r="S356" s="17"/>
    </row>
    <row r="357" spans="1:19">
      <c r="A357" s="874"/>
      <c r="B357" s="17"/>
      <c r="C357" s="17" t="s">
        <v>1183</v>
      </c>
      <c r="D357" s="17"/>
      <c r="E357" s="17"/>
      <c r="F357" s="17"/>
      <c r="G357" s="17"/>
      <c r="H357" s="17"/>
      <c r="I357" s="17"/>
      <c r="J357" s="17"/>
      <c r="K357" s="17"/>
      <c r="L357" s="17"/>
      <c r="M357" s="17"/>
      <c r="N357" s="17"/>
      <c r="O357" s="17"/>
      <c r="P357" s="17"/>
      <c r="Q357" s="17"/>
      <c r="R357" s="17"/>
      <c r="S357" s="17"/>
    </row>
    <row r="358" spans="1:19">
      <c r="A358" s="874"/>
      <c r="B358" s="17"/>
      <c r="C358" s="17" t="s">
        <v>1184</v>
      </c>
      <c r="D358" s="17"/>
      <c r="E358" s="17"/>
      <c r="F358" s="17"/>
      <c r="G358" s="17"/>
      <c r="H358" s="17"/>
      <c r="I358" s="17"/>
      <c r="J358" s="17"/>
      <c r="K358" s="17"/>
      <c r="L358" s="17"/>
      <c r="M358" s="17">
        <v>818870</v>
      </c>
      <c r="N358" s="776"/>
      <c r="O358" s="776"/>
      <c r="P358" s="776"/>
      <c r="Q358" s="776"/>
      <c r="R358" s="17"/>
      <c r="S358" s="17"/>
    </row>
    <row r="359" spans="1:19">
      <c r="A359" s="874"/>
      <c r="B359" s="17"/>
      <c r="C359" s="17" t="s">
        <v>638</v>
      </c>
      <c r="D359" s="17"/>
      <c r="E359" s="17"/>
      <c r="F359" s="17"/>
      <c r="G359" s="17"/>
      <c r="H359" s="17"/>
      <c r="I359" s="17"/>
      <c r="J359" s="17"/>
      <c r="K359" s="17"/>
      <c r="L359" s="17"/>
      <c r="M359" s="863">
        <f t="shared" ref="M359:R359" si="110">M331</f>
        <v>0.28000000000000003</v>
      </c>
      <c r="N359" s="863">
        <f t="shared" si="110"/>
        <v>0.28000000000000003</v>
      </c>
      <c r="O359" s="863">
        <f t="shared" si="110"/>
        <v>0.28000000000000003</v>
      </c>
      <c r="P359" s="863">
        <f t="shared" si="110"/>
        <v>0.28000000000000003</v>
      </c>
      <c r="Q359" s="863">
        <f t="shared" si="110"/>
        <v>0.28000000000000003</v>
      </c>
      <c r="R359" s="863">
        <f t="shared" si="110"/>
        <v>0.28000000000000003</v>
      </c>
      <c r="S359" s="17"/>
    </row>
    <row r="360" spans="1:19">
      <c r="A360" s="874"/>
      <c r="B360" s="17"/>
      <c r="C360" s="17" t="s">
        <v>1178</v>
      </c>
      <c r="D360" s="17"/>
      <c r="E360" s="17"/>
      <c r="F360" s="17"/>
      <c r="G360" s="17"/>
      <c r="H360" s="17"/>
      <c r="I360" s="17"/>
      <c r="J360" s="17"/>
      <c r="K360" s="17"/>
      <c r="L360" s="17"/>
      <c r="M360" s="17">
        <f t="shared" ref="M360:R360" si="111">-M330</f>
        <v>817674.66</v>
      </c>
      <c r="N360" s="17">
        <f t="shared" si="111"/>
        <v>1179840.5999999999</v>
      </c>
      <c r="O360" s="17">
        <f t="shared" si="111"/>
        <v>1179840.5999999999</v>
      </c>
      <c r="P360" s="17">
        <f t="shared" si="111"/>
        <v>1179840.5999999999</v>
      </c>
      <c r="Q360" s="17">
        <f t="shared" si="111"/>
        <v>1441010.2000000002</v>
      </c>
      <c r="R360" s="17">
        <f t="shared" si="111"/>
        <v>1477318.6400000001</v>
      </c>
      <c r="S360" s="17"/>
    </row>
    <row r="361" spans="1:19">
      <c r="A361" s="874"/>
      <c r="B361" s="17"/>
      <c r="C361" s="17" t="s">
        <v>1185</v>
      </c>
      <c r="D361" s="17"/>
      <c r="E361" s="17"/>
      <c r="F361" s="17"/>
      <c r="G361" s="17"/>
      <c r="H361" s="17"/>
      <c r="I361" s="17"/>
      <c r="J361" s="17"/>
      <c r="K361" s="17"/>
      <c r="L361" s="17"/>
      <c r="M361" s="17">
        <f>M356-M358</f>
        <v>152089</v>
      </c>
      <c r="N361" s="17">
        <f>N356-N360</f>
        <v>151931.40000000014</v>
      </c>
      <c r="O361" s="17">
        <f>O356-O360</f>
        <v>149637.40000000014</v>
      </c>
      <c r="P361" s="17">
        <f>P356-P360</f>
        <v>121390.40000000014</v>
      </c>
      <c r="Q361" s="17">
        <f>Q356-Q360</f>
        <v>118496.79999999981</v>
      </c>
      <c r="R361" s="17">
        <f>R356-R360</f>
        <v>-64988.64000000013</v>
      </c>
      <c r="S361" s="17"/>
    </row>
    <row r="362" spans="1:19">
      <c r="A362" s="874"/>
      <c r="B362" s="17"/>
      <c r="C362" s="17" t="s">
        <v>1186</v>
      </c>
      <c r="D362" s="17"/>
      <c r="E362" s="17"/>
      <c r="F362" s="17"/>
      <c r="G362" s="17"/>
      <c r="H362" s="17"/>
      <c r="I362" s="17"/>
      <c r="J362" s="17"/>
      <c r="K362" s="17"/>
      <c r="L362" s="17"/>
      <c r="M362" s="835">
        <f>M361-L356</f>
        <v>-27079</v>
      </c>
      <c r="N362" s="835">
        <f>N361-M361</f>
        <v>-157.5999999998603</v>
      </c>
      <c r="O362" s="835">
        <f>O361-N361</f>
        <v>-2294</v>
      </c>
      <c r="P362" s="835">
        <f>P361-O361</f>
        <v>-28247</v>
      </c>
      <c r="Q362" s="835">
        <f>Q361-P361</f>
        <v>-2893.600000000326</v>
      </c>
      <c r="R362" s="835">
        <f>R361-Q361</f>
        <v>-183485.43999999994</v>
      </c>
      <c r="S362" s="17"/>
    </row>
    <row r="363" spans="1:19">
      <c r="A363" s="874"/>
      <c r="B363" s="17"/>
      <c r="C363" s="17" t="s">
        <v>481</v>
      </c>
      <c r="D363" s="17"/>
      <c r="E363" s="17"/>
      <c r="F363" s="17"/>
      <c r="G363" s="17"/>
      <c r="H363" s="17"/>
      <c r="I363" s="17"/>
      <c r="J363" s="17"/>
      <c r="K363" s="17"/>
      <c r="L363" s="17"/>
      <c r="M363" s="17">
        <v>1800000</v>
      </c>
      <c r="N363" s="17"/>
      <c r="O363" s="17"/>
      <c r="P363" s="17"/>
      <c r="Q363" s="17"/>
      <c r="R363" s="17"/>
      <c r="S363" s="17"/>
    </row>
    <row r="364" spans="1:19">
      <c r="A364" s="874"/>
      <c r="B364" s="17"/>
      <c r="C364" s="17"/>
      <c r="D364" s="17"/>
      <c r="E364" s="17"/>
      <c r="F364" s="17"/>
      <c r="G364" s="17"/>
      <c r="H364" s="17"/>
      <c r="I364" s="17"/>
      <c r="J364" s="17"/>
      <c r="K364" s="17"/>
      <c r="L364" s="17"/>
      <c r="M364" s="36">
        <f>M358/(M363+M358)</f>
        <v>0.31268065997930405</v>
      </c>
      <c r="N364" s="864" t="s">
        <v>1187</v>
      </c>
      <c r="O364" s="17"/>
      <c r="P364" s="17"/>
      <c r="Q364" s="17" t="s">
        <v>1188</v>
      </c>
      <c r="R364" s="17"/>
      <c r="S364" s="17"/>
    </row>
    <row r="365" spans="1:19">
      <c r="A365" s="874"/>
      <c r="B365" s="17"/>
      <c r="C365" s="17"/>
      <c r="D365" s="17"/>
      <c r="E365" s="17"/>
      <c r="F365" s="17"/>
      <c r="G365" s="17"/>
      <c r="H365" s="17"/>
      <c r="I365" s="17"/>
      <c r="J365" s="17"/>
      <c r="K365" s="17"/>
      <c r="L365" s="17"/>
      <c r="M365" s="17"/>
      <c r="N365" s="25">
        <f>N340/N332</f>
        <v>2.8968658986646162E-2</v>
      </c>
      <c r="O365" s="17"/>
      <c r="P365" s="17"/>
      <c r="Q365" s="25">
        <f>Q340/Q332</f>
        <v>2.0066200780535767E-2</v>
      </c>
      <c r="R365" s="17"/>
      <c r="S365" s="17"/>
    </row>
    <row r="366" spans="1:19">
      <c r="A366" s="874"/>
      <c r="B366" s="17"/>
      <c r="C366" s="17"/>
      <c r="D366" s="17"/>
      <c r="E366" s="17"/>
      <c r="F366" s="17"/>
      <c r="G366" s="17"/>
      <c r="H366" s="17"/>
      <c r="I366" s="17"/>
      <c r="J366" s="17"/>
      <c r="K366" s="17"/>
      <c r="L366" s="17"/>
      <c r="M366" s="17"/>
      <c r="N366" s="17">
        <f>-N340</f>
        <v>113928</v>
      </c>
      <c r="O366" s="17"/>
      <c r="P366" s="17"/>
      <c r="Q366" s="17">
        <f>-Q340</f>
        <v>103270</v>
      </c>
      <c r="R366" s="17"/>
      <c r="S366" s="17"/>
    </row>
    <row r="367" spans="1:19">
      <c r="A367" s="874"/>
      <c r="B367" s="17"/>
      <c r="C367" s="17" t="s">
        <v>638</v>
      </c>
      <c r="D367" s="17"/>
      <c r="E367" s="17"/>
      <c r="F367" s="17"/>
      <c r="G367" s="17"/>
      <c r="H367" s="17"/>
      <c r="I367" s="17"/>
      <c r="J367" s="17"/>
      <c r="K367" s="17"/>
      <c r="L367" s="17"/>
      <c r="M367" s="36">
        <f t="shared" ref="M367:R367" si="112">M331</f>
        <v>0.28000000000000003</v>
      </c>
      <c r="N367" s="36">
        <f t="shared" si="112"/>
        <v>0.28000000000000003</v>
      </c>
      <c r="O367" s="36">
        <f t="shared" si="112"/>
        <v>0.28000000000000003</v>
      </c>
      <c r="P367" s="36">
        <f t="shared" si="112"/>
        <v>0.28000000000000003</v>
      </c>
      <c r="Q367" s="36">
        <f t="shared" si="112"/>
        <v>0.28000000000000003</v>
      </c>
      <c r="R367" s="36">
        <f t="shared" si="112"/>
        <v>0.28000000000000003</v>
      </c>
      <c r="S367" s="17"/>
    </row>
    <row r="368" spans="1:19">
      <c r="A368" s="874"/>
      <c r="B368" s="17"/>
      <c r="C368" s="17" t="s">
        <v>1178</v>
      </c>
      <c r="D368" s="17"/>
      <c r="E368" s="17"/>
      <c r="F368" s="17"/>
      <c r="G368" s="17"/>
      <c r="H368" s="17"/>
      <c r="I368" s="17"/>
      <c r="J368" s="17"/>
      <c r="K368" s="17"/>
      <c r="L368" s="17"/>
      <c r="M368" s="835">
        <f t="shared" ref="M368:R368" si="113">-M334</f>
        <v>693784.56</v>
      </c>
      <c r="N368" s="835">
        <f t="shared" si="113"/>
        <v>1101184.56</v>
      </c>
      <c r="O368" s="835">
        <f t="shared" si="113"/>
        <v>1101184.56</v>
      </c>
      <c r="P368" s="835">
        <f t="shared" si="113"/>
        <v>1101184.56</v>
      </c>
      <c r="Q368" s="835">
        <f t="shared" si="113"/>
        <v>1441010.2000000002</v>
      </c>
      <c r="R368" s="835">
        <f t="shared" si="113"/>
        <v>1477318.6400000001</v>
      </c>
      <c r="S368" s="17"/>
    </row>
    <row r="369" spans="1:19">
      <c r="A369" s="874"/>
      <c r="B369" s="17"/>
      <c r="C369" s="27"/>
      <c r="D369" s="27"/>
      <c r="E369" s="27"/>
      <c r="F369" s="27"/>
      <c r="G369" s="27"/>
      <c r="H369" s="27"/>
      <c r="I369" s="27"/>
      <c r="J369" s="27"/>
      <c r="K369" s="27"/>
      <c r="L369" s="27"/>
      <c r="M369" s="27">
        <f t="shared" ref="M369:R369" si="114">M368-M360</f>
        <v>-123890.09999999998</v>
      </c>
      <c r="N369" s="27">
        <f t="shared" si="114"/>
        <v>-78656.039999999804</v>
      </c>
      <c r="O369" s="27">
        <f t="shared" si="114"/>
        <v>-78656.039999999804</v>
      </c>
      <c r="P369" s="27">
        <f t="shared" si="114"/>
        <v>-78656.039999999804</v>
      </c>
      <c r="Q369" s="27">
        <f t="shared" si="114"/>
        <v>0</v>
      </c>
      <c r="R369" s="27">
        <f t="shared" si="114"/>
        <v>0</v>
      </c>
      <c r="S369" s="17"/>
    </row>
    <row r="370" spans="1:19">
      <c r="A370" s="874"/>
      <c r="B370" s="865"/>
      <c r="C370" s="794" t="s">
        <v>1182</v>
      </c>
      <c r="D370" s="17"/>
      <c r="E370" s="17"/>
      <c r="F370" s="17">
        <f>F250</f>
        <v>5014</v>
      </c>
      <c r="G370" s="17">
        <f t="shared" ref="G370:R370" si="115">G250</f>
        <v>28728</v>
      </c>
      <c r="H370" s="17">
        <f t="shared" si="115"/>
        <v>66401</v>
      </c>
      <c r="I370" s="17">
        <f t="shared" si="115"/>
        <v>92031</v>
      </c>
      <c r="J370" s="17">
        <f t="shared" si="115"/>
        <v>138871</v>
      </c>
      <c r="K370" s="17">
        <f t="shared" si="115"/>
        <v>145260</v>
      </c>
      <c r="L370" s="17">
        <f t="shared" si="115"/>
        <v>179168</v>
      </c>
      <c r="M370" s="17">
        <f t="shared" si="115"/>
        <v>970959</v>
      </c>
      <c r="N370" s="17">
        <f t="shared" si="115"/>
        <v>1331772</v>
      </c>
      <c r="O370" s="17">
        <f t="shared" si="115"/>
        <v>1329478</v>
      </c>
      <c r="P370" s="17">
        <f t="shared" si="115"/>
        <v>1301231</v>
      </c>
      <c r="Q370" s="17">
        <f t="shared" si="115"/>
        <v>1559507</v>
      </c>
      <c r="R370" s="17">
        <f t="shared" si="115"/>
        <v>1412330</v>
      </c>
      <c r="S370" s="17"/>
    </row>
    <row r="371" spans="1:19">
      <c r="A371" s="874"/>
      <c r="B371" s="17"/>
      <c r="C371" s="17" t="s">
        <v>1189</v>
      </c>
      <c r="D371" s="17"/>
      <c r="E371" s="17"/>
      <c r="F371" s="17"/>
      <c r="G371" s="17"/>
      <c r="H371" s="17"/>
      <c r="I371" s="17"/>
      <c r="J371" s="17"/>
      <c r="K371" s="17"/>
      <c r="L371" s="17"/>
      <c r="M371" s="17"/>
      <c r="N371" s="17">
        <f>-N270</f>
        <v>113928</v>
      </c>
      <c r="O371" s="17">
        <f>N371</f>
        <v>113928</v>
      </c>
      <c r="P371" s="17">
        <f>O371</f>
        <v>113928</v>
      </c>
      <c r="Q371" s="17">
        <f>P371</f>
        <v>113928</v>
      </c>
      <c r="R371" s="17">
        <f>Q371</f>
        <v>113928</v>
      </c>
      <c r="S371" s="17"/>
    </row>
    <row r="372" spans="1:19">
      <c r="A372" s="874"/>
      <c r="B372" s="17"/>
      <c r="C372" s="17" t="s">
        <v>1190</v>
      </c>
      <c r="D372" s="17"/>
      <c r="E372" s="17"/>
      <c r="F372" s="17"/>
      <c r="G372" s="17"/>
      <c r="H372" s="17"/>
      <c r="I372" s="17"/>
      <c r="J372" s="17"/>
      <c r="K372" s="17"/>
      <c r="L372" s="17"/>
      <c r="M372" s="17"/>
      <c r="N372" s="17"/>
      <c r="O372" s="17"/>
      <c r="P372" s="17"/>
      <c r="Q372" s="17">
        <f>-Q270</f>
        <v>103270</v>
      </c>
      <c r="R372" s="17">
        <f>Q372</f>
        <v>103270</v>
      </c>
      <c r="S372" s="17"/>
    </row>
    <row r="373" spans="1:19">
      <c r="A373" s="874"/>
      <c r="B373" s="17"/>
      <c r="C373" s="17" t="s">
        <v>1191</v>
      </c>
      <c r="D373" s="17"/>
      <c r="E373" s="17"/>
      <c r="F373" s="17"/>
      <c r="G373" s="17"/>
      <c r="H373" s="17"/>
      <c r="I373" s="17"/>
      <c r="J373" s="17"/>
      <c r="K373" s="17"/>
      <c r="L373" s="17"/>
      <c r="M373" s="17"/>
      <c r="N373" s="17"/>
      <c r="O373" s="17"/>
      <c r="P373" s="17"/>
      <c r="Q373" s="17"/>
      <c r="R373" s="17">
        <f>-R270</f>
        <v>2610</v>
      </c>
      <c r="S373" s="17"/>
    </row>
    <row r="374" spans="1:19">
      <c r="A374" s="874"/>
      <c r="B374" s="17"/>
      <c r="C374" s="776"/>
      <c r="D374" s="17"/>
      <c r="E374" s="17"/>
      <c r="F374" s="17"/>
      <c r="G374" s="17"/>
      <c r="H374" s="17"/>
      <c r="I374" s="17"/>
      <c r="J374" s="17"/>
      <c r="K374" s="17"/>
      <c r="L374" s="17"/>
      <c r="M374" s="17"/>
      <c r="N374" s="17"/>
      <c r="O374" s="17"/>
      <c r="P374" s="17"/>
      <c r="Q374" s="17"/>
      <c r="R374" s="17"/>
      <c r="S374" s="17"/>
    </row>
    <row r="375" spans="1:19">
      <c r="A375" s="874"/>
      <c r="B375" s="17"/>
      <c r="C375" s="17" t="s">
        <v>1192</v>
      </c>
      <c r="D375" s="17"/>
      <c r="E375" s="17"/>
      <c r="F375" s="17">
        <f>SUM(F370:F372)</f>
        <v>5014</v>
      </c>
      <c r="G375" s="17">
        <f t="shared" ref="G375:L375" si="116">SUM(G370:G372)</f>
        <v>28728</v>
      </c>
      <c r="H375" s="17">
        <f t="shared" si="116"/>
        <v>66401</v>
      </c>
      <c r="I375" s="17">
        <f t="shared" si="116"/>
        <v>92031</v>
      </c>
      <c r="J375" s="17">
        <f t="shared" si="116"/>
        <v>138871</v>
      </c>
      <c r="K375" s="17">
        <f t="shared" si="116"/>
        <v>145260</v>
      </c>
      <c r="L375" s="17">
        <f t="shared" si="116"/>
        <v>179168</v>
      </c>
      <c r="M375" s="835">
        <f t="shared" ref="M375:R375" si="117">SUM(M370:M374)</f>
        <v>970959</v>
      </c>
      <c r="N375" s="835">
        <f t="shared" si="117"/>
        <v>1445700</v>
      </c>
      <c r="O375" s="835">
        <f t="shared" si="117"/>
        <v>1443406</v>
      </c>
      <c r="P375" s="835">
        <f t="shared" si="117"/>
        <v>1415159</v>
      </c>
      <c r="Q375" s="835">
        <f t="shared" si="117"/>
        <v>1776705</v>
      </c>
      <c r="R375" s="835">
        <f t="shared" si="117"/>
        <v>1632138</v>
      </c>
      <c r="S375" s="17"/>
    </row>
    <row r="376" spans="1:19">
      <c r="A376" s="874"/>
      <c r="B376" s="17"/>
      <c r="C376" s="17" t="s">
        <v>1193</v>
      </c>
      <c r="D376" s="17"/>
      <c r="E376" s="17"/>
      <c r="F376" s="776"/>
      <c r="G376" s="776"/>
      <c r="H376" s="776"/>
      <c r="I376" s="776"/>
      <c r="J376" s="776"/>
      <c r="K376" s="776"/>
      <c r="L376" s="776"/>
      <c r="M376" s="835">
        <f t="shared" ref="M376:R376" si="118">-M334</f>
        <v>693784.56</v>
      </c>
      <c r="N376" s="835">
        <f t="shared" si="118"/>
        <v>1101184.56</v>
      </c>
      <c r="O376" s="835">
        <f t="shared" si="118"/>
        <v>1101184.56</v>
      </c>
      <c r="P376" s="835">
        <f t="shared" si="118"/>
        <v>1101184.56</v>
      </c>
      <c r="Q376" s="835">
        <f t="shared" si="118"/>
        <v>1441010.2000000002</v>
      </c>
      <c r="R376" s="835">
        <f t="shared" si="118"/>
        <v>1477318.6400000001</v>
      </c>
      <c r="S376" s="17"/>
    </row>
    <row r="377" spans="1:19">
      <c r="A377" s="874"/>
      <c r="B377" s="17"/>
      <c r="C377" s="17" t="s">
        <v>1194</v>
      </c>
      <c r="D377" s="17"/>
      <c r="E377" s="17"/>
      <c r="F377" s="17">
        <f t="shared" ref="F377:L377" si="119">F375</f>
        <v>5014</v>
      </c>
      <c r="G377" s="17">
        <f t="shared" si="119"/>
        <v>28728</v>
      </c>
      <c r="H377" s="17">
        <f t="shared" si="119"/>
        <v>66401</v>
      </c>
      <c r="I377" s="184">
        <f t="shared" si="119"/>
        <v>92031</v>
      </c>
      <c r="J377" s="17">
        <f t="shared" si="119"/>
        <v>138871</v>
      </c>
      <c r="K377" s="17">
        <f t="shared" si="119"/>
        <v>145260</v>
      </c>
      <c r="L377" s="17">
        <f t="shared" si="119"/>
        <v>179168</v>
      </c>
      <c r="M377" s="17">
        <f t="shared" ref="M377:R377" si="120">M375-M376</f>
        <v>277174.43999999994</v>
      </c>
      <c r="N377" s="17">
        <f t="shared" si="120"/>
        <v>344515.43999999994</v>
      </c>
      <c r="O377" s="17">
        <f t="shared" si="120"/>
        <v>342221.43999999994</v>
      </c>
      <c r="P377" s="17">
        <f t="shared" si="120"/>
        <v>313974.43999999994</v>
      </c>
      <c r="Q377" s="17">
        <f t="shared" si="120"/>
        <v>335694.79999999981</v>
      </c>
      <c r="R377" s="17">
        <f t="shared" si="120"/>
        <v>154819.35999999987</v>
      </c>
      <c r="S377" s="17"/>
    </row>
    <row r="378" spans="1:19">
      <c r="A378" s="709"/>
      <c r="B378" s="27"/>
      <c r="C378" s="27" t="s">
        <v>1195</v>
      </c>
      <c r="D378" s="27"/>
      <c r="E378" s="27"/>
      <c r="F378" s="27"/>
      <c r="G378" s="862">
        <f t="shared" ref="G378:R378" si="121">G377-F377</f>
        <v>23714</v>
      </c>
      <c r="H378" s="862">
        <f t="shared" si="121"/>
        <v>37673</v>
      </c>
      <c r="I378" s="862">
        <f t="shared" si="121"/>
        <v>25630</v>
      </c>
      <c r="J378" s="862">
        <f t="shared" si="121"/>
        <v>46840</v>
      </c>
      <c r="K378" s="862">
        <f t="shared" si="121"/>
        <v>6389</v>
      </c>
      <c r="L378" s="862">
        <f t="shared" si="121"/>
        <v>33908</v>
      </c>
      <c r="M378" s="862">
        <f t="shared" si="121"/>
        <v>98006.439999999944</v>
      </c>
      <c r="N378" s="862">
        <f t="shared" si="121"/>
        <v>67341</v>
      </c>
      <c r="O378" s="862">
        <f t="shared" si="121"/>
        <v>-2294</v>
      </c>
      <c r="P378" s="862">
        <f t="shared" si="121"/>
        <v>-28247</v>
      </c>
      <c r="Q378" s="862">
        <f t="shared" si="121"/>
        <v>21720.35999999987</v>
      </c>
      <c r="R378" s="862">
        <f t="shared" si="121"/>
        <v>-180875.43999999994</v>
      </c>
      <c r="S378" s="17"/>
    </row>
    <row r="379" spans="1:19">
      <c r="A379" s="685"/>
      <c r="B379" s="776"/>
      <c r="C379" s="776"/>
      <c r="D379" s="776"/>
      <c r="E379" s="776"/>
      <c r="F379" s="776"/>
      <c r="G379" s="776"/>
      <c r="H379" s="776"/>
      <c r="I379" s="776"/>
      <c r="J379" s="776"/>
      <c r="K379" s="776"/>
      <c r="L379" s="776"/>
      <c r="M379" s="776"/>
      <c r="N379" s="776"/>
      <c r="O379" s="776"/>
      <c r="P379" s="776"/>
      <c r="Q379" s="776"/>
      <c r="R379" s="776"/>
      <c r="S379" s="776"/>
    </row>
    <row r="380" spans="1:19">
      <c r="A380" s="685"/>
      <c r="B380" s="776"/>
      <c r="C380" s="776"/>
      <c r="D380" s="776"/>
      <c r="E380" s="776"/>
      <c r="F380" s="776"/>
      <c r="G380" s="776"/>
      <c r="H380" s="776"/>
      <c r="I380" s="776"/>
      <c r="J380" s="776"/>
      <c r="K380" s="776"/>
      <c r="L380" s="776"/>
      <c r="M380" s="776"/>
      <c r="N380" s="776"/>
      <c r="O380" s="776"/>
      <c r="P380" s="776"/>
      <c r="Q380" s="776"/>
      <c r="R380" s="776"/>
      <c r="S380" s="776"/>
    </row>
    <row r="381" spans="1:19">
      <c r="A381" s="685"/>
      <c r="B381" s="776"/>
      <c r="C381" s="776"/>
      <c r="D381" s="776"/>
      <c r="E381" s="776"/>
      <c r="F381" s="776"/>
      <c r="G381" s="776"/>
      <c r="H381" s="776"/>
      <c r="I381" s="776"/>
      <c r="J381" s="776"/>
      <c r="K381" s="776"/>
      <c r="L381" s="776"/>
      <c r="M381" s="776"/>
      <c r="N381" s="776"/>
      <c r="O381" s="776"/>
      <c r="P381" s="776"/>
      <c r="Q381" s="776"/>
      <c r="R381" s="776"/>
      <c r="S381" s="776"/>
    </row>
    <row r="382" spans="1:19">
      <c r="A382" s="685"/>
      <c r="B382" s="776"/>
      <c r="C382" s="776"/>
      <c r="D382" s="776"/>
      <c r="E382" s="776"/>
      <c r="F382" s="776"/>
      <c r="G382" s="776"/>
      <c r="H382" s="776"/>
      <c r="I382" s="776"/>
      <c r="J382" s="776"/>
      <c r="K382" s="776"/>
      <c r="L382" s="776"/>
      <c r="M382" s="776"/>
      <c r="N382" s="776"/>
      <c r="O382" s="776"/>
      <c r="P382" s="776"/>
      <c r="Q382" s="776"/>
      <c r="R382" s="776"/>
      <c r="S382" s="776"/>
    </row>
    <row r="383" spans="1:19">
      <c r="A383" s="685"/>
      <c r="B383" s="776"/>
      <c r="C383" s="776"/>
      <c r="D383" s="776"/>
      <c r="E383" s="776"/>
      <c r="F383" s="776"/>
      <c r="G383" s="776"/>
      <c r="H383" s="776"/>
      <c r="I383" s="776"/>
      <c r="J383" s="776"/>
      <c r="K383" s="776"/>
      <c r="L383" s="776"/>
      <c r="M383" s="776"/>
      <c r="N383" s="776"/>
      <c r="O383" s="776"/>
      <c r="P383" s="776"/>
      <c r="Q383" s="776"/>
      <c r="R383" s="776"/>
      <c r="S383" s="776"/>
    </row>
    <row r="384" spans="1:19">
      <c r="A384" s="685"/>
      <c r="B384" s="776"/>
      <c r="C384" s="776"/>
      <c r="D384" s="776"/>
      <c r="E384" s="776"/>
      <c r="F384" s="776"/>
      <c r="G384" s="776"/>
      <c r="H384" s="776"/>
      <c r="I384" s="776"/>
      <c r="J384" s="776"/>
      <c r="K384" s="776"/>
      <c r="L384" s="776"/>
      <c r="M384" s="776"/>
      <c r="N384" s="776"/>
      <c r="O384" s="776"/>
      <c r="P384" s="776"/>
      <c r="Q384" s="776"/>
      <c r="R384" s="776"/>
      <c r="S384" s="776"/>
    </row>
    <row r="385" spans="1:1">
      <c r="A385" s="685"/>
    </row>
    <row r="386" spans="1:1">
      <c r="A386" s="685"/>
    </row>
    <row r="387" spans="1:1">
      <c r="A387" s="685"/>
    </row>
    <row r="388" spans="1:1">
      <c r="A388" s="685"/>
    </row>
    <row r="389" spans="1:1">
      <c r="A389" s="685"/>
    </row>
    <row r="390" spans="1:1">
      <c r="A390" s="685"/>
    </row>
    <row r="391" spans="1:1">
      <c r="A391" s="685"/>
    </row>
    <row r="392" spans="1:1">
      <c r="A392" s="685"/>
    </row>
    <row r="393" spans="1:1">
      <c r="A393" s="685"/>
    </row>
    <row r="394" spans="1:1">
      <c r="A394" s="685"/>
    </row>
    <row r="395" spans="1:1">
      <c r="A395" s="685"/>
    </row>
    <row r="396" spans="1:1">
      <c r="A396" s="685"/>
    </row>
    <row r="397" spans="1:1">
      <c r="A397" s="685"/>
    </row>
    <row r="398" spans="1:1">
      <c r="A398" s="685"/>
    </row>
    <row r="399" spans="1:1">
      <c r="A399" s="685"/>
    </row>
    <row r="400" spans="1:1">
      <c r="A400" s="685"/>
    </row>
    <row r="401" spans="1:1">
      <c r="A401" s="685"/>
    </row>
    <row r="402" spans="1:1">
      <c r="A402" s="685"/>
    </row>
    <row r="403" spans="1:1">
      <c r="A403" s="685"/>
    </row>
    <row r="404" spans="1:1">
      <c r="A404" s="685"/>
    </row>
    <row r="405" spans="1:1">
      <c r="A405" s="685"/>
    </row>
    <row r="406" spans="1:1">
      <c r="A406" s="685"/>
    </row>
  </sheetData>
  <printOptions horizontalCentered="1" headings="1" gridLines="1"/>
  <pageMargins left="0.31496062992125984" right="0.31496062992125984" top="0.74803149606299213" bottom="0.74803149606299213" header="0.31496062992125984" footer="0.31496062992125984"/>
  <pageSetup paperSize="9" scale="88" fitToHeight="0" orientation="landscape" horizontalDpi="0" verticalDpi="0" r:id="rId1"/>
  <rowBreaks count="4" manualBreakCount="4">
    <brk id="156" max="18" man="1"/>
    <brk id="228" max="18" man="1"/>
    <brk id="279" min="1" max="17" man="1"/>
    <brk id="322" min="1" max="17"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CC662"/>
  <sheetViews>
    <sheetView workbookViewId="0"/>
  </sheetViews>
  <sheetFormatPr defaultRowHeight="12.75"/>
  <cols>
    <col min="1" max="1" width="3.85546875" customWidth="1"/>
    <col min="2" max="2" width="5.85546875" customWidth="1"/>
    <col min="3" max="3" width="23.28515625" customWidth="1"/>
    <col min="4" max="4" width="3" style="776" customWidth="1"/>
    <col min="5" max="5" width="4.28515625" customWidth="1"/>
    <col min="6" max="27" width="10.5703125" customWidth="1"/>
    <col min="28" max="28" width="8.85546875" customWidth="1"/>
    <col min="29" max="29" width="10.5703125" customWidth="1"/>
  </cols>
  <sheetData>
    <row r="1" spans="1:81" s="592" customFormat="1" ht="24" customHeight="1" thickBot="1">
      <c r="A1" s="1113" t="s">
        <v>0</v>
      </c>
      <c r="B1" s="1114"/>
      <c r="C1" s="1114"/>
      <c r="D1" s="1114"/>
      <c r="E1" s="1115"/>
      <c r="F1" s="1044" t="e">
        <f>'1_Contents'!#REF!</f>
        <v>#REF!</v>
      </c>
      <c r="G1" s="1507">
        <f ca="1">NOW()</f>
        <v>44487.543585879626</v>
      </c>
      <c r="H1" s="1507"/>
      <c r="I1" s="1508">
        <f ca="1">NOW()</f>
        <v>44487.543585879626</v>
      </c>
      <c r="J1" s="1508"/>
      <c r="K1" s="1508"/>
      <c r="L1" s="896"/>
      <c r="M1" s="38"/>
      <c r="N1" s="116"/>
      <c r="O1" s="116"/>
      <c r="P1" s="776"/>
      <c r="Q1" s="776"/>
      <c r="R1" s="776"/>
      <c r="S1" s="776"/>
      <c r="T1" s="776"/>
      <c r="U1" s="776"/>
      <c r="V1" s="776"/>
      <c r="W1" s="776"/>
      <c r="X1" s="776"/>
      <c r="Y1" s="116"/>
      <c r="Z1" s="116"/>
      <c r="AA1" s="116" t="e">
        <f>'1_Contents'!#REF!</f>
        <v>#REF!</v>
      </c>
      <c r="AB1" s="710"/>
      <c r="AC1" s="710"/>
      <c r="AD1" s="710"/>
      <c r="AE1" s="710"/>
      <c r="AF1" s="710"/>
      <c r="AG1" s="710"/>
      <c r="AH1" s="710"/>
      <c r="AI1" s="710"/>
      <c r="AJ1" s="710"/>
      <c r="AK1" s="710"/>
      <c r="AL1" s="710"/>
      <c r="AM1" s="710"/>
      <c r="AN1" s="710"/>
      <c r="AO1" s="710"/>
      <c r="AP1" s="710"/>
      <c r="AQ1" s="710"/>
      <c r="AR1" s="710"/>
      <c r="AS1" s="710"/>
      <c r="AT1" s="710"/>
      <c r="AU1" s="710"/>
      <c r="AV1" s="710"/>
      <c r="AW1" s="710"/>
      <c r="AX1" s="710"/>
      <c r="AY1" s="710"/>
      <c r="AZ1" s="710"/>
      <c r="BA1" s="710"/>
      <c r="BB1" s="710"/>
      <c r="BC1" s="710"/>
      <c r="BD1" s="710"/>
      <c r="BE1" s="710"/>
      <c r="BF1" s="710"/>
      <c r="BG1" s="710"/>
      <c r="BH1" s="710"/>
      <c r="BI1" s="710"/>
      <c r="BJ1" s="710"/>
      <c r="BK1" s="710"/>
      <c r="BL1" s="710"/>
      <c r="BM1" s="710"/>
      <c r="BN1" s="710"/>
      <c r="BO1" s="710"/>
      <c r="BP1" s="710"/>
      <c r="BQ1" s="710"/>
      <c r="BR1" s="710"/>
      <c r="BS1" s="710"/>
      <c r="BT1" s="710"/>
      <c r="BU1" s="710"/>
      <c r="BV1" s="710"/>
      <c r="BW1" s="710"/>
      <c r="BX1" s="779"/>
      <c r="BY1" s="779"/>
      <c r="BZ1" s="779"/>
      <c r="CA1" s="779"/>
      <c r="CB1" s="779"/>
      <c r="CC1" s="779"/>
    </row>
    <row r="2" spans="1:81" s="592" customFormat="1" ht="15" customHeight="1">
      <c r="A2" s="800" t="s">
        <v>1196</v>
      </c>
      <c r="B2" s="321"/>
      <c r="C2" s="785"/>
      <c r="D2" s="785"/>
      <c r="E2" s="802"/>
      <c r="F2" s="69">
        <v>0</v>
      </c>
      <c r="G2" s="69">
        <f t="shared" ref="G2:W3" si="0">F2+1</f>
        <v>1</v>
      </c>
      <c r="H2" s="69">
        <f t="shared" si="0"/>
        <v>2</v>
      </c>
      <c r="I2" s="69">
        <f t="shared" si="0"/>
        <v>3</v>
      </c>
      <c r="J2" s="69">
        <f t="shared" si="0"/>
        <v>4</v>
      </c>
      <c r="K2" s="69">
        <f t="shared" si="0"/>
        <v>5</v>
      </c>
      <c r="L2" s="69">
        <f t="shared" si="0"/>
        <v>6</v>
      </c>
      <c r="M2" s="69">
        <f t="shared" si="0"/>
        <v>7</v>
      </c>
      <c r="N2" s="69">
        <f t="shared" si="0"/>
        <v>8</v>
      </c>
      <c r="O2" s="69">
        <f t="shared" si="0"/>
        <v>9</v>
      </c>
      <c r="P2" s="69">
        <f t="shared" si="0"/>
        <v>10</v>
      </c>
      <c r="Q2" s="69">
        <f t="shared" si="0"/>
        <v>11</v>
      </c>
      <c r="R2" s="69">
        <f t="shared" si="0"/>
        <v>12</v>
      </c>
      <c r="S2" s="69">
        <f t="shared" si="0"/>
        <v>13</v>
      </c>
      <c r="T2" s="69">
        <f t="shared" si="0"/>
        <v>14</v>
      </c>
      <c r="U2" s="69">
        <f t="shared" si="0"/>
        <v>15</v>
      </c>
      <c r="V2" s="69">
        <f t="shared" si="0"/>
        <v>16</v>
      </c>
      <c r="W2" s="69">
        <f t="shared" si="0"/>
        <v>17</v>
      </c>
      <c r="X2" s="69">
        <f t="shared" ref="X2:AA3" si="1">W2+1</f>
        <v>18</v>
      </c>
      <c r="Y2" s="69">
        <f t="shared" si="1"/>
        <v>19</v>
      </c>
      <c r="Z2" s="69">
        <f t="shared" si="1"/>
        <v>20</v>
      </c>
      <c r="AA2" s="69">
        <f t="shared" si="1"/>
        <v>21</v>
      </c>
      <c r="AB2" s="710"/>
      <c r="AC2" s="710"/>
      <c r="AD2" s="710"/>
      <c r="AE2" s="710"/>
      <c r="AF2" s="710"/>
      <c r="AG2" s="710"/>
      <c r="AH2" s="710"/>
      <c r="AI2" s="710"/>
      <c r="AJ2" s="710"/>
      <c r="AK2" s="710"/>
      <c r="AL2" s="710"/>
      <c r="AM2" s="710"/>
      <c r="AN2" s="710"/>
      <c r="AO2" s="710"/>
      <c r="AP2" s="710"/>
      <c r="AQ2" s="710"/>
      <c r="AR2" s="710"/>
      <c r="AS2" s="710"/>
      <c r="AT2" s="710"/>
      <c r="AU2" s="710"/>
      <c r="AV2" s="710"/>
      <c r="AW2" s="710"/>
      <c r="AX2" s="710"/>
      <c r="AY2" s="710"/>
      <c r="AZ2" s="710"/>
      <c r="BA2" s="710"/>
      <c r="BB2" s="710"/>
      <c r="BC2" s="710"/>
      <c r="BD2" s="710"/>
      <c r="BE2" s="710"/>
      <c r="BF2" s="710"/>
      <c r="BG2" s="710"/>
      <c r="BH2" s="710"/>
      <c r="BI2" s="710"/>
      <c r="BJ2" s="710"/>
      <c r="BK2" s="710"/>
      <c r="BL2" s="710"/>
      <c r="BM2" s="710"/>
      <c r="BN2" s="710"/>
      <c r="BO2" s="710"/>
      <c r="BP2" s="710"/>
      <c r="BQ2" s="710"/>
      <c r="BR2" s="710"/>
      <c r="BS2" s="710"/>
      <c r="BT2" s="710"/>
      <c r="BU2" s="710"/>
      <c r="BV2" s="710"/>
      <c r="BW2" s="710"/>
      <c r="BX2" s="779"/>
      <c r="BY2" s="779"/>
      <c r="BZ2" s="779"/>
      <c r="CA2" s="779"/>
      <c r="CB2" s="779"/>
      <c r="CC2" s="779"/>
    </row>
    <row r="3" spans="1:81" s="592" customFormat="1">
      <c r="A3" s="1266" t="s">
        <v>538</v>
      </c>
      <c r="B3" s="46" t="s">
        <v>539</v>
      </c>
      <c r="C3" s="776"/>
      <c r="D3" s="776"/>
      <c r="E3" s="3" t="s">
        <v>3</v>
      </c>
      <c r="F3" s="798">
        <v>1999</v>
      </c>
      <c r="G3" s="798">
        <f>F3+1</f>
        <v>2000</v>
      </c>
      <c r="H3" s="798">
        <f t="shared" si="0"/>
        <v>2001</v>
      </c>
      <c r="I3" s="798">
        <f t="shared" si="0"/>
        <v>2002</v>
      </c>
      <c r="J3" s="798">
        <f t="shared" si="0"/>
        <v>2003</v>
      </c>
      <c r="K3" s="798">
        <f t="shared" si="0"/>
        <v>2004</v>
      </c>
      <c r="L3" s="798">
        <f t="shared" si="0"/>
        <v>2005</v>
      </c>
      <c r="M3" s="798">
        <f t="shared" si="0"/>
        <v>2006</v>
      </c>
      <c r="N3" s="798">
        <f t="shared" si="0"/>
        <v>2007</v>
      </c>
      <c r="O3" s="798">
        <f t="shared" si="0"/>
        <v>2008</v>
      </c>
      <c r="P3" s="798">
        <f t="shared" si="0"/>
        <v>2009</v>
      </c>
      <c r="Q3" s="798">
        <f t="shared" si="0"/>
        <v>2010</v>
      </c>
      <c r="R3" s="798">
        <f t="shared" si="0"/>
        <v>2011</v>
      </c>
      <c r="S3" s="798">
        <f t="shared" ref="S3" si="2">R3+1</f>
        <v>2012</v>
      </c>
      <c r="T3" s="798">
        <f t="shared" ref="T3" si="3">S3+1</f>
        <v>2013</v>
      </c>
      <c r="U3" s="798">
        <f t="shared" ref="U3" si="4">T3+1</f>
        <v>2014</v>
      </c>
      <c r="V3" s="798">
        <f t="shared" ref="V3" si="5">U3+1</f>
        <v>2015</v>
      </c>
      <c r="W3" s="798">
        <f t="shared" ref="W3" si="6">V3+1</f>
        <v>2016</v>
      </c>
      <c r="X3" s="798">
        <f t="shared" si="1"/>
        <v>2017</v>
      </c>
      <c r="Y3" s="798">
        <f t="shared" si="1"/>
        <v>2018</v>
      </c>
      <c r="Z3" s="798">
        <f t="shared" si="1"/>
        <v>2019</v>
      </c>
      <c r="AA3" s="798">
        <f t="shared" si="1"/>
        <v>2020</v>
      </c>
      <c r="AB3" s="710"/>
      <c r="AC3" s="710"/>
      <c r="AD3" s="710"/>
      <c r="AE3" s="710"/>
      <c r="AF3" s="710"/>
      <c r="AG3" s="710"/>
      <c r="AH3" s="710"/>
      <c r="AI3" s="710"/>
      <c r="AJ3" s="710"/>
      <c r="AK3" s="710"/>
      <c r="AL3" s="710"/>
      <c r="AM3" s="710"/>
      <c r="AN3" s="710"/>
      <c r="AO3" s="710"/>
      <c r="AP3" s="710"/>
      <c r="AQ3" s="710"/>
      <c r="AR3" s="710"/>
      <c r="AS3" s="710"/>
      <c r="AT3" s="710"/>
      <c r="AU3" s="710"/>
      <c r="AV3" s="710"/>
      <c r="AW3" s="710"/>
      <c r="AX3" s="710"/>
      <c r="AY3" s="710"/>
      <c r="AZ3" s="710"/>
      <c r="BA3" s="710"/>
      <c r="BB3" s="710"/>
      <c r="BC3" s="710"/>
      <c r="BD3" s="710"/>
      <c r="BE3" s="710"/>
      <c r="BF3" s="710"/>
      <c r="BG3" s="710"/>
      <c r="BH3" s="710"/>
      <c r="BI3" s="710"/>
      <c r="BJ3" s="710"/>
      <c r="BK3" s="710"/>
      <c r="BL3" s="710"/>
      <c r="BM3" s="710"/>
      <c r="BN3" s="710"/>
      <c r="BO3" s="710"/>
      <c r="BP3" s="710"/>
      <c r="BQ3" s="710"/>
      <c r="BR3" s="710"/>
      <c r="BS3" s="710"/>
      <c r="BT3" s="710"/>
      <c r="BU3" s="710"/>
      <c r="BV3" s="710"/>
      <c r="BW3" s="710"/>
      <c r="BX3" s="779"/>
      <c r="BY3" s="779"/>
      <c r="BZ3" s="779"/>
      <c r="CA3" s="779"/>
      <c r="CB3" s="779"/>
      <c r="CC3" s="779"/>
    </row>
    <row r="4" spans="1:81" s="592" customFormat="1">
      <c r="A4" s="52">
        <v>1000</v>
      </c>
      <c r="B4" s="776"/>
      <c r="C4" s="776" t="s">
        <v>292</v>
      </c>
      <c r="D4" s="776"/>
      <c r="E4" s="776"/>
      <c r="F4" s="754">
        <v>93759</v>
      </c>
      <c r="G4" s="754">
        <v>33562</v>
      </c>
      <c r="H4" s="754">
        <v>52829</v>
      </c>
      <c r="I4" s="754">
        <v>9962</v>
      </c>
      <c r="J4" s="754">
        <v>55337</v>
      </c>
      <c r="K4" s="754">
        <v>104262</v>
      </c>
      <c r="L4" s="754">
        <v>40827</v>
      </c>
      <c r="M4" s="754"/>
      <c r="N4" s="754"/>
      <c r="O4" s="754">
        <v>71742</v>
      </c>
      <c r="P4" s="754">
        <v>47877</v>
      </c>
      <c r="Q4" s="754">
        <v>54394</v>
      </c>
      <c r="R4" s="754">
        <v>368191</v>
      </c>
      <c r="S4" s="754">
        <v>214420</v>
      </c>
      <c r="T4" s="759" t="e">
        <f>'3_Fin-Stat'!#REF!</f>
        <v>#REF!</v>
      </c>
      <c r="U4" s="759" t="e">
        <f>'3_Fin-Stat'!#REF!</f>
        <v>#REF!</v>
      </c>
      <c r="V4" s="759" t="e">
        <f>'3_Fin-Stat'!#REF!</f>
        <v>#REF!</v>
      </c>
      <c r="W4" s="759" t="e">
        <f>'3_Fin-Stat'!#REF!</f>
        <v>#REF!</v>
      </c>
      <c r="X4" s="759" t="e">
        <f>'3_Fin-Stat'!#REF!</f>
        <v>#REF!</v>
      </c>
      <c r="Y4" s="776"/>
      <c r="Z4" s="13"/>
      <c r="AA4" s="13"/>
      <c r="AB4" s="776"/>
      <c r="AC4" s="776"/>
      <c r="AD4" s="710"/>
      <c r="AE4" s="710"/>
      <c r="AF4" s="710"/>
      <c r="AG4" s="710"/>
      <c r="AH4" s="710"/>
      <c r="AI4" s="710"/>
      <c r="AJ4" s="710"/>
      <c r="AK4" s="710"/>
      <c r="AL4" s="710"/>
      <c r="AM4" s="710"/>
      <c r="AN4" s="710"/>
      <c r="AO4" s="710"/>
      <c r="AP4" s="710"/>
      <c r="AQ4" s="710"/>
      <c r="AR4" s="710"/>
      <c r="AS4" s="710"/>
      <c r="AT4" s="710"/>
      <c r="AU4" s="710"/>
      <c r="AV4" s="710"/>
      <c r="AW4" s="710"/>
      <c r="AX4" s="710"/>
      <c r="AY4" s="710"/>
      <c r="AZ4" s="710"/>
      <c r="BA4" s="710"/>
      <c r="BB4" s="710"/>
      <c r="BC4" s="710"/>
      <c r="BD4" s="710"/>
      <c r="BE4" s="710"/>
      <c r="BF4" s="710"/>
      <c r="BG4" s="710"/>
      <c r="BH4" s="710"/>
      <c r="BI4" s="710"/>
      <c r="BJ4" s="710"/>
      <c r="BK4" s="710"/>
      <c r="BL4" s="710"/>
      <c r="BM4" s="710"/>
      <c r="BN4" s="710"/>
      <c r="BO4" s="710"/>
      <c r="BP4" s="710"/>
      <c r="BQ4" s="710"/>
      <c r="BR4" s="710"/>
      <c r="BS4" s="710"/>
      <c r="BT4" s="710"/>
      <c r="BU4" s="710"/>
      <c r="BV4" s="710"/>
      <c r="BW4" s="710"/>
      <c r="BX4" s="779"/>
      <c r="BY4" s="779"/>
      <c r="BZ4" s="779"/>
      <c r="CA4" s="779"/>
      <c r="CB4" s="779"/>
      <c r="CC4" s="779"/>
    </row>
    <row r="5" spans="1:81" s="592" customFormat="1">
      <c r="A5" s="52">
        <v>1100</v>
      </c>
      <c r="B5" s="776"/>
      <c r="C5" s="776" t="s">
        <v>294</v>
      </c>
      <c r="D5" s="776"/>
      <c r="E5" s="776"/>
      <c r="F5" s="754">
        <v>82784</v>
      </c>
      <c r="G5" s="754">
        <v>95020</v>
      </c>
      <c r="H5" s="754">
        <v>182656</v>
      </c>
      <c r="I5" s="754">
        <v>153665</v>
      </c>
      <c r="J5" s="754">
        <v>209728</v>
      </c>
      <c r="K5" s="754">
        <v>212902</v>
      </c>
      <c r="L5" s="754">
        <v>289735</v>
      </c>
      <c r="M5" s="754">
        <v>234422</v>
      </c>
      <c r="N5" s="754"/>
      <c r="O5" s="754">
        <v>471134</v>
      </c>
      <c r="P5" s="754">
        <v>188156</v>
      </c>
      <c r="Q5" s="754">
        <v>199114</v>
      </c>
      <c r="R5" s="754">
        <v>240885</v>
      </c>
      <c r="S5" s="754">
        <v>298076</v>
      </c>
      <c r="T5" s="759" t="e">
        <f>'3_Fin-Stat'!#REF!</f>
        <v>#REF!</v>
      </c>
      <c r="U5" s="759" t="e">
        <f>'3_Fin-Stat'!#REF!</f>
        <v>#REF!</v>
      </c>
      <c r="V5" s="759" t="e">
        <f>'3_Fin-Stat'!#REF!</f>
        <v>#REF!</v>
      </c>
      <c r="W5" s="759" t="e">
        <f>'3_Fin-Stat'!#REF!</f>
        <v>#REF!</v>
      </c>
      <c r="X5" s="759" t="e">
        <f>'3_Fin-Stat'!#REF!</f>
        <v>#REF!</v>
      </c>
      <c r="Y5" s="776"/>
      <c r="Z5" s="13"/>
      <c r="AA5" s="13"/>
      <c r="AB5" s="776"/>
      <c r="AC5" s="776"/>
      <c r="AD5" s="11"/>
      <c r="AE5" s="11"/>
      <c r="AF5" s="11"/>
      <c r="AG5" s="11"/>
      <c r="AH5" s="11"/>
      <c r="AI5" s="11"/>
      <c r="AJ5" s="11"/>
      <c r="AK5" s="11"/>
      <c r="AL5" s="11"/>
      <c r="AM5" s="11"/>
      <c r="AN5" s="11"/>
      <c r="AO5" s="710"/>
      <c r="AP5" s="710"/>
      <c r="AQ5" s="710"/>
      <c r="AR5" s="710"/>
      <c r="AS5" s="710"/>
      <c r="AT5" s="710"/>
      <c r="AU5" s="710"/>
      <c r="AV5" s="710"/>
      <c r="AW5" s="710"/>
      <c r="AX5" s="710"/>
      <c r="AY5" s="710"/>
      <c r="AZ5" s="710"/>
      <c r="BA5" s="710"/>
      <c r="BB5" s="710"/>
      <c r="BC5" s="710"/>
      <c r="BD5" s="710"/>
      <c r="BE5" s="710"/>
      <c r="BF5" s="710"/>
      <c r="BG5" s="710"/>
      <c r="BH5" s="710"/>
      <c r="BI5" s="710"/>
      <c r="BJ5" s="710"/>
      <c r="BK5" s="710"/>
      <c r="BL5" s="710"/>
      <c r="BM5" s="710"/>
      <c r="BN5" s="710"/>
      <c r="BO5" s="710"/>
      <c r="BP5" s="710"/>
      <c r="BQ5" s="710"/>
      <c r="BR5" s="710"/>
      <c r="BS5" s="710"/>
      <c r="BT5" s="710"/>
      <c r="BU5" s="710"/>
      <c r="BV5" s="710"/>
      <c r="BW5" s="710"/>
      <c r="BX5" s="779"/>
      <c r="BY5" s="779"/>
      <c r="BZ5" s="779"/>
      <c r="CA5" s="779"/>
      <c r="CB5" s="779"/>
      <c r="CC5" s="779"/>
    </row>
    <row r="6" spans="1:81" s="592" customFormat="1">
      <c r="A6" s="52">
        <v>1200</v>
      </c>
      <c r="B6" s="776"/>
      <c r="C6" s="776" t="s">
        <v>583</v>
      </c>
      <c r="D6" s="776"/>
      <c r="E6" s="776"/>
      <c r="F6" s="754">
        <v>2720</v>
      </c>
      <c r="G6" s="754">
        <v>2509</v>
      </c>
      <c r="H6" s="754">
        <v>2744</v>
      </c>
      <c r="I6" s="754">
        <v>2908</v>
      </c>
      <c r="J6" s="754">
        <v>2884</v>
      </c>
      <c r="K6" s="754">
        <v>3140</v>
      </c>
      <c r="L6" s="754">
        <v>3378</v>
      </c>
      <c r="M6" s="754"/>
      <c r="N6" s="754"/>
      <c r="O6" s="754">
        <v>8251</v>
      </c>
      <c r="P6" s="754">
        <v>7299</v>
      </c>
      <c r="Q6" s="754">
        <v>6029</v>
      </c>
      <c r="R6" s="754">
        <v>3333</v>
      </c>
      <c r="S6" s="754">
        <v>4649</v>
      </c>
      <c r="T6" s="759" t="e">
        <f>'3_Fin-Stat'!#REF!</f>
        <v>#REF!</v>
      </c>
      <c r="U6" s="759" t="e">
        <f>'3_Fin-Stat'!#REF!</f>
        <v>#REF!</v>
      </c>
      <c r="V6" s="759" t="e">
        <f>'3_Fin-Stat'!#REF!</f>
        <v>#REF!</v>
      </c>
      <c r="W6" s="759" t="e">
        <f>'3_Fin-Stat'!#REF!</f>
        <v>#REF!</v>
      </c>
      <c r="X6" s="759" t="e">
        <f>'3_Fin-Stat'!#REF!</f>
        <v>#REF!</v>
      </c>
      <c r="Y6" s="776"/>
      <c r="Z6" s="13"/>
      <c r="AA6" s="13"/>
      <c r="AB6" s="776"/>
      <c r="AC6" s="776"/>
      <c r="AD6" s="11"/>
      <c r="AE6" s="11"/>
      <c r="AF6" s="11"/>
      <c r="AG6" s="11"/>
      <c r="AH6" s="11"/>
      <c r="AI6" s="11"/>
      <c r="AJ6" s="11"/>
      <c r="AK6" s="11"/>
      <c r="AL6" s="11"/>
      <c r="AM6" s="11"/>
      <c r="AN6" s="11"/>
      <c r="AO6" s="710"/>
      <c r="AP6" s="710"/>
      <c r="AQ6" s="710"/>
      <c r="AR6" s="710"/>
      <c r="AS6" s="710"/>
      <c r="AT6" s="710"/>
      <c r="AU6" s="710"/>
      <c r="AV6" s="710"/>
      <c r="AW6" s="710"/>
      <c r="AX6" s="710"/>
      <c r="AY6" s="710"/>
      <c r="AZ6" s="710"/>
      <c r="BA6" s="710"/>
      <c r="BB6" s="710"/>
      <c r="BC6" s="710"/>
      <c r="BD6" s="710"/>
      <c r="BE6" s="710"/>
      <c r="BF6" s="710"/>
      <c r="BG6" s="710"/>
      <c r="BH6" s="710"/>
      <c r="BI6" s="710"/>
      <c r="BJ6" s="710"/>
      <c r="BK6" s="710"/>
      <c r="BL6" s="710"/>
      <c r="BM6" s="710"/>
      <c r="BN6" s="710"/>
      <c r="BO6" s="710"/>
      <c r="BP6" s="710"/>
      <c r="BQ6" s="710"/>
      <c r="BR6" s="710"/>
      <c r="BS6" s="710"/>
      <c r="BT6" s="710"/>
      <c r="BU6" s="710"/>
      <c r="BV6" s="710"/>
      <c r="BW6" s="710"/>
      <c r="BX6" s="779"/>
      <c r="BY6" s="779"/>
      <c r="BZ6" s="779"/>
      <c r="CA6" s="779"/>
      <c r="CB6" s="779"/>
      <c r="CC6" s="779"/>
    </row>
    <row r="7" spans="1:81" s="592" customFormat="1">
      <c r="A7" s="52"/>
      <c r="B7" s="776"/>
      <c r="C7" s="776" t="s">
        <v>302</v>
      </c>
      <c r="D7" s="776"/>
      <c r="E7" s="776"/>
      <c r="F7" s="754"/>
      <c r="G7" s="754"/>
      <c r="H7" s="754"/>
      <c r="I7" s="754"/>
      <c r="J7" s="754"/>
      <c r="K7" s="754"/>
      <c r="L7" s="754"/>
      <c r="M7" s="754"/>
      <c r="N7" s="754"/>
      <c r="O7" s="754"/>
      <c r="P7" s="754"/>
      <c r="Q7" s="754">
        <v>683</v>
      </c>
      <c r="R7" s="754">
        <v>632</v>
      </c>
      <c r="S7" s="754">
        <v>632</v>
      </c>
      <c r="T7" s="759" t="e">
        <f>'3_Fin-Stat'!#REF!</f>
        <v>#REF!</v>
      </c>
      <c r="U7" s="759" t="e">
        <f>'3_Fin-Stat'!#REF!</f>
        <v>#REF!</v>
      </c>
      <c r="V7" s="759" t="e">
        <f>'3_Fin-Stat'!#REF!</f>
        <v>#REF!</v>
      </c>
      <c r="W7" s="759" t="e">
        <f>'3_Fin-Stat'!#REF!</f>
        <v>#REF!</v>
      </c>
      <c r="X7" s="759" t="e">
        <f>'3_Fin-Stat'!#REF!</f>
        <v>#REF!</v>
      </c>
      <c r="Y7" s="776"/>
      <c r="Z7" s="13"/>
      <c r="AA7" s="13"/>
      <c r="AB7" s="776"/>
      <c r="AC7" s="776"/>
      <c r="AD7" s="11"/>
      <c r="AE7" s="11"/>
      <c r="AF7" s="11"/>
      <c r="AG7" s="11"/>
      <c r="AH7" s="11"/>
      <c r="AI7" s="11"/>
      <c r="AJ7" s="11"/>
      <c r="AK7" s="11"/>
      <c r="AL7" s="11"/>
      <c r="AM7" s="11"/>
      <c r="AN7" s="11"/>
      <c r="AO7" s="710"/>
      <c r="AP7" s="710"/>
      <c r="AQ7" s="710"/>
      <c r="AR7" s="710"/>
      <c r="AS7" s="710"/>
      <c r="AT7" s="710"/>
      <c r="AU7" s="710"/>
      <c r="AV7" s="710"/>
      <c r="AW7" s="710"/>
      <c r="AX7" s="710"/>
      <c r="AY7" s="710"/>
      <c r="AZ7" s="710"/>
      <c r="BA7" s="710"/>
      <c r="BB7" s="710"/>
      <c r="BC7" s="710"/>
      <c r="BD7" s="710"/>
      <c r="BE7" s="710"/>
      <c r="BF7" s="710"/>
      <c r="BG7" s="710"/>
      <c r="BH7" s="710"/>
      <c r="BI7" s="710"/>
      <c r="BJ7" s="710"/>
      <c r="BK7" s="710"/>
      <c r="BL7" s="710"/>
      <c r="BM7" s="710"/>
      <c r="BN7" s="710"/>
      <c r="BO7" s="710"/>
      <c r="BP7" s="710"/>
      <c r="BQ7" s="710"/>
      <c r="BR7" s="710"/>
      <c r="BS7" s="710"/>
      <c r="BT7" s="710"/>
      <c r="BU7" s="710"/>
      <c r="BV7" s="710"/>
      <c r="BW7" s="710"/>
      <c r="BX7" s="779"/>
      <c r="BY7" s="779"/>
      <c r="BZ7" s="779"/>
      <c r="CA7" s="779"/>
      <c r="CB7" s="779"/>
      <c r="CC7" s="779"/>
    </row>
    <row r="8" spans="1:81" s="592" customFormat="1">
      <c r="A8" s="52">
        <v>1250</v>
      </c>
      <c r="B8" s="776"/>
      <c r="C8" s="776" t="s">
        <v>303</v>
      </c>
      <c r="D8" s="776"/>
      <c r="E8" s="776"/>
      <c r="F8" s="754"/>
      <c r="G8" s="754">
        <v>7608</v>
      </c>
      <c r="H8" s="754">
        <v>8519</v>
      </c>
      <c r="I8" s="754">
        <v>18505</v>
      </c>
      <c r="J8" s="754">
        <v>12135</v>
      </c>
      <c r="K8" s="754">
        <v>0</v>
      </c>
      <c r="L8" s="754">
        <v>0</v>
      </c>
      <c r="M8" s="754"/>
      <c r="N8" s="754"/>
      <c r="O8" s="754">
        <v>8045</v>
      </c>
      <c r="P8" s="756"/>
      <c r="Q8" s="754"/>
      <c r="R8" s="754"/>
      <c r="S8" s="754"/>
      <c r="T8" s="759" t="e">
        <f>'3_Fin-Stat'!#REF!</f>
        <v>#REF!</v>
      </c>
      <c r="U8" s="759" t="e">
        <f>'3_Fin-Stat'!#REF!</f>
        <v>#REF!</v>
      </c>
      <c r="V8" s="759" t="e">
        <f>'3_Fin-Stat'!#REF!</f>
        <v>#REF!</v>
      </c>
      <c r="W8" s="759" t="e">
        <f>'3_Fin-Stat'!#REF!</f>
        <v>#REF!</v>
      </c>
      <c r="X8" s="759" t="e">
        <f>'3_Fin-Stat'!#REF!</f>
        <v>#REF!</v>
      </c>
      <c r="Y8" s="776"/>
      <c r="Z8" s="13"/>
      <c r="AA8" s="13"/>
      <c r="AB8" s="776"/>
      <c r="AC8" s="776"/>
      <c r="AD8" s="11"/>
      <c r="AE8" s="11"/>
      <c r="AF8" s="11"/>
      <c r="AG8" s="11"/>
      <c r="AH8" s="11"/>
      <c r="AI8" s="11"/>
      <c r="AJ8" s="11"/>
      <c r="AK8" s="11"/>
      <c r="AL8" s="11"/>
      <c r="AM8" s="11"/>
      <c r="AN8" s="11"/>
      <c r="AO8" s="710"/>
      <c r="AP8" s="710"/>
      <c r="AQ8" s="710"/>
      <c r="AR8" s="710"/>
      <c r="AS8" s="710"/>
      <c r="AT8" s="710"/>
      <c r="AU8" s="710"/>
      <c r="AV8" s="710"/>
      <c r="AW8" s="710"/>
      <c r="AX8" s="710"/>
      <c r="AY8" s="710"/>
      <c r="AZ8" s="710"/>
      <c r="BA8" s="710"/>
      <c r="BB8" s="710"/>
      <c r="BC8" s="710"/>
      <c r="BD8" s="710"/>
      <c r="BE8" s="710"/>
      <c r="BF8" s="710"/>
      <c r="BG8" s="710"/>
      <c r="BH8" s="710"/>
      <c r="BI8" s="710"/>
      <c r="BJ8" s="710"/>
      <c r="BK8" s="710"/>
      <c r="BL8" s="710"/>
      <c r="BM8" s="710"/>
      <c r="BN8" s="710"/>
      <c r="BO8" s="710"/>
      <c r="BP8" s="710"/>
      <c r="BQ8" s="710"/>
      <c r="BR8" s="710"/>
      <c r="BS8" s="710"/>
      <c r="BT8" s="710"/>
      <c r="BU8" s="710"/>
      <c r="BV8" s="710"/>
      <c r="BW8" s="710"/>
      <c r="BX8" s="779"/>
      <c r="BY8" s="779"/>
      <c r="BZ8" s="779"/>
      <c r="CA8" s="779"/>
      <c r="CB8" s="779"/>
      <c r="CC8" s="779"/>
    </row>
    <row r="9" spans="1:81" s="592" customFormat="1">
      <c r="A9" s="52">
        <v>1130</v>
      </c>
      <c r="B9" s="776"/>
      <c r="C9" s="776" t="s">
        <v>305</v>
      </c>
      <c r="D9" s="776"/>
      <c r="E9" s="776"/>
      <c r="F9" s="754"/>
      <c r="G9" s="754"/>
      <c r="H9" s="754"/>
      <c r="I9" s="754"/>
      <c r="J9" s="754"/>
      <c r="K9" s="754"/>
      <c r="L9" s="754"/>
      <c r="M9" s="754"/>
      <c r="N9" s="754"/>
      <c r="O9" s="754">
        <v>7984</v>
      </c>
      <c r="P9" s="754">
        <v>10519</v>
      </c>
      <c r="Q9" s="754">
        <v>350</v>
      </c>
      <c r="R9" s="754">
        <v>1888</v>
      </c>
      <c r="S9" s="754">
        <v>29449</v>
      </c>
      <c r="T9" s="759" t="e">
        <f>'3_Fin-Stat'!#REF!</f>
        <v>#REF!</v>
      </c>
      <c r="U9" s="759" t="e">
        <f>'3_Fin-Stat'!#REF!</f>
        <v>#REF!</v>
      </c>
      <c r="V9" s="759" t="e">
        <f>'3_Fin-Stat'!#REF!</f>
        <v>#REF!</v>
      </c>
      <c r="W9" s="759" t="e">
        <f>'3_Fin-Stat'!#REF!</f>
        <v>#REF!</v>
      </c>
      <c r="X9" s="759" t="e">
        <f>'3_Fin-Stat'!#REF!</f>
        <v>#REF!</v>
      </c>
      <c r="Y9" s="776"/>
      <c r="Z9" s="13"/>
      <c r="AA9" s="13"/>
      <c r="AB9" s="776"/>
      <c r="AC9" s="776"/>
      <c r="AD9" s="11"/>
      <c r="AE9" s="11"/>
      <c r="AF9" s="11"/>
      <c r="AG9" s="11"/>
      <c r="AH9" s="11"/>
      <c r="AI9" s="11"/>
      <c r="AJ9" s="11"/>
      <c r="AK9" s="11"/>
      <c r="AL9" s="11"/>
      <c r="AM9" s="11"/>
      <c r="AN9" s="11"/>
      <c r="AO9" s="710"/>
      <c r="AP9" s="710"/>
      <c r="AQ9" s="710"/>
      <c r="AR9" s="710"/>
      <c r="AS9" s="710"/>
      <c r="AT9" s="710"/>
      <c r="AU9" s="710"/>
      <c r="AV9" s="710"/>
      <c r="AW9" s="710"/>
      <c r="AX9" s="710"/>
      <c r="AY9" s="710"/>
      <c r="AZ9" s="710"/>
      <c r="BA9" s="710"/>
      <c r="BB9" s="710"/>
      <c r="BC9" s="710"/>
      <c r="BD9" s="710"/>
      <c r="BE9" s="710"/>
      <c r="BF9" s="710"/>
      <c r="BG9" s="710"/>
      <c r="BH9" s="710"/>
      <c r="BI9" s="710"/>
      <c r="BJ9" s="710"/>
      <c r="BK9" s="710"/>
      <c r="BL9" s="710"/>
      <c r="BM9" s="710"/>
      <c r="BN9" s="710"/>
      <c r="BO9" s="710"/>
      <c r="BP9" s="710"/>
      <c r="BQ9" s="710"/>
      <c r="BR9" s="710"/>
      <c r="BS9" s="710"/>
      <c r="BT9" s="710"/>
      <c r="BU9" s="710"/>
      <c r="BV9" s="710"/>
      <c r="BW9" s="710"/>
      <c r="BX9" s="779"/>
      <c r="BY9" s="779"/>
      <c r="BZ9" s="779"/>
      <c r="CA9" s="779"/>
      <c r="CB9" s="779"/>
      <c r="CC9" s="779"/>
    </row>
    <row r="10" spans="1:81">
      <c r="A10" s="52">
        <v>1810</v>
      </c>
      <c r="B10" s="776"/>
      <c r="C10" s="776" t="s">
        <v>306</v>
      </c>
      <c r="E10" s="776"/>
      <c r="F10" s="754">
        <v>24</v>
      </c>
      <c r="G10" s="754">
        <f>24+3594</f>
        <v>3618</v>
      </c>
      <c r="H10" s="754">
        <v>7093</v>
      </c>
      <c r="I10" s="754">
        <v>8562</v>
      </c>
      <c r="J10" s="754">
        <f>5975+1162</f>
        <v>7137</v>
      </c>
      <c r="K10" s="754">
        <f>15754+1890</f>
        <v>17644</v>
      </c>
      <c r="L10" s="754">
        <v>27497</v>
      </c>
      <c r="M10" s="754">
        <f>16119+716</f>
        <v>16835</v>
      </c>
      <c r="N10" s="754"/>
      <c r="O10" s="756"/>
      <c r="P10" s="756"/>
      <c r="Q10" s="754"/>
      <c r="R10" s="754"/>
      <c r="S10" s="754"/>
      <c r="T10" s="759" t="e">
        <f>'3_Fin-Stat'!#REF!</f>
        <v>#REF!</v>
      </c>
      <c r="U10" s="759" t="e">
        <f>'3_Fin-Stat'!#REF!</f>
        <v>#REF!</v>
      </c>
      <c r="V10" s="759" t="e">
        <f>'3_Fin-Stat'!#REF!</f>
        <v>#REF!</v>
      </c>
      <c r="W10" s="759" t="e">
        <f>'3_Fin-Stat'!#REF!</f>
        <v>#REF!</v>
      </c>
      <c r="X10" s="759" t="e">
        <f>'3_Fin-Stat'!#REF!</f>
        <v>#REF!</v>
      </c>
      <c r="Y10" s="776"/>
      <c r="Z10" s="13"/>
      <c r="AA10" s="13"/>
      <c r="AB10" s="776"/>
      <c r="AC10" s="776"/>
      <c r="AD10" s="11"/>
      <c r="AE10" s="11"/>
      <c r="AF10" s="11"/>
      <c r="AG10" s="11"/>
      <c r="AH10" s="11"/>
      <c r="AI10" s="11"/>
      <c r="AJ10" s="11"/>
      <c r="AK10" s="11"/>
      <c r="AL10" s="11"/>
      <c r="AM10" s="11"/>
      <c r="AN10" s="11"/>
      <c r="AO10" s="710"/>
      <c r="AP10" s="710"/>
      <c r="AQ10" s="710"/>
      <c r="AR10" s="710"/>
      <c r="AS10" s="710"/>
      <c r="AT10" s="710"/>
      <c r="AU10" s="710"/>
      <c r="AV10" s="710"/>
      <c r="AW10" s="710"/>
      <c r="AX10" s="710"/>
      <c r="AY10" s="710"/>
      <c r="AZ10" s="710"/>
      <c r="BA10" s="710"/>
      <c r="BB10" s="710"/>
      <c r="BC10" s="710"/>
      <c r="BD10" s="710"/>
      <c r="BE10" s="710"/>
      <c r="BF10" s="710"/>
      <c r="BG10" s="710"/>
      <c r="BH10" s="710"/>
      <c r="BI10" s="710"/>
      <c r="BJ10" s="710"/>
      <c r="BK10" s="710"/>
      <c r="BL10" s="710"/>
      <c r="BM10" s="710"/>
      <c r="BN10" s="710"/>
      <c r="BO10" s="710"/>
      <c r="BP10" s="710"/>
      <c r="BQ10" s="710"/>
      <c r="BR10" s="710"/>
      <c r="BS10" s="710"/>
      <c r="BT10" s="710"/>
      <c r="BU10" s="710"/>
      <c r="BV10" s="710"/>
      <c r="BW10" s="710"/>
      <c r="BX10" s="779"/>
      <c r="BY10" s="779"/>
      <c r="BZ10" s="779"/>
      <c r="CA10" s="779"/>
      <c r="CB10" s="779"/>
      <c r="CC10" s="779"/>
    </row>
    <row r="11" spans="1:81">
      <c r="A11" s="52">
        <v>1700</v>
      </c>
      <c r="B11" s="776"/>
      <c r="C11" s="776" t="s">
        <v>308</v>
      </c>
      <c r="E11" s="776"/>
      <c r="F11" s="754"/>
      <c r="G11" s="754"/>
      <c r="H11" s="754"/>
      <c r="I11" s="754"/>
      <c r="J11" s="754">
        <v>4804</v>
      </c>
      <c r="K11" s="754">
        <v>9282</v>
      </c>
      <c r="L11" s="754">
        <v>10230</v>
      </c>
      <c r="M11" s="754">
        <v>254930</v>
      </c>
      <c r="N11" s="754"/>
      <c r="O11" s="754">
        <v>729</v>
      </c>
      <c r="P11" s="756"/>
      <c r="Q11" s="754"/>
      <c r="R11" s="754"/>
      <c r="S11" s="754"/>
      <c r="T11" s="759" t="e">
        <f>'3_Fin-Stat'!#REF!</f>
        <v>#REF!</v>
      </c>
      <c r="U11" s="759" t="e">
        <f>'3_Fin-Stat'!#REF!</f>
        <v>#REF!</v>
      </c>
      <c r="V11" s="759" t="e">
        <f>'3_Fin-Stat'!#REF!</f>
        <v>#REF!</v>
      </c>
      <c r="W11" s="759" t="e">
        <f>'3_Fin-Stat'!#REF!</f>
        <v>#REF!</v>
      </c>
      <c r="X11" s="759" t="e">
        <f>'3_Fin-Stat'!#REF!</f>
        <v>#REF!</v>
      </c>
      <c r="Y11" s="776"/>
      <c r="Z11" s="13"/>
      <c r="AA11" s="13"/>
      <c r="AB11" s="776"/>
      <c r="AC11" s="776"/>
      <c r="AD11" s="11"/>
      <c r="AE11" s="11"/>
      <c r="AF11" s="11"/>
      <c r="AG11" s="11"/>
      <c r="AH11" s="11"/>
      <c r="AI11" s="11"/>
      <c r="AJ11" s="11"/>
      <c r="AK11" s="11"/>
      <c r="AL11" s="11"/>
      <c r="AM11" s="11"/>
      <c r="AN11" s="11"/>
      <c r="AO11" s="710"/>
      <c r="AP11" s="710"/>
      <c r="AQ11" s="710"/>
      <c r="AR11" s="710"/>
      <c r="AS11" s="710"/>
      <c r="AT11" s="710"/>
      <c r="AU11" s="710"/>
      <c r="AV11" s="710"/>
      <c r="AW11" s="710"/>
      <c r="AX11" s="710"/>
      <c r="AY11" s="710"/>
      <c r="AZ11" s="710"/>
      <c r="BA11" s="710"/>
      <c r="BB11" s="710"/>
      <c r="BC11" s="710"/>
      <c r="BD11" s="710"/>
      <c r="BE11" s="710"/>
      <c r="BF11" s="710"/>
      <c r="BG11" s="710"/>
      <c r="BH11" s="710"/>
      <c r="BI11" s="710"/>
      <c r="BJ11" s="710"/>
      <c r="BK11" s="710"/>
      <c r="BL11" s="710"/>
      <c r="BM11" s="710"/>
      <c r="BN11" s="710"/>
      <c r="BO11" s="710"/>
      <c r="BP11" s="710"/>
      <c r="BQ11" s="710"/>
      <c r="BR11" s="710"/>
      <c r="BS11" s="710"/>
      <c r="BT11" s="710"/>
      <c r="BU11" s="710"/>
      <c r="BV11" s="710"/>
      <c r="BW11" s="710"/>
      <c r="BX11" s="779"/>
      <c r="BY11" s="779"/>
      <c r="BZ11" s="779"/>
      <c r="CA11" s="779"/>
      <c r="CB11" s="779"/>
      <c r="CC11" s="779"/>
    </row>
    <row r="12" spans="1:81">
      <c r="A12" s="52">
        <v>1760</v>
      </c>
      <c r="B12" s="776"/>
      <c r="C12" s="13" t="s">
        <v>1071</v>
      </c>
      <c r="D12" s="13"/>
      <c r="E12" s="13"/>
      <c r="F12" s="754"/>
      <c r="G12" s="754"/>
      <c r="H12" s="754"/>
      <c r="I12" s="754"/>
      <c r="J12" s="754"/>
      <c r="K12" s="754"/>
      <c r="L12" s="754"/>
      <c r="M12" s="754">
        <f>'3_Fin-Stat'!M681</f>
        <v>0</v>
      </c>
      <c r="N12" s="754"/>
      <c r="O12" s="754">
        <f>'3_Fin-Stat'!O693</f>
        <v>0</v>
      </c>
      <c r="P12" s="754">
        <f>'3_Fin-Stat'!P693</f>
        <v>0</v>
      </c>
      <c r="Q12" s="754">
        <f>'3_Fin-Stat'!Q693</f>
        <v>0</v>
      </c>
      <c r="R12" s="754">
        <f>'3_Fin-Stat'!R693</f>
        <v>0</v>
      </c>
      <c r="S12" s="754">
        <f>'3_Fin-Stat'!S693</f>
        <v>0</v>
      </c>
      <c r="T12" s="754">
        <f>'3_Fin-Stat'!T693</f>
        <v>0</v>
      </c>
      <c r="U12" s="754">
        <f>'3_Fin-Stat'!U693</f>
        <v>0</v>
      </c>
      <c r="V12" s="754">
        <f>'3_Fin-Stat'!V693</f>
        <v>0</v>
      </c>
      <c r="W12" s="754">
        <f>'3_Fin-Stat'!W693</f>
        <v>0</v>
      </c>
      <c r="X12" s="754">
        <f>'3_Fin-Stat'!X693</f>
        <v>0</v>
      </c>
      <c r="Y12" s="776"/>
      <c r="Z12" s="13"/>
      <c r="AA12" s="13"/>
      <c r="AB12" s="776"/>
      <c r="AC12" s="776"/>
      <c r="AD12" s="11"/>
      <c r="AE12" s="11"/>
      <c r="AF12" s="11"/>
      <c r="AG12" s="11"/>
      <c r="AH12" s="11"/>
      <c r="AI12" s="11"/>
      <c r="AJ12" s="11"/>
      <c r="AK12" s="11"/>
      <c r="AL12" s="11"/>
      <c r="AM12" s="11"/>
      <c r="AN12" s="11"/>
      <c r="AO12" s="779"/>
      <c r="AP12" s="779"/>
      <c r="AQ12" s="779"/>
      <c r="AR12" s="779"/>
      <c r="AS12" s="779"/>
      <c r="AT12" s="779"/>
      <c r="AU12" s="779"/>
      <c r="AV12" s="779"/>
      <c r="AW12" s="779"/>
      <c r="AX12" s="779"/>
      <c r="AY12" s="779"/>
      <c r="AZ12" s="779"/>
      <c r="BA12" s="779"/>
      <c r="BB12" s="779"/>
      <c r="BC12" s="779"/>
      <c r="BD12" s="779"/>
      <c r="BE12" s="779"/>
      <c r="BF12" s="779"/>
      <c r="BG12" s="779"/>
      <c r="BH12" s="779"/>
      <c r="BI12" s="779"/>
      <c r="BJ12" s="779"/>
      <c r="BK12" s="779"/>
      <c r="BL12" s="779"/>
      <c r="BM12" s="779"/>
      <c r="BN12" s="779"/>
      <c r="BO12" s="779"/>
      <c r="BP12" s="779"/>
      <c r="BQ12" s="779"/>
      <c r="BR12" s="779"/>
      <c r="BS12" s="779"/>
      <c r="BT12" s="779"/>
      <c r="BU12" s="779"/>
      <c r="BV12" s="779"/>
      <c r="BW12" s="779"/>
      <c r="BX12" s="779"/>
      <c r="BY12" s="779"/>
      <c r="BZ12" s="779"/>
      <c r="CA12" s="779"/>
      <c r="CB12" s="779"/>
      <c r="CC12" s="779"/>
    </row>
    <row r="13" spans="1:81">
      <c r="A13" s="52">
        <v>1750</v>
      </c>
      <c r="B13" s="776"/>
      <c r="C13" s="13" t="s">
        <v>314</v>
      </c>
      <c r="D13" s="13"/>
      <c r="E13" s="776"/>
      <c r="F13" s="754"/>
      <c r="G13" s="754"/>
      <c r="H13" s="754"/>
      <c r="I13" s="754"/>
      <c r="J13" s="756"/>
      <c r="K13" s="756"/>
      <c r="L13" s="756"/>
      <c r="M13" s="756"/>
      <c r="N13" s="756"/>
      <c r="O13" s="756"/>
      <c r="P13" s="756"/>
      <c r="Q13" s="754"/>
      <c r="R13" s="754"/>
      <c r="S13" s="754"/>
      <c r="T13" s="759" t="e">
        <f>'3_Fin-Stat'!#REF!</f>
        <v>#REF!</v>
      </c>
      <c r="U13" s="759" t="e">
        <f>'3_Fin-Stat'!#REF!</f>
        <v>#REF!</v>
      </c>
      <c r="V13" s="759" t="e">
        <f>'3_Fin-Stat'!#REF!</f>
        <v>#REF!</v>
      </c>
      <c r="W13" s="759" t="e">
        <f>'3_Fin-Stat'!#REF!</f>
        <v>#REF!</v>
      </c>
      <c r="X13" s="759" t="e">
        <f>'3_Fin-Stat'!#REF!</f>
        <v>#REF!</v>
      </c>
      <c r="Y13" s="776"/>
      <c r="Z13" s="13"/>
      <c r="AA13" s="13"/>
      <c r="AB13" s="776"/>
      <c r="AC13" s="776"/>
      <c r="AD13" s="11"/>
      <c r="AE13" s="11"/>
      <c r="AF13" s="11"/>
      <c r="AG13" s="11"/>
      <c r="AH13" s="11"/>
      <c r="AI13" s="11"/>
      <c r="AJ13" s="11"/>
      <c r="AK13" s="11"/>
      <c r="AL13" s="11"/>
      <c r="AM13" s="11"/>
      <c r="AN13" s="11"/>
      <c r="AO13" s="779"/>
      <c r="AP13" s="779"/>
      <c r="AQ13" s="779"/>
      <c r="AR13" s="779"/>
      <c r="AS13" s="779"/>
      <c r="AT13" s="779"/>
      <c r="AU13" s="779"/>
      <c r="AV13" s="779"/>
      <c r="AW13" s="779"/>
      <c r="AX13" s="779"/>
      <c r="AY13" s="779"/>
      <c r="AZ13" s="779"/>
      <c r="BA13" s="779"/>
      <c r="BB13" s="779"/>
      <c r="BC13" s="779"/>
      <c r="BD13" s="779"/>
      <c r="BE13" s="779"/>
      <c r="BF13" s="779"/>
      <c r="BG13" s="779"/>
      <c r="BH13" s="779"/>
      <c r="BI13" s="779"/>
      <c r="BJ13" s="779"/>
      <c r="BK13" s="779"/>
      <c r="BL13" s="779"/>
      <c r="BM13" s="779"/>
      <c r="BN13" s="779"/>
      <c r="BO13" s="779"/>
      <c r="BP13" s="779"/>
      <c r="BQ13" s="779"/>
      <c r="BR13" s="779"/>
      <c r="BS13" s="779"/>
      <c r="BT13" s="779"/>
      <c r="BU13" s="779"/>
      <c r="BV13" s="779"/>
      <c r="BW13" s="779"/>
      <c r="BX13" s="779"/>
      <c r="BY13" s="779"/>
      <c r="BZ13" s="779"/>
      <c r="CA13" s="779"/>
      <c r="CB13" s="779"/>
      <c r="CC13" s="779"/>
    </row>
    <row r="14" spans="1:81">
      <c r="A14" s="52">
        <v>1800</v>
      </c>
      <c r="B14" s="776"/>
      <c r="C14" s="776" t="s">
        <v>541</v>
      </c>
      <c r="E14" s="776"/>
      <c r="F14" s="755">
        <v>17079</v>
      </c>
      <c r="G14" s="755">
        <v>24826</v>
      </c>
      <c r="H14" s="755">
        <v>22846</v>
      </c>
      <c r="I14" s="755">
        <v>52417</v>
      </c>
      <c r="J14" s="755">
        <v>45020</v>
      </c>
      <c r="K14" s="755">
        <v>37658</v>
      </c>
      <c r="L14" s="755">
        <v>30035</v>
      </c>
      <c r="M14" s="755"/>
      <c r="N14" s="755"/>
      <c r="O14" s="755"/>
      <c r="P14" s="760"/>
      <c r="Q14" s="755"/>
      <c r="R14" s="755"/>
      <c r="S14" s="755"/>
      <c r="T14" s="761" t="e">
        <f>'3_Fin-Stat'!#REF!</f>
        <v>#REF!</v>
      </c>
      <c r="U14" s="761" t="e">
        <f>'3_Fin-Stat'!#REF!</f>
        <v>#REF!</v>
      </c>
      <c r="V14" s="761" t="e">
        <f>'3_Fin-Stat'!#REF!</f>
        <v>#REF!</v>
      </c>
      <c r="W14" s="761" t="e">
        <f>'3_Fin-Stat'!#REF!</f>
        <v>#REF!</v>
      </c>
      <c r="X14" s="761" t="e">
        <f>'3_Fin-Stat'!#REF!</f>
        <v>#REF!</v>
      </c>
      <c r="Y14" s="776"/>
      <c r="Z14" s="13"/>
      <c r="AA14" s="13"/>
      <c r="AB14" s="776"/>
      <c r="AC14" s="776"/>
      <c r="AD14" s="11"/>
      <c r="AE14" s="11"/>
      <c r="AF14" s="11"/>
      <c r="AG14" s="11"/>
      <c r="AH14" s="11"/>
      <c r="AI14" s="11"/>
      <c r="AJ14" s="11"/>
      <c r="AK14" s="11"/>
      <c r="AL14" s="11"/>
      <c r="AM14" s="11"/>
      <c r="AN14" s="11"/>
      <c r="AO14" s="779"/>
      <c r="AP14" s="779"/>
      <c r="AQ14" s="779"/>
      <c r="AR14" s="779"/>
      <c r="AS14" s="779"/>
      <c r="AT14" s="779"/>
      <c r="AU14" s="779"/>
      <c r="AV14" s="779"/>
      <c r="AW14" s="779"/>
      <c r="AX14" s="779"/>
      <c r="AY14" s="779"/>
      <c r="AZ14" s="779"/>
      <c r="BA14" s="779"/>
      <c r="BB14" s="779"/>
      <c r="BC14" s="779"/>
      <c r="BD14" s="779"/>
      <c r="BE14" s="779"/>
      <c r="BF14" s="779"/>
      <c r="BG14" s="779"/>
      <c r="BH14" s="779"/>
      <c r="BI14" s="779"/>
      <c r="BJ14" s="779"/>
      <c r="BK14" s="779"/>
      <c r="BL14" s="779"/>
      <c r="BM14" s="779"/>
      <c r="BN14" s="779"/>
      <c r="BO14" s="779"/>
      <c r="BP14" s="779"/>
      <c r="BQ14" s="779"/>
      <c r="BR14" s="779"/>
      <c r="BS14" s="779"/>
      <c r="BT14" s="779"/>
      <c r="BU14" s="779"/>
      <c r="BV14" s="779"/>
      <c r="BW14" s="779"/>
      <c r="BX14" s="779"/>
      <c r="BY14" s="779"/>
      <c r="BZ14" s="779"/>
      <c r="CA14" s="779"/>
      <c r="CB14" s="779"/>
      <c r="CC14" s="779"/>
    </row>
    <row r="15" spans="1:81">
      <c r="A15" s="52"/>
      <c r="B15" s="776"/>
      <c r="C15" s="776"/>
      <c r="E15" s="776"/>
      <c r="F15" s="754">
        <f t="shared" ref="F15:M15" si="7">SUM(F4:F14)</f>
        <v>196366</v>
      </c>
      <c r="G15" s="754">
        <f t="shared" si="7"/>
        <v>167143</v>
      </c>
      <c r="H15" s="754">
        <f t="shared" si="7"/>
        <v>276687</v>
      </c>
      <c r="I15" s="754">
        <f t="shared" si="7"/>
        <v>246019</v>
      </c>
      <c r="J15" s="754">
        <f t="shared" si="7"/>
        <v>337045</v>
      </c>
      <c r="K15" s="754">
        <f t="shared" si="7"/>
        <v>384888</v>
      </c>
      <c r="L15" s="754">
        <f t="shared" si="7"/>
        <v>401702</v>
      </c>
      <c r="M15" s="754">
        <f t="shared" si="7"/>
        <v>506187</v>
      </c>
      <c r="N15" s="754"/>
      <c r="O15" s="754">
        <f t="shared" ref="O15:X15" si="8">SUM(O4:O14)</f>
        <v>567885</v>
      </c>
      <c r="P15" s="754">
        <f t="shared" si="8"/>
        <v>253851</v>
      </c>
      <c r="Q15" s="754">
        <f t="shared" si="8"/>
        <v>260570</v>
      </c>
      <c r="R15" s="754">
        <f t="shared" si="8"/>
        <v>614929</v>
      </c>
      <c r="S15" s="754">
        <f t="shared" si="8"/>
        <v>547226</v>
      </c>
      <c r="T15" s="754" t="e">
        <f t="shared" si="8"/>
        <v>#REF!</v>
      </c>
      <c r="U15" s="754" t="e">
        <f t="shared" si="8"/>
        <v>#REF!</v>
      </c>
      <c r="V15" s="754" t="e">
        <f t="shared" si="8"/>
        <v>#REF!</v>
      </c>
      <c r="W15" s="754" t="e">
        <f t="shared" si="8"/>
        <v>#REF!</v>
      </c>
      <c r="X15" s="754" t="e">
        <f t="shared" si="8"/>
        <v>#REF!</v>
      </c>
      <c r="Y15" s="776"/>
      <c r="Z15" s="13"/>
      <c r="AA15" s="13"/>
      <c r="AB15" s="776"/>
      <c r="AC15" s="776"/>
      <c r="AD15" s="11"/>
      <c r="AE15" s="11"/>
      <c r="AF15" s="11"/>
      <c r="AG15" s="11"/>
      <c r="AH15" s="11"/>
      <c r="AI15" s="11"/>
      <c r="AJ15" s="11"/>
      <c r="AK15" s="11"/>
      <c r="AL15" s="11"/>
      <c r="AM15" s="11"/>
      <c r="AN15" s="11"/>
      <c r="AO15" s="779"/>
      <c r="AP15" s="779"/>
      <c r="AQ15" s="779"/>
      <c r="AR15" s="779"/>
      <c r="AS15" s="779"/>
      <c r="AT15" s="779"/>
      <c r="AU15" s="779"/>
      <c r="AV15" s="779"/>
      <c r="AW15" s="779"/>
      <c r="AX15" s="779"/>
      <c r="AY15" s="779"/>
      <c r="AZ15" s="779"/>
      <c r="BA15" s="779"/>
      <c r="BB15" s="779"/>
      <c r="BC15" s="779"/>
      <c r="BD15" s="779"/>
      <c r="BE15" s="779"/>
      <c r="BF15" s="779"/>
      <c r="BG15" s="779"/>
      <c r="BH15" s="779"/>
      <c r="BI15" s="779"/>
      <c r="BJ15" s="779"/>
      <c r="BK15" s="779"/>
      <c r="BL15" s="779"/>
      <c r="BM15" s="779"/>
      <c r="BN15" s="779"/>
      <c r="BO15" s="779"/>
      <c r="BP15" s="779"/>
      <c r="BQ15" s="779"/>
      <c r="BR15" s="779"/>
      <c r="BS15" s="779"/>
      <c r="BT15" s="779"/>
      <c r="BU15" s="779"/>
      <c r="BV15" s="779"/>
      <c r="BW15" s="779"/>
      <c r="BX15" s="779"/>
      <c r="BY15" s="779"/>
      <c r="BZ15" s="779"/>
      <c r="CA15" s="779"/>
      <c r="CB15" s="779"/>
      <c r="CC15" s="779"/>
    </row>
    <row r="16" spans="1:81" s="776" customFormat="1">
      <c r="A16" s="52"/>
      <c r="C16" s="776" t="s">
        <v>301</v>
      </c>
      <c r="F16" s="754"/>
      <c r="G16" s="754"/>
      <c r="H16" s="754"/>
      <c r="I16" s="754"/>
      <c r="J16" s="754"/>
      <c r="K16" s="754"/>
      <c r="L16" s="754"/>
      <c r="M16" s="754"/>
      <c r="N16" s="754"/>
      <c r="O16" s="754"/>
      <c r="P16" s="756"/>
      <c r="Q16" s="754">
        <v>4984</v>
      </c>
      <c r="R16" s="754">
        <v>4895</v>
      </c>
      <c r="S16" s="754">
        <v>4797</v>
      </c>
      <c r="T16" s="759" t="e">
        <f>'3_Fin-Stat'!#REF!</f>
        <v>#REF!</v>
      </c>
      <c r="U16" s="759" t="e">
        <f>'3_Fin-Stat'!#REF!</f>
        <v>#REF!</v>
      </c>
      <c r="V16" s="759" t="e">
        <f>'3_Fin-Stat'!#REF!</f>
        <v>#REF!</v>
      </c>
      <c r="W16" s="759" t="e">
        <f>'3_Fin-Stat'!#REF!</f>
        <v>#REF!</v>
      </c>
      <c r="X16" s="759" t="e">
        <f>'3_Fin-Stat'!#REF!</f>
        <v>#REF!</v>
      </c>
      <c r="Z16" s="13"/>
      <c r="AA16" s="13"/>
      <c r="AD16" s="11"/>
      <c r="AE16" s="11"/>
      <c r="AF16" s="11"/>
      <c r="AG16" s="11"/>
      <c r="AH16" s="11"/>
      <c r="AI16" s="11"/>
      <c r="AJ16" s="11"/>
      <c r="AK16" s="11"/>
      <c r="AL16" s="11"/>
      <c r="AM16" s="11"/>
      <c r="AN16" s="11"/>
      <c r="AO16" s="779"/>
      <c r="AP16" s="779"/>
      <c r="AQ16" s="779"/>
      <c r="AR16" s="779"/>
      <c r="AS16" s="779"/>
      <c r="AT16" s="779"/>
      <c r="AU16" s="779"/>
      <c r="AV16" s="779"/>
      <c r="AW16" s="779"/>
      <c r="AX16" s="779"/>
      <c r="AY16" s="779"/>
      <c r="AZ16" s="779"/>
      <c r="BA16" s="779"/>
      <c r="BB16" s="779"/>
      <c r="BC16" s="779"/>
      <c r="BD16" s="779"/>
      <c r="BE16" s="779"/>
      <c r="BF16" s="779"/>
      <c r="BG16" s="779"/>
      <c r="BH16" s="779"/>
      <c r="BI16" s="779"/>
      <c r="BJ16" s="779"/>
      <c r="BK16" s="779"/>
      <c r="BL16" s="779"/>
      <c r="BM16" s="779"/>
      <c r="BN16" s="779"/>
      <c r="BO16" s="779"/>
      <c r="BP16" s="779"/>
      <c r="BQ16" s="779"/>
      <c r="BR16" s="779"/>
      <c r="BS16" s="779"/>
      <c r="BT16" s="779"/>
      <c r="BU16" s="779"/>
      <c r="BV16" s="779"/>
      <c r="BW16" s="779"/>
      <c r="BX16" s="779"/>
      <c r="BY16" s="779"/>
      <c r="BZ16" s="779"/>
      <c r="CA16" s="779"/>
      <c r="CB16" s="779"/>
      <c r="CC16" s="779"/>
    </row>
    <row r="17" spans="1:81">
      <c r="A17" s="52">
        <v>1700</v>
      </c>
      <c r="B17" s="776"/>
      <c r="C17" s="776" t="s">
        <v>297</v>
      </c>
      <c r="E17" s="776"/>
      <c r="F17" s="754"/>
      <c r="G17" s="754"/>
      <c r="H17" s="754"/>
      <c r="I17" s="754"/>
      <c r="J17" s="754"/>
      <c r="K17" s="754"/>
      <c r="L17" s="754"/>
      <c r="M17" s="754"/>
      <c r="N17" s="754"/>
      <c r="O17" s="754"/>
      <c r="P17" s="756"/>
      <c r="Q17" s="754"/>
      <c r="R17" s="754"/>
      <c r="S17" s="754"/>
      <c r="T17" s="759" t="e">
        <f>'3_Fin-Stat'!#REF!</f>
        <v>#REF!</v>
      </c>
      <c r="U17" s="759" t="e">
        <f>'3_Fin-Stat'!#REF!</f>
        <v>#REF!</v>
      </c>
      <c r="V17" s="759" t="e">
        <f>'3_Fin-Stat'!#REF!</f>
        <v>#REF!</v>
      </c>
      <c r="W17" s="759" t="e">
        <f>'3_Fin-Stat'!#REF!</f>
        <v>#REF!</v>
      </c>
      <c r="X17" s="759" t="e">
        <f>'3_Fin-Stat'!#REF!</f>
        <v>#REF!</v>
      </c>
      <c r="Y17" s="776"/>
      <c r="Z17" s="13"/>
      <c r="AA17" s="13"/>
      <c r="AB17" s="776"/>
      <c r="AC17" s="776"/>
      <c r="AD17" s="11"/>
      <c r="AE17" s="11"/>
      <c r="AF17" s="11"/>
      <c r="AG17" s="11"/>
      <c r="AH17" s="11"/>
      <c r="AI17" s="11"/>
      <c r="AJ17" s="11"/>
      <c r="AK17" s="11"/>
      <c r="AL17" s="11"/>
      <c r="AM17" s="11"/>
      <c r="AN17" s="11"/>
      <c r="AO17" s="779"/>
      <c r="AP17" s="779"/>
      <c r="AQ17" s="779"/>
      <c r="AR17" s="779"/>
      <c r="AS17" s="779"/>
      <c r="AT17" s="779"/>
      <c r="AU17" s="779"/>
      <c r="AV17" s="779"/>
      <c r="AW17" s="779"/>
      <c r="AX17" s="779"/>
      <c r="AY17" s="779"/>
      <c r="AZ17" s="779"/>
      <c r="BA17" s="779"/>
      <c r="BB17" s="779"/>
      <c r="BC17" s="779"/>
      <c r="BD17" s="779"/>
      <c r="BE17" s="779"/>
      <c r="BF17" s="779"/>
      <c r="BG17" s="779"/>
      <c r="BH17" s="779"/>
      <c r="BI17" s="779"/>
      <c r="BJ17" s="779"/>
      <c r="BK17" s="779"/>
      <c r="BL17" s="779"/>
      <c r="BM17" s="779"/>
      <c r="BN17" s="779"/>
      <c r="BO17" s="779"/>
      <c r="BP17" s="779"/>
      <c r="BQ17" s="779"/>
      <c r="BR17" s="779"/>
      <c r="BS17" s="779"/>
      <c r="BT17" s="779"/>
      <c r="BU17" s="779"/>
      <c r="BV17" s="779"/>
      <c r="BW17" s="779"/>
      <c r="BX17" s="779"/>
      <c r="BY17" s="779"/>
      <c r="BZ17" s="779"/>
      <c r="CA17" s="779"/>
      <c r="CB17" s="779"/>
      <c r="CC17" s="779"/>
    </row>
    <row r="18" spans="1:81" s="776" customFormat="1">
      <c r="A18" s="52">
        <v>1820</v>
      </c>
      <c r="C18" s="776" t="s">
        <v>311</v>
      </c>
      <c r="F18" s="754"/>
      <c r="G18" s="754"/>
      <c r="H18" s="754"/>
      <c r="I18" s="754"/>
      <c r="J18" s="754"/>
      <c r="K18" s="754"/>
      <c r="L18" s="754"/>
      <c r="M18" s="754"/>
      <c r="N18" s="754"/>
      <c r="O18" s="754">
        <v>11780</v>
      </c>
      <c r="P18" s="756">
        <v>6993</v>
      </c>
      <c r="Q18" s="754">
        <v>6077</v>
      </c>
      <c r="R18" s="754">
        <v>6065</v>
      </c>
      <c r="S18" s="754">
        <v>3554</v>
      </c>
      <c r="T18" s="759" t="e">
        <f>'3_Fin-Stat'!#REF!</f>
        <v>#REF!</v>
      </c>
      <c r="U18" s="759" t="e">
        <f>'3_Fin-Stat'!#REF!</f>
        <v>#REF!</v>
      </c>
      <c r="V18" s="759" t="e">
        <f>'3_Fin-Stat'!#REF!</f>
        <v>#REF!</v>
      </c>
      <c r="W18" s="759" t="e">
        <f>'3_Fin-Stat'!#REF!</f>
        <v>#REF!</v>
      </c>
      <c r="X18" s="759" t="e">
        <f>'3_Fin-Stat'!#REF!</f>
        <v>#REF!</v>
      </c>
      <c r="Z18" s="13"/>
      <c r="AA18" s="13"/>
      <c r="AD18" s="11"/>
      <c r="AE18" s="11"/>
      <c r="AF18" s="11"/>
      <c r="AG18" s="11"/>
      <c r="AH18" s="11"/>
      <c r="AI18" s="11"/>
      <c r="AJ18" s="11"/>
      <c r="AK18" s="11"/>
      <c r="AL18" s="11"/>
      <c r="AM18" s="11"/>
      <c r="AN18" s="11"/>
      <c r="AO18" s="779"/>
      <c r="AP18" s="779"/>
      <c r="AQ18" s="779"/>
      <c r="AR18" s="779"/>
      <c r="AS18" s="779"/>
      <c r="AT18" s="779"/>
      <c r="AU18" s="779"/>
      <c r="AV18" s="779"/>
      <c r="AW18" s="779"/>
      <c r="AX18" s="779"/>
      <c r="AY18" s="779"/>
      <c r="AZ18" s="779"/>
      <c r="BA18" s="779"/>
      <c r="BB18" s="779"/>
      <c r="BC18" s="779"/>
      <c r="BD18" s="779"/>
      <c r="BE18" s="779"/>
      <c r="BF18" s="779"/>
      <c r="BG18" s="779"/>
      <c r="BH18" s="779"/>
      <c r="BI18" s="779"/>
      <c r="BJ18" s="779"/>
      <c r="BK18" s="779"/>
      <c r="BL18" s="779"/>
      <c r="BM18" s="779"/>
      <c r="BN18" s="779"/>
      <c r="BO18" s="779"/>
      <c r="BP18" s="779"/>
      <c r="BQ18" s="779"/>
      <c r="BR18" s="779"/>
      <c r="BS18" s="779"/>
      <c r="BT18" s="779"/>
      <c r="BU18" s="779"/>
      <c r="BV18" s="779"/>
      <c r="BW18" s="779"/>
      <c r="BX18" s="779"/>
      <c r="BY18" s="779"/>
      <c r="BZ18" s="779"/>
      <c r="CA18" s="779"/>
      <c r="CB18" s="779"/>
      <c r="CC18" s="779"/>
    </row>
    <row r="19" spans="1:81">
      <c r="A19" s="52">
        <v>1810</v>
      </c>
      <c r="B19" s="776"/>
      <c r="C19" s="776" t="s">
        <v>312</v>
      </c>
      <c r="E19" s="776"/>
      <c r="F19" s="754"/>
      <c r="G19" s="754"/>
      <c r="H19" s="754"/>
      <c r="I19" s="754"/>
      <c r="J19" s="754"/>
      <c r="K19" s="754"/>
      <c r="L19" s="754"/>
      <c r="M19" s="754"/>
      <c r="N19" s="754"/>
      <c r="O19" s="754">
        <v>2811</v>
      </c>
      <c r="P19" s="756">
        <v>2211</v>
      </c>
      <c r="Q19" s="754">
        <v>294</v>
      </c>
      <c r="R19" s="754">
        <v>4402</v>
      </c>
      <c r="S19" s="754">
        <v>3772</v>
      </c>
      <c r="T19" s="759" t="e">
        <f>'3_Fin-Stat'!#REF!</f>
        <v>#REF!</v>
      </c>
      <c r="U19" s="759" t="e">
        <f>'3_Fin-Stat'!#REF!</f>
        <v>#REF!</v>
      </c>
      <c r="V19" s="759" t="e">
        <f>'3_Fin-Stat'!#REF!</f>
        <v>#REF!</v>
      </c>
      <c r="W19" s="759" t="e">
        <f>'3_Fin-Stat'!#REF!</f>
        <v>#REF!</v>
      </c>
      <c r="X19" s="759" t="e">
        <f>'3_Fin-Stat'!#REF!</f>
        <v>#REF!</v>
      </c>
      <c r="Y19" s="776"/>
      <c r="Z19" s="13"/>
      <c r="AA19" s="13"/>
      <c r="AB19" s="776"/>
      <c r="AC19" s="776"/>
      <c r="AD19" s="11"/>
      <c r="AE19" s="11"/>
      <c r="AF19" s="11"/>
      <c r="AG19" s="11"/>
      <c r="AH19" s="11"/>
      <c r="AI19" s="11"/>
      <c r="AJ19" s="11"/>
      <c r="AK19" s="11"/>
      <c r="AL19" s="11"/>
      <c r="AM19" s="11"/>
      <c r="AN19" s="11"/>
      <c r="AO19" s="779"/>
      <c r="AP19" s="779"/>
      <c r="AQ19" s="779"/>
      <c r="AR19" s="779"/>
      <c r="AS19" s="779"/>
      <c r="AT19" s="779"/>
      <c r="AU19" s="779"/>
      <c r="AV19" s="779"/>
      <c r="AW19" s="779"/>
      <c r="AX19" s="779"/>
      <c r="AY19" s="779"/>
      <c r="AZ19" s="779"/>
      <c r="BA19" s="779"/>
      <c r="BB19" s="779"/>
      <c r="BC19" s="779"/>
      <c r="BD19" s="779"/>
      <c r="BE19" s="779"/>
      <c r="BF19" s="779"/>
      <c r="BG19" s="779"/>
      <c r="BH19" s="779"/>
      <c r="BI19" s="779"/>
      <c r="BJ19" s="779"/>
      <c r="BK19" s="779"/>
      <c r="BL19" s="779"/>
      <c r="BM19" s="779"/>
      <c r="BN19" s="779"/>
      <c r="BO19" s="779"/>
      <c r="BP19" s="779"/>
      <c r="BQ19" s="779"/>
      <c r="BR19" s="779"/>
      <c r="BS19" s="779"/>
      <c r="BT19" s="779"/>
      <c r="BU19" s="779"/>
      <c r="BV19" s="779"/>
      <c r="BW19" s="779"/>
      <c r="BX19" s="779"/>
      <c r="BY19" s="779"/>
      <c r="BZ19" s="779"/>
      <c r="CA19" s="779"/>
      <c r="CB19" s="779"/>
      <c r="CC19" s="779"/>
    </row>
    <row r="20" spans="1:81" s="776" customFormat="1">
      <c r="A20" s="52"/>
      <c r="C20" s="776" t="s">
        <v>514</v>
      </c>
      <c r="F20" s="754"/>
      <c r="G20" s="754"/>
      <c r="H20" s="754"/>
      <c r="I20" s="754"/>
      <c r="J20" s="754"/>
      <c r="K20" s="754"/>
      <c r="L20" s="754"/>
      <c r="M20" s="754"/>
      <c r="N20" s="754"/>
      <c r="O20" s="754"/>
      <c r="P20" s="754"/>
      <c r="Q20" s="754"/>
      <c r="R20" s="754"/>
      <c r="S20" s="754"/>
      <c r="T20" s="759"/>
      <c r="U20" s="759"/>
      <c r="V20" s="759"/>
      <c r="W20" s="759"/>
      <c r="X20" s="759"/>
      <c r="Z20" s="13"/>
      <c r="AA20" s="13"/>
      <c r="AD20" s="11"/>
      <c r="AE20" s="11"/>
      <c r="AF20" s="11"/>
      <c r="AG20" s="11"/>
      <c r="AH20" s="11"/>
      <c r="AI20" s="11"/>
      <c r="AJ20" s="11"/>
      <c r="AK20" s="11"/>
      <c r="AL20" s="11"/>
      <c r="AM20" s="11"/>
      <c r="AN20" s="11"/>
      <c r="AO20" s="779"/>
      <c r="AP20" s="779"/>
      <c r="AQ20" s="779"/>
      <c r="AR20" s="779"/>
      <c r="AS20" s="779"/>
      <c r="AT20" s="779"/>
      <c r="AU20" s="779"/>
      <c r="AV20" s="779"/>
      <c r="AW20" s="779"/>
      <c r="AX20" s="779"/>
      <c r="AY20" s="779"/>
      <c r="AZ20" s="779"/>
      <c r="BA20" s="779"/>
      <c r="BB20" s="779"/>
      <c r="BC20" s="779"/>
      <c r="BD20" s="779"/>
      <c r="BE20" s="779"/>
      <c r="BF20" s="779"/>
      <c r="BG20" s="779"/>
      <c r="BH20" s="779"/>
      <c r="BI20" s="779"/>
      <c r="BJ20" s="779"/>
      <c r="BK20" s="779"/>
      <c r="BL20" s="779"/>
      <c r="BM20" s="779"/>
      <c r="BN20" s="779"/>
      <c r="BO20" s="779"/>
      <c r="BP20" s="779"/>
      <c r="BQ20" s="779"/>
      <c r="BR20" s="779"/>
      <c r="BS20" s="779"/>
      <c r="BT20" s="779"/>
      <c r="BU20" s="779"/>
      <c r="BV20" s="779"/>
      <c r="BW20" s="779"/>
      <c r="BX20" s="779"/>
      <c r="BY20" s="779"/>
      <c r="BZ20" s="779"/>
      <c r="CA20" s="779"/>
      <c r="CB20" s="779"/>
      <c r="CC20" s="779"/>
    </row>
    <row r="21" spans="1:81" s="776" customFormat="1">
      <c r="A21" s="52">
        <v>1730</v>
      </c>
      <c r="C21" s="776" t="s">
        <v>314</v>
      </c>
      <c r="F21" s="754"/>
      <c r="G21" s="754"/>
      <c r="H21" s="754"/>
      <c r="I21" s="754"/>
      <c r="J21" s="754">
        <v>195489</v>
      </c>
      <c r="K21" s="754">
        <v>179537</v>
      </c>
      <c r="L21" s="754">
        <v>150711</v>
      </c>
      <c r="M21" s="754">
        <v>26594</v>
      </c>
      <c r="N21" s="754"/>
      <c r="O21" s="754">
        <v>42358</v>
      </c>
      <c r="P21" s="754">
        <v>43633</v>
      </c>
      <c r="Q21" s="754">
        <v>50053</v>
      </c>
      <c r="R21" s="754">
        <v>46930</v>
      </c>
      <c r="S21" s="754">
        <v>26772</v>
      </c>
      <c r="T21" s="759" t="e">
        <f>'3_Fin-Stat'!#REF!</f>
        <v>#REF!</v>
      </c>
      <c r="U21" s="759" t="e">
        <f>'3_Fin-Stat'!#REF!</f>
        <v>#REF!</v>
      </c>
      <c r="V21" s="759" t="e">
        <f>'3_Fin-Stat'!#REF!</f>
        <v>#REF!</v>
      </c>
      <c r="W21" s="759" t="e">
        <f>'3_Fin-Stat'!#REF!</f>
        <v>#REF!</v>
      </c>
      <c r="X21" s="759" t="e">
        <f>'3_Fin-Stat'!#REF!</f>
        <v>#REF!</v>
      </c>
      <c r="Z21" s="13"/>
      <c r="AA21" s="13"/>
      <c r="AD21" s="11"/>
      <c r="AE21" s="11"/>
      <c r="AF21" s="11"/>
      <c r="AG21" s="11"/>
      <c r="AH21" s="11"/>
      <c r="AI21" s="11"/>
      <c r="AJ21" s="11"/>
      <c r="AK21" s="11"/>
      <c r="AL21" s="11"/>
      <c r="AM21" s="11"/>
      <c r="AN21" s="11"/>
      <c r="AO21" s="779"/>
      <c r="AP21" s="779"/>
      <c r="AQ21" s="779"/>
      <c r="AR21" s="779"/>
      <c r="AS21" s="779"/>
      <c r="AT21" s="779"/>
      <c r="AU21" s="779"/>
      <c r="AV21" s="779"/>
      <c r="AW21" s="779"/>
      <c r="AX21" s="779"/>
      <c r="AY21" s="779"/>
      <c r="AZ21" s="779"/>
      <c r="BA21" s="779"/>
      <c r="BB21" s="779"/>
      <c r="BC21" s="779"/>
      <c r="BD21" s="779"/>
      <c r="BE21" s="779"/>
      <c r="BF21" s="779"/>
      <c r="BG21" s="779"/>
      <c r="BH21" s="779"/>
      <c r="BI21" s="779"/>
      <c r="BJ21" s="779"/>
      <c r="BK21" s="779"/>
      <c r="BL21" s="779"/>
      <c r="BM21" s="779"/>
      <c r="BN21" s="779"/>
      <c r="BO21" s="779"/>
      <c r="BP21" s="779"/>
      <c r="BQ21" s="779"/>
      <c r="BR21" s="779"/>
      <c r="BS21" s="779"/>
      <c r="BT21" s="779"/>
      <c r="BU21" s="779"/>
      <c r="BV21" s="779"/>
      <c r="BW21" s="779"/>
      <c r="BX21" s="779"/>
      <c r="BY21" s="779"/>
      <c r="BZ21" s="779"/>
      <c r="CA21" s="779"/>
      <c r="CB21" s="779"/>
      <c r="CC21" s="779"/>
    </row>
    <row r="22" spans="1:81">
      <c r="A22" s="52">
        <v>1780</v>
      </c>
      <c r="B22" s="776"/>
      <c r="C22" s="776" t="s">
        <v>315</v>
      </c>
      <c r="E22" s="776"/>
      <c r="F22" s="754"/>
      <c r="G22" s="754"/>
      <c r="H22" s="754"/>
      <c r="I22" s="754"/>
      <c r="J22" s="754"/>
      <c r="K22" s="754"/>
      <c r="L22" s="754"/>
      <c r="M22" s="754">
        <v>132</v>
      </c>
      <c r="N22" s="754"/>
      <c r="O22" s="754">
        <v>1122</v>
      </c>
      <c r="P22" s="754">
        <v>449</v>
      </c>
      <c r="Q22" s="754">
        <v>3399</v>
      </c>
      <c r="R22" s="754">
        <v>7947</v>
      </c>
      <c r="S22" s="754">
        <v>8437</v>
      </c>
      <c r="T22" s="759" t="e">
        <f>'3_Fin-Stat'!#REF!</f>
        <v>#REF!</v>
      </c>
      <c r="U22" s="759" t="e">
        <f>'3_Fin-Stat'!#REF!</f>
        <v>#REF!</v>
      </c>
      <c r="V22" s="759" t="e">
        <f>'3_Fin-Stat'!#REF!</f>
        <v>#REF!</v>
      </c>
      <c r="W22" s="759" t="e">
        <f>'3_Fin-Stat'!#REF!</f>
        <v>#REF!</v>
      </c>
      <c r="X22" s="759" t="e">
        <f>'3_Fin-Stat'!#REF!</f>
        <v>#REF!</v>
      </c>
      <c r="Y22" s="776"/>
      <c r="Z22" s="13"/>
      <c r="AA22" s="13"/>
      <c r="AB22" s="776"/>
      <c r="AC22" s="776"/>
      <c r="AD22" s="11"/>
      <c r="AE22" s="11"/>
      <c r="AF22" s="11"/>
      <c r="AG22" s="11"/>
      <c r="AH22" s="11"/>
      <c r="AI22" s="11"/>
      <c r="AJ22" s="11"/>
      <c r="AK22" s="11"/>
      <c r="AL22" s="11"/>
      <c r="AM22" s="11"/>
      <c r="AN22" s="11"/>
      <c r="AO22" s="779"/>
      <c r="AP22" s="779"/>
      <c r="AQ22" s="779"/>
      <c r="AR22" s="779"/>
      <c r="AS22" s="779"/>
      <c r="AT22" s="779"/>
      <c r="AU22" s="779"/>
      <c r="AV22" s="779"/>
      <c r="AW22" s="779"/>
      <c r="AX22" s="779"/>
      <c r="AY22" s="779"/>
      <c r="AZ22" s="779"/>
      <c r="BA22" s="779"/>
      <c r="BB22" s="779"/>
      <c r="BC22" s="779"/>
      <c r="BD22" s="779"/>
      <c r="BE22" s="779"/>
      <c r="BF22" s="779"/>
      <c r="BG22" s="779"/>
      <c r="BH22" s="779"/>
      <c r="BI22" s="779"/>
      <c r="BJ22" s="779"/>
      <c r="BK22" s="779"/>
      <c r="BL22" s="779"/>
      <c r="BM22" s="779"/>
      <c r="BN22" s="779"/>
      <c r="BO22" s="779"/>
      <c r="BP22" s="779"/>
      <c r="BQ22" s="779"/>
      <c r="BR22" s="779"/>
      <c r="BS22" s="779"/>
      <c r="BT22" s="779"/>
      <c r="BU22" s="779"/>
      <c r="BV22" s="779"/>
      <c r="BW22" s="779"/>
      <c r="BX22" s="779"/>
      <c r="BY22" s="779"/>
      <c r="BZ22" s="779"/>
      <c r="CA22" s="779"/>
      <c r="CB22" s="779"/>
      <c r="CC22" s="779"/>
    </row>
    <row r="23" spans="1:81">
      <c r="A23" s="52">
        <v>1620</v>
      </c>
      <c r="B23" s="776"/>
      <c r="C23" s="1" t="s">
        <v>1072</v>
      </c>
      <c r="D23" s="1"/>
      <c r="E23" s="776"/>
      <c r="F23" s="754" t="e">
        <f t="shared" ref="F23:M26" si="9">F88</f>
        <v>#REF!</v>
      </c>
      <c r="G23" s="754" t="e">
        <f t="shared" si="9"/>
        <v>#REF!</v>
      </c>
      <c r="H23" s="754" t="e">
        <f t="shared" si="9"/>
        <v>#REF!</v>
      </c>
      <c r="I23" s="754" t="e">
        <f t="shared" si="9"/>
        <v>#REF!</v>
      </c>
      <c r="J23" s="754" t="e">
        <f t="shared" si="9"/>
        <v>#REF!</v>
      </c>
      <c r="K23" s="754" t="e">
        <f t="shared" si="9"/>
        <v>#REF!</v>
      </c>
      <c r="L23" s="754" t="e">
        <f t="shared" si="9"/>
        <v>#REF!</v>
      </c>
      <c r="M23" s="754" t="e">
        <f t="shared" si="9"/>
        <v>#REF!</v>
      </c>
      <c r="N23" s="754"/>
      <c r="O23" s="754" t="e">
        <f t="shared" ref="O23:X23" si="10">O88</f>
        <v>#REF!</v>
      </c>
      <c r="P23" s="754" t="e">
        <f t="shared" si="10"/>
        <v>#REF!</v>
      </c>
      <c r="Q23" s="754" t="e">
        <f t="shared" si="10"/>
        <v>#REF!</v>
      </c>
      <c r="R23" s="754" t="e">
        <f t="shared" si="10"/>
        <v>#REF!</v>
      </c>
      <c r="S23" s="754" t="e">
        <f t="shared" si="10"/>
        <v>#REF!</v>
      </c>
      <c r="T23" s="754" t="e">
        <f t="shared" si="10"/>
        <v>#REF!</v>
      </c>
      <c r="U23" s="754" t="e">
        <f t="shared" si="10"/>
        <v>#REF!</v>
      </c>
      <c r="V23" s="754" t="e">
        <f t="shared" si="10"/>
        <v>#REF!</v>
      </c>
      <c r="W23" s="754" t="e">
        <f t="shared" si="10"/>
        <v>#REF!</v>
      </c>
      <c r="X23" s="754" t="e">
        <f t="shared" si="10"/>
        <v>#REF!</v>
      </c>
      <c r="Y23" s="776"/>
      <c r="Z23" s="13"/>
      <c r="AA23" s="13"/>
      <c r="AB23" s="776"/>
      <c r="AC23" s="776"/>
      <c r="AD23" s="11"/>
      <c r="AE23" s="11"/>
      <c r="AF23" s="11"/>
      <c r="AG23" s="11"/>
      <c r="AH23" s="11"/>
      <c r="AI23" s="11"/>
      <c r="AJ23" s="11"/>
      <c r="AK23" s="11"/>
      <c r="AL23" s="11"/>
      <c r="AM23" s="11"/>
      <c r="AN23" s="11"/>
      <c r="AO23" s="779"/>
      <c r="AP23" s="779"/>
      <c r="AQ23" s="779"/>
      <c r="AR23" s="779"/>
      <c r="AS23" s="779"/>
      <c r="AT23" s="779"/>
      <c r="AU23" s="779"/>
      <c r="AV23" s="779"/>
      <c r="AW23" s="779"/>
      <c r="AX23" s="779"/>
      <c r="AY23" s="779"/>
      <c r="AZ23" s="779"/>
      <c r="BA23" s="779"/>
      <c r="BB23" s="779"/>
      <c r="BC23" s="779"/>
      <c r="BD23" s="779"/>
      <c r="BE23" s="779"/>
      <c r="BF23" s="779"/>
      <c r="BG23" s="779"/>
      <c r="BH23" s="779"/>
      <c r="BI23" s="779"/>
      <c r="BJ23" s="779"/>
      <c r="BK23" s="779"/>
      <c r="BL23" s="779"/>
      <c r="BM23" s="779"/>
      <c r="BN23" s="779"/>
      <c r="BO23" s="779"/>
      <c r="BP23" s="779"/>
      <c r="BQ23" s="779"/>
      <c r="BR23" s="779"/>
      <c r="BS23" s="779"/>
      <c r="BT23" s="779"/>
      <c r="BU23" s="779"/>
      <c r="BV23" s="779"/>
      <c r="BW23" s="779"/>
      <c r="BX23" s="779"/>
      <c r="BY23" s="779"/>
      <c r="BZ23" s="779"/>
      <c r="CA23" s="779"/>
      <c r="CB23" s="779"/>
      <c r="CC23" s="779"/>
    </row>
    <row r="24" spans="1:81">
      <c r="A24" s="52">
        <v>1510</v>
      </c>
      <c r="B24" s="776"/>
      <c r="C24" s="776" t="s">
        <v>1073</v>
      </c>
      <c r="E24" s="776"/>
      <c r="F24" s="754">
        <f t="shared" si="9"/>
        <v>-2552</v>
      </c>
      <c r="G24" s="754">
        <f t="shared" si="9"/>
        <v>-29974</v>
      </c>
      <c r="H24" s="754">
        <f t="shared" si="9"/>
        <v>-51540</v>
      </c>
      <c r="I24" s="754">
        <f t="shared" si="9"/>
        <v>77802</v>
      </c>
      <c r="J24" s="754">
        <f t="shared" si="9"/>
        <v>20105</v>
      </c>
      <c r="K24" s="754">
        <f t="shared" si="9"/>
        <v>-61835</v>
      </c>
      <c r="L24" s="754">
        <f t="shared" si="9"/>
        <v>-155990</v>
      </c>
      <c r="M24" s="754">
        <f t="shared" si="9"/>
        <v>-224959</v>
      </c>
      <c r="N24" s="754"/>
      <c r="O24" s="754" t="e">
        <f t="shared" ref="O24:X24" si="11">O89</f>
        <v>#REF!</v>
      </c>
      <c r="P24" s="754" t="e">
        <f t="shared" si="11"/>
        <v>#REF!</v>
      </c>
      <c r="Q24" s="754" t="e">
        <f t="shared" si="11"/>
        <v>#REF!</v>
      </c>
      <c r="R24" s="754" t="e">
        <f t="shared" si="11"/>
        <v>#REF!</v>
      </c>
      <c r="S24" s="754" t="e">
        <f t="shared" si="11"/>
        <v>#REF!</v>
      </c>
      <c r="T24" s="754" t="e">
        <f t="shared" si="11"/>
        <v>#REF!</v>
      </c>
      <c r="U24" s="754" t="e">
        <f t="shared" si="11"/>
        <v>#REF!</v>
      </c>
      <c r="V24" s="754" t="e">
        <f t="shared" si="11"/>
        <v>#REF!</v>
      </c>
      <c r="W24" s="754" t="e">
        <f t="shared" si="11"/>
        <v>#REF!</v>
      </c>
      <c r="X24" s="754" t="e">
        <f t="shared" si="11"/>
        <v>#REF!</v>
      </c>
      <c r="Y24" s="776"/>
      <c r="Z24" s="13"/>
      <c r="AA24" s="13"/>
      <c r="AB24" s="776"/>
      <c r="AC24" s="776"/>
      <c r="AD24" s="11"/>
      <c r="AE24" s="11"/>
      <c r="AF24" s="11"/>
      <c r="AG24" s="11"/>
      <c r="AH24" s="11"/>
      <c r="AI24" s="11"/>
      <c r="AJ24" s="11"/>
      <c r="AK24" s="11"/>
      <c r="AL24" s="11"/>
      <c r="AM24" s="11"/>
      <c r="AN24" s="11"/>
      <c r="AO24" s="779"/>
      <c r="AP24" s="779"/>
      <c r="AQ24" s="779"/>
      <c r="AR24" s="779"/>
      <c r="AS24" s="779"/>
      <c r="AT24" s="779"/>
      <c r="AU24" s="779"/>
      <c r="AV24" s="779"/>
      <c r="AW24" s="779"/>
      <c r="AX24" s="779"/>
      <c r="AY24" s="779"/>
      <c r="AZ24" s="779"/>
      <c r="BA24" s="779"/>
      <c r="BB24" s="779"/>
      <c r="BC24" s="779"/>
      <c r="BD24" s="779"/>
      <c r="BE24" s="779"/>
      <c r="BF24" s="779"/>
      <c r="BG24" s="779"/>
      <c r="BH24" s="779"/>
      <c r="BI24" s="779"/>
      <c r="BJ24" s="779"/>
      <c r="BK24" s="779"/>
      <c r="BL24" s="779"/>
      <c r="BM24" s="779"/>
      <c r="BN24" s="779"/>
      <c r="BO24" s="779"/>
      <c r="BP24" s="779"/>
      <c r="BQ24" s="779"/>
      <c r="BR24" s="779"/>
      <c r="BS24" s="779"/>
      <c r="BT24" s="779"/>
      <c r="BU24" s="779"/>
      <c r="BV24" s="779"/>
      <c r="BW24" s="779"/>
      <c r="BX24" s="779"/>
      <c r="BY24" s="779"/>
      <c r="BZ24" s="779"/>
      <c r="CA24" s="779"/>
      <c r="CB24" s="779"/>
      <c r="CC24" s="779"/>
    </row>
    <row r="25" spans="1:81">
      <c r="A25" s="52">
        <v>1510</v>
      </c>
      <c r="B25" s="776"/>
      <c r="C25" s="776" t="s">
        <v>1074</v>
      </c>
      <c r="E25" s="776"/>
      <c r="F25" s="754">
        <f t="shared" si="9"/>
        <v>2552</v>
      </c>
      <c r="G25" s="754">
        <f t="shared" si="9"/>
        <v>29974</v>
      </c>
      <c r="H25" s="754">
        <f t="shared" si="9"/>
        <v>51540</v>
      </c>
      <c r="I25" s="754">
        <f t="shared" si="9"/>
        <v>-77802</v>
      </c>
      <c r="J25" s="754">
        <f t="shared" si="9"/>
        <v>-20105</v>
      </c>
      <c r="K25" s="754">
        <f t="shared" si="9"/>
        <v>61835</v>
      </c>
      <c r="L25" s="754">
        <f t="shared" si="9"/>
        <v>155990</v>
      </c>
      <c r="M25" s="754">
        <f t="shared" si="9"/>
        <v>224959</v>
      </c>
      <c r="N25" s="754"/>
      <c r="O25" s="754" t="e">
        <f t="shared" ref="O25:X25" si="12">O90</f>
        <v>#REF!</v>
      </c>
      <c r="P25" s="754" t="e">
        <f t="shared" si="12"/>
        <v>#REF!</v>
      </c>
      <c r="Q25" s="754" t="e">
        <f t="shared" si="12"/>
        <v>#REF!</v>
      </c>
      <c r="R25" s="754" t="e">
        <f t="shared" si="12"/>
        <v>#REF!</v>
      </c>
      <c r="S25" s="754" t="e">
        <f t="shared" si="12"/>
        <v>#REF!</v>
      </c>
      <c r="T25" s="754" t="e">
        <f t="shared" si="12"/>
        <v>#REF!</v>
      </c>
      <c r="U25" s="754" t="e">
        <f t="shared" si="12"/>
        <v>#REF!</v>
      </c>
      <c r="V25" s="754" t="e">
        <f t="shared" si="12"/>
        <v>#REF!</v>
      </c>
      <c r="W25" s="754" t="e">
        <f t="shared" si="12"/>
        <v>#REF!</v>
      </c>
      <c r="X25" s="754" t="e">
        <f t="shared" si="12"/>
        <v>#REF!</v>
      </c>
      <c r="Y25" s="776"/>
      <c r="Z25" s="13"/>
      <c r="AA25" s="13"/>
      <c r="AB25" s="776"/>
      <c r="AC25" s="776"/>
      <c r="AD25" s="11"/>
      <c r="AE25" s="11"/>
      <c r="AF25" s="11"/>
      <c r="AG25" s="11"/>
      <c r="AH25" s="11"/>
      <c r="AI25" s="11"/>
      <c r="AJ25" s="11"/>
      <c r="AK25" s="11"/>
      <c r="AL25" s="11"/>
      <c r="AM25" s="11"/>
      <c r="AN25" s="11"/>
      <c r="AO25" s="779"/>
      <c r="AP25" s="779"/>
      <c r="AQ25" s="779"/>
      <c r="AR25" s="779"/>
      <c r="AS25" s="779"/>
      <c r="AT25" s="779"/>
      <c r="AU25" s="779"/>
      <c r="AV25" s="779"/>
      <c r="AW25" s="779"/>
      <c r="AX25" s="779"/>
      <c r="AY25" s="779"/>
      <c r="AZ25" s="779"/>
      <c r="BA25" s="779"/>
      <c r="BB25" s="779"/>
      <c r="BC25" s="779"/>
      <c r="BD25" s="779"/>
      <c r="BE25" s="779"/>
      <c r="BF25" s="779"/>
      <c r="BG25" s="779"/>
      <c r="BH25" s="779"/>
      <c r="BI25" s="779"/>
      <c r="BJ25" s="779"/>
      <c r="BK25" s="779"/>
      <c r="BL25" s="779"/>
      <c r="BM25" s="779"/>
      <c r="BN25" s="779"/>
      <c r="BO25" s="779"/>
      <c r="BP25" s="779"/>
      <c r="BQ25" s="779"/>
      <c r="BR25" s="779"/>
      <c r="BS25" s="779"/>
      <c r="BT25" s="779"/>
      <c r="BU25" s="779"/>
      <c r="BV25" s="779"/>
      <c r="BW25" s="779"/>
      <c r="BX25" s="779"/>
      <c r="BY25" s="779"/>
      <c r="BZ25" s="779"/>
      <c r="CA25" s="779"/>
      <c r="CB25" s="779"/>
      <c r="CC25" s="779"/>
    </row>
    <row r="26" spans="1:81">
      <c r="A26" s="52">
        <v>1520</v>
      </c>
      <c r="B26" s="776"/>
      <c r="C26" s="776" t="s">
        <v>318</v>
      </c>
      <c r="E26" s="776"/>
      <c r="F26" s="755" t="e">
        <f t="shared" si="9"/>
        <v>#REF!</v>
      </c>
      <c r="G26" s="755" t="e">
        <f t="shared" si="9"/>
        <v>#REF!</v>
      </c>
      <c r="H26" s="755" t="e">
        <f t="shared" si="9"/>
        <v>#REF!</v>
      </c>
      <c r="I26" s="755" t="e">
        <f t="shared" si="9"/>
        <v>#REF!</v>
      </c>
      <c r="J26" s="755" t="e">
        <f t="shared" si="9"/>
        <v>#REF!</v>
      </c>
      <c r="K26" s="755" t="e">
        <f t="shared" si="9"/>
        <v>#REF!</v>
      </c>
      <c r="L26" s="755" t="e">
        <f t="shared" si="9"/>
        <v>#REF!</v>
      </c>
      <c r="M26" s="755" t="e">
        <f t="shared" si="9"/>
        <v>#REF!</v>
      </c>
      <c r="N26" s="755"/>
      <c r="O26" s="755" t="e">
        <f t="shared" ref="O26:X26" si="13">O91</f>
        <v>#REF!</v>
      </c>
      <c r="P26" s="755" t="e">
        <f t="shared" si="13"/>
        <v>#REF!</v>
      </c>
      <c r="Q26" s="755" t="e">
        <f t="shared" si="13"/>
        <v>#REF!</v>
      </c>
      <c r="R26" s="755" t="e">
        <f t="shared" si="13"/>
        <v>#REF!</v>
      </c>
      <c r="S26" s="755" t="e">
        <f t="shared" si="13"/>
        <v>#REF!</v>
      </c>
      <c r="T26" s="755" t="e">
        <f t="shared" si="13"/>
        <v>#REF!</v>
      </c>
      <c r="U26" s="755" t="e">
        <f t="shared" si="13"/>
        <v>#REF!</v>
      </c>
      <c r="V26" s="755" t="e">
        <f t="shared" si="13"/>
        <v>#REF!</v>
      </c>
      <c r="W26" s="755" t="e">
        <f t="shared" si="13"/>
        <v>#REF!</v>
      </c>
      <c r="X26" s="755" t="e">
        <f t="shared" si="13"/>
        <v>#REF!</v>
      </c>
      <c r="Y26" s="776"/>
      <c r="Z26" s="13"/>
      <c r="AA26" s="13"/>
      <c r="AB26" s="776"/>
      <c r="AC26" s="776"/>
      <c r="AD26" s="11"/>
      <c r="AE26" s="11"/>
      <c r="AF26" s="11"/>
      <c r="AG26" s="11"/>
      <c r="AH26" s="11"/>
      <c r="AI26" s="11"/>
      <c r="AJ26" s="11"/>
      <c r="AK26" s="11"/>
      <c r="AL26" s="11"/>
      <c r="AM26" s="11"/>
      <c r="AN26" s="11"/>
      <c r="AO26" s="779"/>
      <c r="AP26" s="779"/>
      <c r="AQ26" s="779"/>
      <c r="AR26" s="779"/>
      <c r="AS26" s="779"/>
      <c r="AT26" s="779"/>
      <c r="AU26" s="779"/>
      <c r="AV26" s="779"/>
      <c r="AW26" s="779"/>
      <c r="AX26" s="779"/>
      <c r="AY26" s="779"/>
      <c r="AZ26" s="779"/>
      <c r="BA26" s="779"/>
      <c r="BB26" s="779"/>
      <c r="BC26" s="779"/>
      <c r="BD26" s="779"/>
      <c r="BE26" s="779"/>
      <c r="BF26" s="779"/>
      <c r="BG26" s="779"/>
      <c r="BH26" s="779"/>
      <c r="BI26" s="779"/>
      <c r="BJ26" s="779"/>
      <c r="BK26" s="779"/>
      <c r="BL26" s="779"/>
      <c r="BM26" s="779"/>
      <c r="BN26" s="779"/>
      <c r="BO26" s="779"/>
      <c r="BP26" s="779"/>
      <c r="BQ26" s="779"/>
      <c r="BR26" s="779"/>
      <c r="BS26" s="779"/>
      <c r="BT26" s="779"/>
      <c r="BU26" s="779"/>
      <c r="BV26" s="779"/>
      <c r="BW26" s="779"/>
      <c r="BX26" s="779"/>
      <c r="BY26" s="779"/>
      <c r="BZ26" s="779"/>
      <c r="CA26" s="779"/>
      <c r="CB26" s="779"/>
      <c r="CC26" s="779"/>
    </row>
    <row r="27" spans="1:81">
      <c r="A27" s="52"/>
      <c r="B27" s="776"/>
      <c r="C27" s="776"/>
      <c r="E27" s="776"/>
      <c r="F27" s="754" t="e">
        <f t="shared" ref="F27:M27" si="14">SUM(F23:F26)</f>
        <v>#REF!</v>
      </c>
      <c r="G27" s="754" t="e">
        <f t="shared" si="14"/>
        <v>#REF!</v>
      </c>
      <c r="H27" s="754" t="e">
        <f t="shared" si="14"/>
        <v>#REF!</v>
      </c>
      <c r="I27" s="754" t="e">
        <f t="shared" si="14"/>
        <v>#REF!</v>
      </c>
      <c r="J27" s="754" t="e">
        <f t="shared" si="14"/>
        <v>#REF!</v>
      </c>
      <c r="K27" s="754" t="e">
        <f t="shared" si="14"/>
        <v>#REF!</v>
      </c>
      <c r="L27" s="754" t="e">
        <f t="shared" si="14"/>
        <v>#REF!</v>
      </c>
      <c r="M27" s="754" t="e">
        <f t="shared" si="14"/>
        <v>#REF!</v>
      </c>
      <c r="N27" s="754"/>
      <c r="O27" s="754" t="e">
        <f t="shared" ref="O27:X27" si="15">SUM(O23:O26)</f>
        <v>#REF!</v>
      </c>
      <c r="P27" s="754" t="e">
        <f t="shared" si="15"/>
        <v>#REF!</v>
      </c>
      <c r="Q27" s="754" t="e">
        <f t="shared" si="15"/>
        <v>#REF!</v>
      </c>
      <c r="R27" s="754" t="e">
        <f t="shared" si="15"/>
        <v>#REF!</v>
      </c>
      <c r="S27" s="754" t="e">
        <f t="shared" si="15"/>
        <v>#REF!</v>
      </c>
      <c r="T27" s="754" t="e">
        <f t="shared" si="15"/>
        <v>#REF!</v>
      </c>
      <c r="U27" s="754" t="e">
        <f t="shared" si="15"/>
        <v>#REF!</v>
      </c>
      <c r="V27" s="754" t="e">
        <f t="shared" si="15"/>
        <v>#REF!</v>
      </c>
      <c r="W27" s="754" t="e">
        <f t="shared" si="15"/>
        <v>#REF!</v>
      </c>
      <c r="X27" s="754" t="e">
        <f t="shared" si="15"/>
        <v>#REF!</v>
      </c>
      <c r="Y27" s="776"/>
      <c r="Z27" s="13"/>
      <c r="AA27" s="13"/>
      <c r="AB27" s="776"/>
      <c r="AC27" s="776"/>
      <c r="AD27" s="11"/>
      <c r="AE27" s="11"/>
      <c r="AF27" s="11"/>
      <c r="AG27" s="11"/>
      <c r="AH27" s="11"/>
      <c r="AI27" s="11"/>
      <c r="AJ27" s="11"/>
      <c r="AK27" s="11"/>
      <c r="AL27" s="11"/>
      <c r="AM27" s="11"/>
      <c r="AN27" s="11"/>
      <c r="AO27" s="779"/>
      <c r="AP27" s="779"/>
      <c r="AQ27" s="779"/>
      <c r="AR27" s="779"/>
      <c r="AS27" s="779"/>
      <c r="AT27" s="779"/>
      <c r="AU27" s="779"/>
      <c r="AV27" s="779"/>
      <c r="AW27" s="779"/>
      <c r="AX27" s="779"/>
      <c r="AY27" s="779"/>
      <c r="AZ27" s="779"/>
      <c r="BA27" s="779"/>
      <c r="BB27" s="779"/>
      <c r="BC27" s="779"/>
      <c r="BD27" s="779"/>
      <c r="BE27" s="779"/>
      <c r="BF27" s="779"/>
      <c r="BG27" s="779"/>
      <c r="BH27" s="779"/>
      <c r="BI27" s="779"/>
      <c r="BJ27" s="779"/>
      <c r="BK27" s="779"/>
      <c r="BL27" s="779"/>
      <c r="BM27" s="779"/>
      <c r="BN27" s="779"/>
      <c r="BO27" s="779"/>
      <c r="BP27" s="779"/>
      <c r="BQ27" s="779"/>
      <c r="BR27" s="779"/>
      <c r="BS27" s="779"/>
      <c r="BT27" s="779"/>
      <c r="BU27" s="779"/>
      <c r="BV27" s="779"/>
      <c r="BW27" s="779"/>
      <c r="BX27" s="779"/>
      <c r="BY27" s="779"/>
      <c r="BZ27" s="779"/>
      <c r="CA27" s="779"/>
      <c r="CB27" s="779"/>
      <c r="CC27" s="779"/>
    </row>
    <row r="28" spans="1:81">
      <c r="A28" s="52">
        <v>1610</v>
      </c>
      <c r="B28" s="776"/>
      <c r="C28" s="776" t="s">
        <v>536</v>
      </c>
      <c r="E28" s="776"/>
      <c r="F28" s="754" t="e">
        <f t="shared" ref="F28:M29" si="16">F93</f>
        <v>#REF!</v>
      </c>
      <c r="G28" s="754" t="e">
        <f t="shared" si="16"/>
        <v>#REF!</v>
      </c>
      <c r="H28" s="754" t="e">
        <f t="shared" si="16"/>
        <v>#REF!</v>
      </c>
      <c r="I28" s="754" t="e">
        <f t="shared" si="16"/>
        <v>#REF!</v>
      </c>
      <c r="J28" s="754" t="e">
        <f t="shared" si="16"/>
        <v>#REF!</v>
      </c>
      <c r="K28" s="754" t="e">
        <f t="shared" si="16"/>
        <v>#REF!</v>
      </c>
      <c r="L28" s="754" t="e">
        <f t="shared" si="16"/>
        <v>#REF!</v>
      </c>
      <c r="M28" s="754" t="e">
        <f t="shared" si="16"/>
        <v>#REF!</v>
      </c>
      <c r="N28" s="754"/>
      <c r="O28" s="754" t="e">
        <f t="shared" ref="O28:X28" si="17">O93</f>
        <v>#REF!</v>
      </c>
      <c r="P28" s="754" t="e">
        <f t="shared" si="17"/>
        <v>#REF!</v>
      </c>
      <c r="Q28" s="754" t="e">
        <f t="shared" si="17"/>
        <v>#REF!</v>
      </c>
      <c r="R28" s="754" t="e">
        <f t="shared" si="17"/>
        <v>#REF!</v>
      </c>
      <c r="S28" s="754" t="e">
        <f t="shared" si="17"/>
        <v>#REF!</v>
      </c>
      <c r="T28" s="754" t="e">
        <f t="shared" si="17"/>
        <v>#REF!</v>
      </c>
      <c r="U28" s="754" t="e">
        <f t="shared" si="17"/>
        <v>#REF!</v>
      </c>
      <c r="V28" s="754" t="e">
        <f t="shared" si="17"/>
        <v>#REF!</v>
      </c>
      <c r="W28" s="754" t="e">
        <f t="shared" si="17"/>
        <v>#REF!</v>
      </c>
      <c r="X28" s="754" t="e">
        <f t="shared" si="17"/>
        <v>#REF!</v>
      </c>
      <c r="Y28" s="776"/>
      <c r="Z28" s="13"/>
      <c r="AA28" s="13"/>
      <c r="AB28" s="776"/>
      <c r="AC28" s="776"/>
      <c r="AD28" s="11"/>
      <c r="AE28" s="11"/>
      <c r="AF28" s="11"/>
      <c r="AG28" s="11"/>
      <c r="AH28" s="11"/>
      <c r="AI28" s="11"/>
      <c r="AJ28" s="11"/>
      <c r="AK28" s="11"/>
      <c r="AL28" s="11"/>
      <c r="AM28" s="11"/>
      <c r="AN28" s="11"/>
      <c r="AO28" s="779"/>
      <c r="AP28" s="779"/>
      <c r="AQ28" s="779"/>
      <c r="AR28" s="779"/>
      <c r="AS28" s="779"/>
      <c r="AT28" s="779"/>
      <c r="AU28" s="779"/>
      <c r="AV28" s="779"/>
      <c r="AW28" s="779"/>
      <c r="AX28" s="779"/>
      <c r="AY28" s="779"/>
      <c r="AZ28" s="779"/>
      <c r="BA28" s="779"/>
      <c r="BB28" s="779"/>
      <c r="BC28" s="779"/>
      <c r="BD28" s="779"/>
      <c r="BE28" s="779"/>
      <c r="BF28" s="779"/>
      <c r="BG28" s="779"/>
      <c r="BH28" s="779"/>
      <c r="BI28" s="779"/>
      <c r="BJ28" s="779"/>
      <c r="BK28" s="779"/>
      <c r="BL28" s="779"/>
      <c r="BM28" s="779"/>
      <c r="BN28" s="779"/>
      <c r="BO28" s="779"/>
      <c r="BP28" s="779"/>
      <c r="BQ28" s="779"/>
      <c r="BR28" s="779"/>
      <c r="BS28" s="779"/>
      <c r="BT28" s="779"/>
      <c r="BU28" s="779"/>
      <c r="BV28" s="779"/>
      <c r="BW28" s="779"/>
      <c r="BX28" s="779"/>
      <c r="BY28" s="779"/>
      <c r="BZ28" s="779"/>
      <c r="CA28" s="779"/>
      <c r="CB28" s="779"/>
      <c r="CC28" s="779"/>
    </row>
    <row r="29" spans="1:81">
      <c r="A29" s="52">
        <v>1610</v>
      </c>
      <c r="B29" s="776"/>
      <c r="C29" s="776" t="s">
        <v>1075</v>
      </c>
      <c r="E29" s="776"/>
      <c r="F29" s="754">
        <f t="shared" si="16"/>
        <v>0</v>
      </c>
      <c r="G29" s="754" t="e">
        <f t="shared" si="16"/>
        <v>#REF!</v>
      </c>
      <c r="H29" s="754" t="e">
        <f t="shared" si="16"/>
        <v>#REF!</v>
      </c>
      <c r="I29" s="754" t="e">
        <f t="shared" si="16"/>
        <v>#REF!</v>
      </c>
      <c r="J29" s="754" t="e">
        <f t="shared" si="16"/>
        <v>#REF!</v>
      </c>
      <c r="K29" s="754" t="e">
        <f t="shared" si="16"/>
        <v>#REF!</v>
      </c>
      <c r="L29" s="754" t="e">
        <f t="shared" si="16"/>
        <v>#REF!</v>
      </c>
      <c r="M29" s="754" t="e">
        <f t="shared" si="16"/>
        <v>#REF!</v>
      </c>
      <c r="N29" s="754"/>
      <c r="O29" s="754" t="e">
        <f t="shared" ref="O29:X29" si="18">O94</f>
        <v>#REF!</v>
      </c>
      <c r="P29" s="754" t="e">
        <f t="shared" si="18"/>
        <v>#REF!</v>
      </c>
      <c r="Q29" s="754" t="e">
        <f t="shared" si="18"/>
        <v>#REF!</v>
      </c>
      <c r="R29" s="754" t="e">
        <f t="shared" si="18"/>
        <v>#REF!</v>
      </c>
      <c r="S29" s="754" t="e">
        <f t="shared" si="18"/>
        <v>#REF!</v>
      </c>
      <c r="T29" s="754" t="e">
        <f t="shared" si="18"/>
        <v>#REF!</v>
      </c>
      <c r="U29" s="754" t="e">
        <f t="shared" si="18"/>
        <v>#REF!</v>
      </c>
      <c r="V29" s="754" t="e">
        <f t="shared" si="18"/>
        <v>#REF!</v>
      </c>
      <c r="W29" s="754" t="e">
        <f t="shared" si="18"/>
        <v>#REF!</v>
      </c>
      <c r="X29" s="754" t="e">
        <f t="shared" si="18"/>
        <v>#REF!</v>
      </c>
      <c r="Y29" s="776"/>
      <c r="Z29" s="13"/>
      <c r="AA29" s="13"/>
      <c r="AB29" s="776"/>
      <c r="AC29" s="776"/>
      <c r="AD29" s="11"/>
      <c r="AE29" s="11"/>
      <c r="AF29" s="11"/>
      <c r="AG29" s="11"/>
      <c r="AH29" s="11"/>
      <c r="AI29" s="11"/>
      <c r="AJ29" s="11"/>
      <c r="AK29" s="11"/>
      <c r="AL29" s="11"/>
      <c r="AM29" s="11"/>
      <c r="AN29" s="11"/>
      <c r="AO29" s="779"/>
      <c r="AP29" s="779"/>
      <c r="AQ29" s="779"/>
      <c r="AR29" s="779"/>
      <c r="AS29" s="779"/>
      <c r="AT29" s="779"/>
      <c r="AU29" s="779"/>
      <c r="AV29" s="779"/>
      <c r="AW29" s="779"/>
      <c r="AX29" s="779"/>
      <c r="AY29" s="779"/>
      <c r="AZ29" s="779"/>
      <c r="BA29" s="779"/>
      <c r="BB29" s="779"/>
      <c r="BC29" s="779"/>
      <c r="BD29" s="779"/>
      <c r="BE29" s="779"/>
      <c r="BF29" s="779"/>
      <c r="BG29" s="779"/>
      <c r="BH29" s="779"/>
      <c r="BI29" s="779"/>
      <c r="BJ29" s="779"/>
      <c r="BK29" s="779"/>
      <c r="BL29" s="779"/>
      <c r="BM29" s="779"/>
      <c r="BN29" s="779"/>
      <c r="BO29" s="779"/>
      <c r="BP29" s="779"/>
      <c r="BQ29" s="779"/>
      <c r="BR29" s="779"/>
      <c r="BS29" s="779"/>
      <c r="BT29" s="779"/>
      <c r="BU29" s="779"/>
      <c r="BV29" s="779"/>
      <c r="BW29" s="779"/>
      <c r="BX29" s="779"/>
      <c r="BY29" s="779"/>
      <c r="BZ29" s="779"/>
      <c r="CA29" s="779"/>
      <c r="CB29" s="779"/>
      <c r="CC29" s="779"/>
    </row>
    <row r="30" spans="1:81">
      <c r="A30" s="52"/>
      <c r="B30" s="776"/>
      <c r="C30" s="39" t="s">
        <v>624</v>
      </c>
      <c r="D30" s="39"/>
      <c r="E30" s="776"/>
      <c r="F30" s="754" t="e">
        <f t="shared" ref="F30:M30" si="19">+F28+F29</f>
        <v>#REF!</v>
      </c>
      <c r="G30" s="754" t="e">
        <f t="shared" si="19"/>
        <v>#REF!</v>
      </c>
      <c r="H30" s="754" t="e">
        <f t="shared" si="19"/>
        <v>#REF!</v>
      </c>
      <c r="I30" s="754" t="e">
        <f t="shared" si="19"/>
        <v>#REF!</v>
      </c>
      <c r="J30" s="754" t="e">
        <f t="shared" si="19"/>
        <v>#REF!</v>
      </c>
      <c r="K30" s="754" t="e">
        <f t="shared" si="19"/>
        <v>#REF!</v>
      </c>
      <c r="L30" s="754" t="e">
        <f t="shared" si="19"/>
        <v>#REF!</v>
      </c>
      <c r="M30" s="754" t="e">
        <f t="shared" si="19"/>
        <v>#REF!</v>
      </c>
      <c r="N30" s="754"/>
      <c r="O30" s="754" t="e">
        <f t="shared" ref="O30:X30" si="20">+O28+O29</f>
        <v>#REF!</v>
      </c>
      <c r="P30" s="754" t="e">
        <f t="shared" si="20"/>
        <v>#REF!</v>
      </c>
      <c r="Q30" s="754" t="e">
        <f t="shared" si="20"/>
        <v>#REF!</v>
      </c>
      <c r="R30" s="754" t="e">
        <f t="shared" si="20"/>
        <v>#REF!</v>
      </c>
      <c r="S30" s="754" t="e">
        <f t="shared" si="20"/>
        <v>#REF!</v>
      </c>
      <c r="T30" s="754" t="e">
        <f t="shared" si="20"/>
        <v>#REF!</v>
      </c>
      <c r="U30" s="754" t="e">
        <f t="shared" si="20"/>
        <v>#REF!</v>
      </c>
      <c r="V30" s="754" t="e">
        <f t="shared" si="20"/>
        <v>#REF!</v>
      </c>
      <c r="W30" s="754" t="e">
        <f t="shared" si="20"/>
        <v>#REF!</v>
      </c>
      <c r="X30" s="754" t="e">
        <f t="shared" si="20"/>
        <v>#REF!</v>
      </c>
      <c r="Y30" s="776"/>
      <c r="Z30" s="13"/>
      <c r="AA30" s="13"/>
      <c r="AB30" s="776"/>
      <c r="AC30" s="776"/>
      <c r="AD30" s="11"/>
      <c r="AE30" s="11"/>
      <c r="AF30" s="11"/>
      <c r="AG30" s="11"/>
      <c r="AH30" s="11"/>
      <c r="AI30" s="11"/>
      <c r="AJ30" s="11"/>
      <c r="AK30" s="11"/>
      <c r="AL30" s="11"/>
      <c r="AM30" s="11"/>
      <c r="AN30" s="11"/>
      <c r="AO30" s="779"/>
      <c r="AP30" s="779"/>
      <c r="AQ30" s="779"/>
      <c r="AR30" s="779"/>
      <c r="AS30" s="779"/>
      <c r="AT30" s="779"/>
      <c r="AU30" s="779"/>
      <c r="AV30" s="779"/>
      <c r="AW30" s="779"/>
      <c r="AX30" s="779"/>
      <c r="AY30" s="779"/>
      <c r="AZ30" s="779"/>
      <c r="BA30" s="779"/>
      <c r="BB30" s="779"/>
      <c r="BC30" s="779"/>
      <c r="BD30" s="779"/>
      <c r="BE30" s="779"/>
      <c r="BF30" s="779"/>
      <c r="BG30" s="779"/>
      <c r="BH30" s="779"/>
      <c r="BI30" s="779"/>
      <c r="BJ30" s="779"/>
      <c r="BK30" s="779"/>
      <c r="BL30" s="779"/>
      <c r="BM30" s="779"/>
      <c r="BN30" s="779"/>
      <c r="BO30" s="779"/>
      <c r="BP30" s="779"/>
      <c r="BQ30" s="779"/>
      <c r="BR30" s="779"/>
      <c r="BS30" s="779"/>
      <c r="BT30" s="779"/>
      <c r="BU30" s="779"/>
      <c r="BV30" s="779"/>
      <c r="BW30" s="779"/>
      <c r="BX30" s="779"/>
      <c r="BY30" s="779"/>
      <c r="BZ30" s="779"/>
      <c r="CA30" s="779"/>
      <c r="CB30" s="779"/>
      <c r="CC30" s="779"/>
    </row>
    <row r="31" spans="1:81">
      <c r="A31" s="52">
        <v>1620</v>
      </c>
      <c r="B31" s="776"/>
      <c r="C31" s="776" t="s">
        <v>8</v>
      </c>
      <c r="E31" s="776"/>
      <c r="F31" s="755" t="e">
        <f t="shared" ref="F31:M31" si="21">F27+F30</f>
        <v>#REF!</v>
      </c>
      <c r="G31" s="755" t="e">
        <f t="shared" si="21"/>
        <v>#REF!</v>
      </c>
      <c r="H31" s="755" t="e">
        <f t="shared" si="21"/>
        <v>#REF!</v>
      </c>
      <c r="I31" s="755" t="e">
        <f t="shared" si="21"/>
        <v>#REF!</v>
      </c>
      <c r="J31" s="755" t="e">
        <f t="shared" si="21"/>
        <v>#REF!</v>
      </c>
      <c r="K31" s="755" t="e">
        <f t="shared" si="21"/>
        <v>#REF!</v>
      </c>
      <c r="L31" s="755" t="e">
        <f t="shared" si="21"/>
        <v>#REF!</v>
      </c>
      <c r="M31" s="755" t="e">
        <f t="shared" si="21"/>
        <v>#REF!</v>
      </c>
      <c r="N31" s="755"/>
      <c r="O31" s="755" t="e">
        <f t="shared" ref="O31:X31" si="22">O27+O30</f>
        <v>#REF!</v>
      </c>
      <c r="P31" s="755" t="e">
        <f t="shared" si="22"/>
        <v>#REF!</v>
      </c>
      <c r="Q31" s="755" t="e">
        <f t="shared" si="22"/>
        <v>#REF!</v>
      </c>
      <c r="R31" s="755" t="e">
        <f t="shared" si="22"/>
        <v>#REF!</v>
      </c>
      <c r="S31" s="755" t="e">
        <f t="shared" si="22"/>
        <v>#REF!</v>
      </c>
      <c r="T31" s="755" t="e">
        <f t="shared" si="22"/>
        <v>#REF!</v>
      </c>
      <c r="U31" s="755" t="e">
        <f t="shared" si="22"/>
        <v>#REF!</v>
      </c>
      <c r="V31" s="755" t="e">
        <f t="shared" si="22"/>
        <v>#REF!</v>
      </c>
      <c r="W31" s="755" t="e">
        <f t="shared" si="22"/>
        <v>#REF!</v>
      </c>
      <c r="X31" s="755" t="e">
        <f t="shared" si="22"/>
        <v>#REF!</v>
      </c>
      <c r="Y31" s="776"/>
      <c r="Z31" s="13"/>
      <c r="AA31" s="13"/>
      <c r="AB31" s="776"/>
      <c r="AC31" s="776"/>
      <c r="AD31" s="11"/>
      <c r="AE31" s="11"/>
      <c r="AF31" s="11"/>
      <c r="AG31" s="11"/>
      <c r="AH31" s="11"/>
      <c r="AI31" s="11"/>
      <c r="AJ31" s="11"/>
      <c r="AK31" s="11"/>
      <c r="AL31" s="11"/>
      <c r="AM31" s="11"/>
      <c r="AN31" s="11"/>
      <c r="AO31" s="779"/>
      <c r="AP31" s="779"/>
      <c r="AQ31" s="779"/>
      <c r="AR31" s="779"/>
      <c r="AS31" s="779"/>
      <c r="AT31" s="779"/>
      <c r="AU31" s="779"/>
      <c r="AV31" s="779"/>
      <c r="AW31" s="779"/>
      <c r="AX31" s="779"/>
      <c r="AY31" s="779"/>
      <c r="AZ31" s="779"/>
      <c r="BA31" s="779"/>
      <c r="BB31" s="779"/>
      <c r="BC31" s="779"/>
      <c r="BD31" s="779"/>
      <c r="BE31" s="779"/>
      <c r="BF31" s="779"/>
      <c r="BG31" s="779"/>
      <c r="BH31" s="779"/>
      <c r="BI31" s="779"/>
      <c r="BJ31" s="779"/>
      <c r="BK31" s="779"/>
      <c r="BL31" s="779"/>
      <c r="BM31" s="779"/>
      <c r="BN31" s="779"/>
      <c r="BO31" s="779"/>
      <c r="BP31" s="779"/>
      <c r="BQ31" s="779"/>
      <c r="BR31" s="779"/>
      <c r="BS31" s="779"/>
      <c r="BT31" s="779"/>
      <c r="BU31" s="779"/>
      <c r="BV31" s="779"/>
      <c r="BW31" s="779"/>
      <c r="BX31" s="779"/>
      <c r="BY31" s="779"/>
      <c r="BZ31" s="779"/>
      <c r="CA31" s="779"/>
      <c r="CB31" s="779"/>
      <c r="CC31" s="779"/>
    </row>
    <row r="32" spans="1:81" ht="13.5" thickBot="1">
      <c r="A32" s="52"/>
      <c r="B32" s="776"/>
      <c r="C32" s="1" t="s">
        <v>323</v>
      </c>
      <c r="D32" s="1"/>
      <c r="E32" s="776"/>
      <c r="F32" s="762" t="e">
        <f t="shared" ref="F32:M32" si="23">F15+SUM(F16:F22)+F31</f>
        <v>#REF!</v>
      </c>
      <c r="G32" s="762" t="e">
        <f t="shared" si="23"/>
        <v>#REF!</v>
      </c>
      <c r="H32" s="762" t="e">
        <f t="shared" si="23"/>
        <v>#REF!</v>
      </c>
      <c r="I32" s="762" t="e">
        <f t="shared" si="23"/>
        <v>#REF!</v>
      </c>
      <c r="J32" s="762" t="e">
        <f t="shared" si="23"/>
        <v>#REF!</v>
      </c>
      <c r="K32" s="762" t="e">
        <f t="shared" si="23"/>
        <v>#REF!</v>
      </c>
      <c r="L32" s="762" t="e">
        <f t="shared" si="23"/>
        <v>#REF!</v>
      </c>
      <c r="M32" s="762" t="e">
        <f t="shared" si="23"/>
        <v>#REF!</v>
      </c>
      <c r="N32" s="762"/>
      <c r="O32" s="762" t="e">
        <f>O15+SUM(O17:O22)+O31</f>
        <v>#REF!</v>
      </c>
      <c r="P32" s="762" t="e">
        <f>P15+SUM(P17:P22)+P31</f>
        <v>#REF!</v>
      </c>
      <c r="Q32" s="762" t="e">
        <f t="shared" ref="Q32:X32" si="24">Q15+SUM(Q16:Q22)+Q31</f>
        <v>#REF!</v>
      </c>
      <c r="R32" s="762" t="e">
        <f t="shared" si="24"/>
        <v>#REF!</v>
      </c>
      <c r="S32" s="762" t="e">
        <f t="shared" si="24"/>
        <v>#REF!</v>
      </c>
      <c r="T32" s="762" t="e">
        <f t="shared" si="24"/>
        <v>#REF!</v>
      </c>
      <c r="U32" s="762" t="e">
        <f t="shared" si="24"/>
        <v>#REF!</v>
      </c>
      <c r="V32" s="762" t="e">
        <f t="shared" si="24"/>
        <v>#REF!</v>
      </c>
      <c r="W32" s="762" t="e">
        <f t="shared" si="24"/>
        <v>#REF!</v>
      </c>
      <c r="X32" s="762" t="e">
        <f t="shared" si="24"/>
        <v>#REF!</v>
      </c>
      <c r="Y32" s="776"/>
      <c r="Z32" s="13"/>
      <c r="AA32" s="13"/>
      <c r="AB32" s="776"/>
      <c r="AC32" s="776"/>
      <c r="AD32" s="11"/>
      <c r="AE32" s="11"/>
      <c r="AF32" s="11"/>
      <c r="AG32" s="11"/>
      <c r="AH32" s="11"/>
      <c r="AI32" s="11"/>
      <c r="AJ32" s="11"/>
      <c r="AK32" s="11"/>
      <c r="AL32" s="11"/>
      <c r="AM32" s="11"/>
      <c r="AN32" s="11"/>
      <c r="AO32" s="779"/>
      <c r="AP32" s="779"/>
      <c r="AQ32" s="779"/>
      <c r="AR32" s="779"/>
      <c r="AS32" s="779"/>
      <c r="AT32" s="779"/>
      <c r="AU32" s="779"/>
      <c r="AV32" s="779"/>
      <c r="AW32" s="779"/>
      <c r="AX32" s="779"/>
      <c r="AY32" s="779"/>
      <c r="AZ32" s="779"/>
      <c r="BA32" s="779"/>
      <c r="BB32" s="779"/>
      <c r="BC32" s="779"/>
      <c r="BD32" s="779"/>
      <c r="BE32" s="779"/>
      <c r="BF32" s="779"/>
      <c r="BG32" s="779"/>
      <c r="BH32" s="779"/>
      <c r="BI32" s="779"/>
      <c r="BJ32" s="779"/>
      <c r="BK32" s="779"/>
      <c r="BL32" s="779"/>
      <c r="BM32" s="779"/>
      <c r="BN32" s="779"/>
      <c r="BO32" s="779"/>
      <c r="BP32" s="779"/>
      <c r="BQ32" s="779"/>
      <c r="BR32" s="779"/>
      <c r="BS32" s="779"/>
      <c r="BT32" s="779"/>
      <c r="BU32" s="779"/>
      <c r="BV32" s="779"/>
      <c r="BW32" s="779"/>
      <c r="BX32" s="779"/>
      <c r="BY32" s="779"/>
      <c r="BZ32" s="779"/>
      <c r="CA32" s="779"/>
      <c r="CB32" s="779"/>
      <c r="CC32" s="779"/>
    </row>
    <row r="33" spans="1:81" ht="13.5" thickTop="1">
      <c r="A33" s="803" t="s">
        <v>325</v>
      </c>
      <c r="B33" s="803"/>
      <c r="C33" s="804"/>
      <c r="D33" s="804"/>
      <c r="E33" s="805"/>
      <c r="F33" s="798">
        <v>1999</v>
      </c>
      <c r="G33" s="798">
        <f t="shared" ref="G33:M33" si="25">F33+1</f>
        <v>2000</v>
      </c>
      <c r="H33" s="798">
        <f t="shared" si="25"/>
        <v>2001</v>
      </c>
      <c r="I33" s="798">
        <f t="shared" si="25"/>
        <v>2002</v>
      </c>
      <c r="J33" s="798">
        <f t="shared" si="25"/>
        <v>2003</v>
      </c>
      <c r="K33" s="798">
        <f t="shared" si="25"/>
        <v>2004</v>
      </c>
      <c r="L33" s="798">
        <f t="shared" si="25"/>
        <v>2005</v>
      </c>
      <c r="M33" s="798">
        <f t="shared" si="25"/>
        <v>2006</v>
      </c>
      <c r="N33" s="798">
        <f t="shared" ref="N33" si="26">M33+1</f>
        <v>2007</v>
      </c>
      <c r="O33" s="798">
        <f t="shared" ref="O33" si="27">N33+1</f>
        <v>2008</v>
      </c>
      <c r="P33" s="798">
        <f t="shared" ref="P33" si="28">O33+1</f>
        <v>2009</v>
      </c>
      <c r="Q33" s="798">
        <f t="shared" ref="Q33" si="29">P33+1</f>
        <v>2010</v>
      </c>
      <c r="R33" s="798">
        <f t="shared" ref="R33" si="30">Q33+1</f>
        <v>2011</v>
      </c>
      <c r="S33" s="798">
        <f t="shared" ref="S33" si="31">R33+1</f>
        <v>2012</v>
      </c>
      <c r="T33" s="798">
        <f t="shared" ref="T33" si="32">S33+1</f>
        <v>2013</v>
      </c>
      <c r="U33" s="798">
        <f t="shared" ref="U33" si="33">T33+1</f>
        <v>2014</v>
      </c>
      <c r="V33" s="798">
        <f t="shared" ref="V33" si="34">U33+1</f>
        <v>2015</v>
      </c>
      <c r="W33" s="798">
        <f t="shared" ref="W33" si="35">V33+1</f>
        <v>2016</v>
      </c>
      <c r="X33" s="798">
        <f t="shared" ref="X33" si="36">W33+1</f>
        <v>2017</v>
      </c>
      <c r="Y33" s="798">
        <f t="shared" ref="Y33" si="37">X33+1</f>
        <v>2018</v>
      </c>
      <c r="Z33" s="798">
        <f t="shared" ref="Z33" si="38">Y33+1</f>
        <v>2019</v>
      </c>
      <c r="AA33" s="798">
        <f t="shared" ref="AA33" si="39">Z33+1</f>
        <v>2020</v>
      </c>
      <c r="AB33" s="776"/>
      <c r="AC33" s="776"/>
      <c r="AD33" s="11"/>
      <c r="AE33" s="11"/>
      <c r="AF33" s="11"/>
      <c r="AG33" s="11"/>
      <c r="AH33" s="11"/>
      <c r="AI33" s="11"/>
      <c r="AJ33" s="11"/>
      <c r="AK33" s="11"/>
      <c r="AL33" s="11"/>
      <c r="AM33" s="11"/>
      <c r="AN33" s="11"/>
      <c r="AO33" s="779"/>
      <c r="AP33" s="779"/>
      <c r="AQ33" s="779"/>
      <c r="AR33" s="779"/>
      <c r="AS33" s="779"/>
      <c r="AT33" s="779"/>
      <c r="AU33" s="779"/>
      <c r="AV33" s="779"/>
      <c r="AW33" s="779"/>
      <c r="AX33" s="779"/>
      <c r="AY33" s="779"/>
      <c r="AZ33" s="779"/>
      <c r="BA33" s="779"/>
      <c r="BB33" s="779"/>
      <c r="BC33" s="779"/>
      <c r="BD33" s="779"/>
      <c r="BE33" s="779"/>
      <c r="BF33" s="779"/>
      <c r="BG33" s="779"/>
      <c r="BH33" s="779"/>
      <c r="BI33" s="779"/>
      <c r="BJ33" s="779"/>
      <c r="BK33" s="779"/>
      <c r="BL33" s="779"/>
      <c r="BM33" s="779"/>
      <c r="BN33" s="779"/>
      <c r="BO33" s="779"/>
      <c r="BP33" s="779"/>
      <c r="BQ33" s="779"/>
      <c r="BR33" s="779"/>
      <c r="BS33" s="779"/>
      <c r="BT33" s="779"/>
      <c r="BU33" s="779"/>
      <c r="BV33" s="779"/>
      <c r="BW33" s="779"/>
      <c r="BX33" s="779"/>
      <c r="BY33" s="779"/>
      <c r="BZ33" s="779"/>
      <c r="CA33" s="779"/>
      <c r="CB33" s="779"/>
      <c r="CC33" s="779"/>
    </row>
    <row r="34" spans="1:81">
      <c r="A34" s="52">
        <v>2040</v>
      </c>
      <c r="B34" s="776"/>
      <c r="C34" s="776" t="s">
        <v>326</v>
      </c>
      <c r="E34" s="776"/>
      <c r="F34" s="754">
        <v>41728</v>
      </c>
      <c r="G34" s="754">
        <v>64139</v>
      </c>
      <c r="H34" s="754">
        <v>102775</v>
      </c>
      <c r="I34" s="754">
        <v>7394</v>
      </c>
      <c r="J34" s="754">
        <v>22807</v>
      </c>
      <c r="K34" s="754">
        <v>38973</v>
      </c>
      <c r="L34" s="754">
        <v>37722</v>
      </c>
      <c r="M34" s="754"/>
      <c r="N34" s="754"/>
      <c r="O34" s="754">
        <v>528900</v>
      </c>
      <c r="P34" s="763">
        <f>134421+6218+4353</f>
        <v>144992</v>
      </c>
      <c r="Q34" s="754">
        <f>11065+155636+4727</f>
        <v>171428</v>
      </c>
      <c r="R34" s="754">
        <f>16629+166937</f>
        <v>183566</v>
      </c>
      <c r="S34" s="754">
        <f>12457+250429</f>
        <v>262886</v>
      </c>
      <c r="T34" s="759" t="e">
        <f>'3_Fin-Stat'!#REF!</f>
        <v>#REF!</v>
      </c>
      <c r="U34" s="759" t="e">
        <f>'3_Fin-Stat'!#REF!</f>
        <v>#REF!</v>
      </c>
      <c r="V34" s="759" t="e">
        <f>'3_Fin-Stat'!#REF!</f>
        <v>#REF!</v>
      </c>
      <c r="W34" s="759" t="e">
        <f>'3_Fin-Stat'!#REF!</f>
        <v>#REF!</v>
      </c>
      <c r="X34" s="759" t="e">
        <f>'3_Fin-Stat'!#REF!</f>
        <v>#REF!</v>
      </c>
      <c r="Y34" s="776"/>
      <c r="Z34" s="13"/>
      <c r="AA34" s="13"/>
      <c r="AB34" s="776"/>
      <c r="AC34" s="776"/>
      <c r="AD34" s="11"/>
      <c r="AE34" s="11"/>
      <c r="AF34" s="11"/>
      <c r="AG34" s="11"/>
      <c r="AH34" s="11"/>
      <c r="AI34" s="11"/>
      <c r="AJ34" s="11"/>
      <c r="AK34" s="11"/>
      <c r="AL34" s="11"/>
      <c r="AM34" s="11"/>
      <c r="AN34" s="11"/>
      <c r="AO34" s="779"/>
      <c r="AP34" s="779"/>
      <c r="AQ34" s="779"/>
      <c r="AR34" s="779"/>
      <c r="AS34" s="779"/>
      <c r="AT34" s="779"/>
      <c r="AU34" s="779"/>
      <c r="AV34" s="779"/>
      <c r="AW34" s="779"/>
      <c r="AX34" s="779"/>
      <c r="AY34" s="779"/>
      <c r="AZ34" s="779"/>
      <c r="BA34" s="779"/>
      <c r="BB34" s="779"/>
      <c r="BC34" s="779"/>
      <c r="BD34" s="779"/>
      <c r="BE34" s="779"/>
      <c r="BF34" s="779"/>
      <c r="BG34" s="779"/>
      <c r="BH34" s="779"/>
      <c r="BI34" s="779"/>
      <c r="BJ34" s="779"/>
      <c r="BK34" s="779"/>
      <c r="BL34" s="779"/>
      <c r="BM34" s="779"/>
      <c r="BN34" s="779"/>
      <c r="BO34" s="779"/>
      <c r="BP34" s="779"/>
      <c r="BQ34" s="779"/>
      <c r="BR34" s="779"/>
      <c r="BS34" s="779"/>
      <c r="BT34" s="779"/>
      <c r="BU34" s="779"/>
      <c r="BV34" s="779"/>
      <c r="BW34" s="779"/>
      <c r="BX34" s="779"/>
      <c r="BY34" s="779"/>
      <c r="BZ34" s="779"/>
      <c r="CA34" s="779"/>
      <c r="CB34" s="779"/>
      <c r="CC34" s="779"/>
    </row>
    <row r="35" spans="1:81">
      <c r="A35" s="52">
        <v>2100</v>
      </c>
      <c r="B35" s="776"/>
      <c r="C35" s="776" t="s">
        <v>327</v>
      </c>
      <c r="E35" s="776"/>
      <c r="F35" s="754">
        <v>1286</v>
      </c>
      <c r="G35" s="754">
        <v>2363</v>
      </c>
      <c r="H35" s="754">
        <v>3050</v>
      </c>
      <c r="I35" s="754">
        <v>2820</v>
      </c>
      <c r="J35" s="754">
        <v>6642</v>
      </c>
      <c r="K35" s="754">
        <v>5067</v>
      </c>
      <c r="L35" s="754">
        <v>6609</v>
      </c>
      <c r="M35" s="754"/>
      <c r="N35" s="754"/>
      <c r="O35" s="754">
        <v>7116</v>
      </c>
      <c r="P35" s="754">
        <v>10595</v>
      </c>
      <c r="Q35" s="754">
        <v>14582</v>
      </c>
      <c r="R35" s="754">
        <v>16018</v>
      </c>
      <c r="S35" s="754">
        <v>7106</v>
      </c>
      <c r="T35" s="759" t="e">
        <f>'3_Fin-Stat'!#REF!</f>
        <v>#REF!</v>
      </c>
      <c r="U35" s="759" t="e">
        <f>'3_Fin-Stat'!#REF!</f>
        <v>#REF!</v>
      </c>
      <c r="V35" s="759" t="e">
        <f>'3_Fin-Stat'!#REF!</f>
        <v>#REF!</v>
      </c>
      <c r="W35" s="759" t="e">
        <f>'3_Fin-Stat'!#REF!</f>
        <v>#REF!</v>
      </c>
      <c r="X35" s="759" t="e">
        <f>'3_Fin-Stat'!#REF!</f>
        <v>#REF!</v>
      </c>
      <c r="Y35" s="776"/>
      <c r="Z35" s="13"/>
      <c r="AA35" s="13"/>
      <c r="AB35" s="776"/>
      <c r="AC35" s="776"/>
      <c r="AD35" s="11"/>
      <c r="AE35" s="11"/>
      <c r="AF35" s="11"/>
      <c r="AG35" s="11"/>
      <c r="AH35" s="11"/>
      <c r="AI35" s="11"/>
      <c r="AJ35" s="11"/>
      <c r="AK35" s="11"/>
      <c r="AL35" s="11"/>
      <c r="AM35" s="11"/>
      <c r="AN35" s="11"/>
      <c r="AO35" s="779"/>
      <c r="AP35" s="779"/>
      <c r="AQ35" s="779"/>
      <c r="AR35" s="779"/>
      <c r="AS35" s="779"/>
      <c r="AT35" s="779"/>
      <c r="AU35" s="779"/>
      <c r="AV35" s="779"/>
      <c r="AW35" s="779"/>
      <c r="AX35" s="779"/>
      <c r="AY35" s="779"/>
      <c r="AZ35" s="779"/>
      <c r="BA35" s="779"/>
      <c r="BB35" s="779"/>
      <c r="BC35" s="779"/>
      <c r="BD35" s="779"/>
      <c r="BE35" s="779"/>
      <c r="BF35" s="779"/>
      <c r="BG35" s="779"/>
      <c r="BH35" s="779"/>
      <c r="BI35" s="779"/>
      <c r="BJ35" s="779"/>
      <c r="BK35" s="779"/>
      <c r="BL35" s="779"/>
      <c r="BM35" s="779"/>
      <c r="BN35" s="779"/>
      <c r="BO35" s="779"/>
      <c r="BP35" s="779"/>
      <c r="BQ35" s="779"/>
      <c r="BR35" s="779"/>
      <c r="BS35" s="779"/>
      <c r="BT35" s="779"/>
      <c r="BU35" s="779"/>
      <c r="BV35" s="779"/>
      <c r="BW35" s="779"/>
      <c r="BX35" s="779"/>
      <c r="BY35" s="779"/>
      <c r="BZ35" s="779"/>
      <c r="CA35" s="779"/>
      <c r="CB35" s="779"/>
      <c r="CC35" s="779"/>
    </row>
    <row r="36" spans="1:81">
      <c r="A36" s="52">
        <v>2040</v>
      </c>
      <c r="B36" s="776"/>
      <c r="C36" s="776" t="s">
        <v>328</v>
      </c>
      <c r="E36" s="776"/>
      <c r="F36" s="754">
        <v>9352</v>
      </c>
      <c r="G36" s="754">
        <v>12420</v>
      </c>
      <c r="H36" s="754">
        <v>3900</v>
      </c>
      <c r="I36" s="754">
        <v>940</v>
      </c>
      <c r="J36" s="754">
        <v>22334</v>
      </c>
      <c r="K36" s="754">
        <v>47167</v>
      </c>
      <c r="L36" s="754">
        <v>57713</v>
      </c>
      <c r="M36" s="754"/>
      <c r="N36" s="754"/>
      <c r="O36" s="754">
        <v>6038</v>
      </c>
      <c r="P36" s="754">
        <v>5163</v>
      </c>
      <c r="Q36" s="754">
        <v>4873</v>
      </c>
      <c r="R36" s="754">
        <v>4140</v>
      </c>
      <c r="S36" s="754">
        <v>5110</v>
      </c>
      <c r="T36" s="759" t="e">
        <f>'3_Fin-Stat'!#REF!</f>
        <v>#REF!</v>
      </c>
      <c r="U36" s="759" t="e">
        <f>'3_Fin-Stat'!#REF!</f>
        <v>#REF!</v>
      </c>
      <c r="V36" s="759" t="e">
        <f>'3_Fin-Stat'!#REF!</f>
        <v>#REF!</v>
      </c>
      <c r="W36" s="759" t="e">
        <f>'3_Fin-Stat'!#REF!</f>
        <v>#REF!</v>
      </c>
      <c r="X36" s="759" t="e">
        <f>'3_Fin-Stat'!#REF!</f>
        <v>#REF!</v>
      </c>
      <c r="Y36" s="776"/>
      <c r="Z36" s="13"/>
      <c r="AA36" s="13"/>
      <c r="AB36" s="776"/>
      <c r="AC36" s="776"/>
      <c r="AD36" s="11"/>
      <c r="AE36" s="11"/>
      <c r="AF36" s="11"/>
      <c r="AG36" s="11"/>
      <c r="AH36" s="11"/>
      <c r="AI36" s="11"/>
      <c r="AJ36" s="11"/>
      <c r="AK36" s="11"/>
      <c r="AL36" s="11"/>
      <c r="AM36" s="11"/>
      <c r="AN36" s="11"/>
      <c r="AO36" s="779"/>
      <c r="AP36" s="779"/>
      <c r="AQ36" s="779"/>
      <c r="AR36" s="779"/>
      <c r="AS36" s="779"/>
      <c r="AT36" s="779"/>
      <c r="AU36" s="779"/>
      <c r="AV36" s="779"/>
      <c r="AW36" s="779"/>
      <c r="AX36" s="779"/>
      <c r="AY36" s="779"/>
      <c r="AZ36" s="779"/>
      <c r="BA36" s="779"/>
      <c r="BB36" s="779"/>
      <c r="BC36" s="779"/>
      <c r="BD36" s="779"/>
      <c r="BE36" s="779"/>
      <c r="BF36" s="779"/>
      <c r="BG36" s="779"/>
      <c r="BH36" s="779"/>
      <c r="BI36" s="779"/>
      <c r="BJ36" s="779"/>
      <c r="BK36" s="779"/>
      <c r="BL36" s="779"/>
      <c r="BM36" s="779"/>
      <c r="BN36" s="779"/>
      <c r="BO36" s="779"/>
      <c r="BP36" s="779"/>
      <c r="BQ36" s="779"/>
      <c r="BR36" s="779"/>
      <c r="BS36" s="779"/>
      <c r="BT36" s="779"/>
      <c r="BU36" s="779"/>
      <c r="BV36" s="779"/>
      <c r="BW36" s="779"/>
      <c r="BX36" s="779"/>
      <c r="BY36" s="779"/>
      <c r="BZ36" s="779"/>
      <c r="CA36" s="779"/>
      <c r="CB36" s="779"/>
      <c r="CC36" s="779"/>
    </row>
    <row r="37" spans="1:81">
      <c r="A37" s="52">
        <v>2050</v>
      </c>
      <c r="B37" s="776"/>
      <c r="C37" s="776" t="s">
        <v>331</v>
      </c>
      <c r="E37" s="776"/>
      <c r="F37" s="754">
        <v>20877</v>
      </c>
      <c r="G37" s="754">
        <v>66726</v>
      </c>
      <c r="H37" s="754">
        <v>148717</v>
      </c>
      <c r="I37" s="754">
        <v>89198</v>
      </c>
      <c r="J37" s="754">
        <v>153040</v>
      </c>
      <c r="K37" s="754">
        <v>166865</v>
      </c>
      <c r="L37" s="754">
        <v>191539</v>
      </c>
      <c r="M37" s="754">
        <v>195221</v>
      </c>
      <c r="N37" s="754"/>
      <c r="O37" s="754"/>
      <c r="P37" s="756"/>
      <c r="Q37" s="754"/>
      <c r="R37" s="754"/>
      <c r="S37" s="754">
        <v>752</v>
      </c>
      <c r="T37" s="759" t="e">
        <f>'3_Fin-Stat'!#REF!</f>
        <v>#REF!</v>
      </c>
      <c r="U37" s="759" t="e">
        <f>'3_Fin-Stat'!#REF!</f>
        <v>#REF!</v>
      </c>
      <c r="V37" s="759" t="e">
        <f>'3_Fin-Stat'!#REF!</f>
        <v>#REF!</v>
      </c>
      <c r="W37" s="759" t="e">
        <f>'3_Fin-Stat'!#REF!</f>
        <v>#REF!</v>
      </c>
      <c r="X37" s="759" t="e">
        <f>'3_Fin-Stat'!#REF!</f>
        <v>#REF!</v>
      </c>
      <c r="Y37" s="776"/>
      <c r="Z37" s="13"/>
      <c r="AA37" s="13"/>
      <c r="AB37" s="776"/>
      <c r="AC37" s="776"/>
      <c r="AD37" s="11"/>
      <c r="AE37" s="11"/>
      <c r="AF37" s="11"/>
      <c r="AG37" s="11"/>
      <c r="AH37" s="11"/>
      <c r="AI37" s="11"/>
      <c r="AJ37" s="11"/>
      <c r="AK37" s="11"/>
      <c r="AL37" s="11"/>
      <c r="AM37" s="11"/>
      <c r="AN37" s="11"/>
      <c r="AO37" s="779"/>
      <c r="AP37" s="779"/>
      <c r="AQ37" s="779"/>
      <c r="AR37" s="779"/>
      <c r="AS37" s="779"/>
      <c r="AT37" s="779"/>
      <c r="AU37" s="779"/>
      <c r="AV37" s="779"/>
      <c r="AW37" s="779"/>
      <c r="AX37" s="779"/>
      <c r="AY37" s="779"/>
      <c r="AZ37" s="779"/>
      <c r="BA37" s="779"/>
      <c r="BB37" s="779"/>
      <c r="BC37" s="779"/>
      <c r="BD37" s="779"/>
      <c r="BE37" s="779"/>
      <c r="BF37" s="779"/>
      <c r="BG37" s="779"/>
      <c r="BH37" s="779"/>
      <c r="BI37" s="779"/>
      <c r="BJ37" s="779"/>
      <c r="BK37" s="779"/>
      <c r="BL37" s="779"/>
      <c r="BM37" s="779"/>
      <c r="BN37" s="779"/>
      <c r="BO37" s="779"/>
      <c r="BP37" s="779"/>
      <c r="BQ37" s="779"/>
      <c r="BR37" s="779"/>
      <c r="BS37" s="779"/>
      <c r="BT37" s="779"/>
      <c r="BU37" s="779"/>
      <c r="BV37" s="779"/>
      <c r="BW37" s="779"/>
      <c r="BX37" s="779"/>
      <c r="BY37" s="779"/>
      <c r="BZ37" s="779"/>
      <c r="CA37" s="779"/>
      <c r="CB37" s="779"/>
      <c r="CC37" s="779"/>
    </row>
    <row r="38" spans="1:81">
      <c r="A38" s="52">
        <v>2060</v>
      </c>
      <c r="B38" s="776"/>
      <c r="C38" s="776" t="s">
        <v>333</v>
      </c>
      <c r="E38" s="776"/>
      <c r="F38" s="754">
        <v>4209</v>
      </c>
      <c r="G38" s="754">
        <v>1788</v>
      </c>
      <c r="H38" s="754">
        <v>5759</v>
      </c>
      <c r="I38" s="754">
        <v>1636</v>
      </c>
      <c r="J38" s="754">
        <v>886</v>
      </c>
      <c r="K38" s="754">
        <v>-3381</v>
      </c>
      <c r="L38" s="754">
        <v>5378</v>
      </c>
      <c r="M38" s="754"/>
      <c r="N38" s="754"/>
      <c r="O38" s="754">
        <v>5510</v>
      </c>
      <c r="P38" s="754">
        <v>9722</v>
      </c>
      <c r="Q38" s="754">
        <v>10731</v>
      </c>
      <c r="R38" s="754">
        <v>13280</v>
      </c>
      <c r="S38" s="754">
        <v>10994</v>
      </c>
      <c r="T38" s="759" t="e">
        <f>'3_Fin-Stat'!#REF!</f>
        <v>#REF!</v>
      </c>
      <c r="U38" s="759" t="e">
        <f>'3_Fin-Stat'!#REF!</f>
        <v>#REF!</v>
      </c>
      <c r="V38" s="759" t="e">
        <f>'3_Fin-Stat'!#REF!</f>
        <v>#REF!</v>
      </c>
      <c r="W38" s="759" t="e">
        <f>'3_Fin-Stat'!#REF!</f>
        <v>#REF!</v>
      </c>
      <c r="X38" s="759" t="e">
        <f>'3_Fin-Stat'!#REF!</f>
        <v>#REF!</v>
      </c>
      <c r="Y38" s="776"/>
      <c r="Z38" s="13"/>
      <c r="AA38" s="13"/>
      <c r="AB38" s="776"/>
      <c r="AC38" s="776"/>
      <c r="AD38" s="11"/>
      <c r="AE38" s="11"/>
      <c r="AF38" s="11"/>
      <c r="AG38" s="11"/>
      <c r="AH38" s="11"/>
      <c r="AI38" s="11"/>
      <c r="AJ38" s="11"/>
      <c r="AK38" s="11"/>
      <c r="AL38" s="11"/>
      <c r="AM38" s="11"/>
      <c r="AN38" s="11"/>
      <c r="AO38" s="779"/>
      <c r="AP38" s="779"/>
      <c r="AQ38" s="779"/>
      <c r="AR38" s="779"/>
      <c r="AS38" s="779"/>
      <c r="AT38" s="779"/>
      <c r="AU38" s="779"/>
      <c r="AV38" s="779"/>
      <c r="AW38" s="779"/>
      <c r="AX38" s="779"/>
      <c r="AY38" s="779"/>
      <c r="AZ38" s="779"/>
      <c r="BA38" s="779"/>
      <c r="BB38" s="779"/>
      <c r="BC38" s="779"/>
      <c r="BD38" s="779"/>
      <c r="BE38" s="779"/>
      <c r="BF38" s="779"/>
      <c r="BG38" s="779"/>
      <c r="BH38" s="779"/>
      <c r="BI38" s="779"/>
      <c r="BJ38" s="779"/>
      <c r="BK38" s="779"/>
      <c r="BL38" s="779"/>
      <c r="BM38" s="779"/>
      <c r="BN38" s="779"/>
      <c r="BO38" s="779"/>
      <c r="BP38" s="779"/>
      <c r="BQ38" s="779"/>
      <c r="BR38" s="779"/>
      <c r="BS38" s="779"/>
      <c r="BT38" s="779"/>
      <c r="BU38" s="779"/>
      <c r="BV38" s="779"/>
      <c r="BW38" s="779"/>
      <c r="BX38" s="779"/>
      <c r="BY38" s="779"/>
      <c r="BZ38" s="779"/>
      <c r="CA38" s="779"/>
      <c r="CB38" s="779"/>
      <c r="CC38" s="779"/>
    </row>
    <row r="39" spans="1:81">
      <c r="A39" s="52">
        <v>2050</v>
      </c>
      <c r="B39" s="776"/>
      <c r="C39" s="776" t="s">
        <v>334</v>
      </c>
      <c r="E39" s="776"/>
      <c r="F39" s="754"/>
      <c r="G39" s="754"/>
      <c r="H39" s="754"/>
      <c r="I39" s="754"/>
      <c r="J39" s="754"/>
      <c r="K39" s="754"/>
      <c r="L39" s="754"/>
      <c r="M39" s="754"/>
      <c r="N39" s="754"/>
      <c r="O39" s="754">
        <f>1940+138</f>
        <v>2078</v>
      </c>
      <c r="P39" s="763">
        <f>1372+194</f>
        <v>1566</v>
      </c>
      <c r="Q39" s="754">
        <f>736+15</f>
        <v>751</v>
      </c>
      <c r="R39" s="754">
        <v>94</v>
      </c>
      <c r="S39" s="754">
        <v>15</v>
      </c>
      <c r="T39" s="759" t="e">
        <f>'3_Fin-Stat'!#REF!</f>
        <v>#REF!</v>
      </c>
      <c r="U39" s="759" t="e">
        <f>'3_Fin-Stat'!#REF!</f>
        <v>#REF!</v>
      </c>
      <c r="V39" s="759" t="e">
        <f>'3_Fin-Stat'!#REF!</f>
        <v>#REF!</v>
      </c>
      <c r="W39" s="759" t="e">
        <f>'3_Fin-Stat'!#REF!</f>
        <v>#REF!</v>
      </c>
      <c r="X39" s="759" t="e">
        <f>'3_Fin-Stat'!#REF!</f>
        <v>#REF!</v>
      </c>
      <c r="Y39" s="776"/>
      <c r="Z39" s="13"/>
      <c r="AA39" s="13"/>
      <c r="AB39" s="776"/>
      <c r="AC39" s="776"/>
      <c r="AD39" s="11"/>
      <c r="AE39" s="11"/>
      <c r="AF39" s="11"/>
      <c r="AG39" s="11"/>
      <c r="AH39" s="11"/>
      <c r="AI39" s="11"/>
      <c r="AJ39" s="11"/>
      <c r="AK39" s="11"/>
      <c r="AL39" s="11"/>
      <c r="AM39" s="11"/>
      <c r="AN39" s="11"/>
      <c r="AO39" s="779"/>
      <c r="AP39" s="779"/>
      <c r="AQ39" s="779"/>
      <c r="AR39" s="779"/>
      <c r="AS39" s="779"/>
      <c r="AT39" s="779"/>
      <c r="AU39" s="779"/>
      <c r="AV39" s="779"/>
      <c r="AW39" s="779"/>
      <c r="AX39" s="779"/>
      <c r="AY39" s="779"/>
      <c r="AZ39" s="779"/>
      <c r="BA39" s="779"/>
      <c r="BB39" s="779"/>
      <c r="BC39" s="779"/>
      <c r="BD39" s="779"/>
      <c r="BE39" s="779"/>
      <c r="BF39" s="779"/>
      <c r="BG39" s="779"/>
      <c r="BH39" s="779"/>
      <c r="BI39" s="779"/>
      <c r="BJ39" s="779"/>
      <c r="BK39" s="779"/>
      <c r="BL39" s="779"/>
      <c r="BM39" s="779"/>
      <c r="BN39" s="779"/>
      <c r="BO39" s="779"/>
      <c r="BP39" s="779"/>
      <c r="BQ39" s="779"/>
      <c r="BR39" s="779"/>
      <c r="BS39" s="779"/>
      <c r="BT39" s="779"/>
      <c r="BU39" s="779"/>
      <c r="BV39" s="779"/>
      <c r="BW39" s="779"/>
      <c r="BX39" s="779"/>
      <c r="BY39" s="779"/>
      <c r="BZ39" s="779"/>
      <c r="CA39" s="779"/>
      <c r="CB39" s="779"/>
      <c r="CC39" s="779"/>
    </row>
    <row r="40" spans="1:81">
      <c r="A40" s="52">
        <v>2370</v>
      </c>
      <c r="B40" s="776"/>
      <c r="C40" s="13" t="s">
        <v>1076</v>
      </c>
      <c r="D40" s="13"/>
      <c r="E40" s="13"/>
      <c r="F40" s="754"/>
      <c r="G40" s="754"/>
      <c r="H40" s="754"/>
      <c r="I40" s="754"/>
      <c r="J40" s="754"/>
      <c r="K40" s="754"/>
      <c r="L40" s="754"/>
      <c r="M40" s="754">
        <f>'3_Fin-Stat'!M679</f>
        <v>0</v>
      </c>
      <c r="N40" s="754"/>
      <c r="O40" s="754">
        <f>'3_Fin-Stat'!O692</f>
        <v>0</v>
      </c>
      <c r="P40" s="754">
        <f>'3_Fin-Stat'!P692</f>
        <v>0</v>
      </c>
      <c r="Q40" s="754">
        <f>'3_Fin-Stat'!Q692</f>
        <v>0</v>
      </c>
      <c r="R40" s="754">
        <f>'3_Fin-Stat'!R692</f>
        <v>0</v>
      </c>
      <c r="S40" s="754">
        <f>'3_Fin-Stat'!S692</f>
        <v>0</v>
      </c>
      <c r="T40" s="754">
        <f>'3_Fin-Stat'!T692</f>
        <v>0</v>
      </c>
      <c r="U40" s="754">
        <f>'3_Fin-Stat'!U692</f>
        <v>0</v>
      </c>
      <c r="V40" s="754">
        <f>'3_Fin-Stat'!V692</f>
        <v>0</v>
      </c>
      <c r="W40" s="754">
        <f>'3_Fin-Stat'!W692</f>
        <v>0</v>
      </c>
      <c r="X40" s="754">
        <f>'3_Fin-Stat'!X692</f>
        <v>0</v>
      </c>
      <c r="Y40" s="776"/>
      <c r="Z40" s="13"/>
      <c r="AA40" s="13"/>
      <c r="AB40" s="776"/>
      <c r="AC40" s="776"/>
      <c r="AD40" s="11"/>
      <c r="AE40" s="11"/>
      <c r="AF40" s="11"/>
      <c r="AG40" s="11"/>
      <c r="AH40" s="11"/>
      <c r="AI40" s="11"/>
      <c r="AJ40" s="11"/>
      <c r="AK40" s="11"/>
      <c r="AL40" s="11"/>
      <c r="AM40" s="11"/>
      <c r="AN40" s="11"/>
      <c r="AO40" s="779"/>
      <c r="AP40" s="779"/>
      <c r="AQ40" s="779"/>
      <c r="AR40" s="779"/>
      <c r="AS40" s="779"/>
      <c r="AT40" s="779"/>
      <c r="AU40" s="779"/>
      <c r="AV40" s="779"/>
      <c r="AW40" s="779"/>
      <c r="AX40" s="779"/>
      <c r="AY40" s="779"/>
      <c r="AZ40" s="779"/>
      <c r="BA40" s="779"/>
      <c r="BB40" s="779"/>
      <c r="BC40" s="779"/>
      <c r="BD40" s="779"/>
      <c r="BE40" s="779"/>
      <c r="BF40" s="779"/>
      <c r="BG40" s="779"/>
      <c r="BH40" s="779"/>
      <c r="BI40" s="779"/>
      <c r="BJ40" s="779"/>
      <c r="BK40" s="779"/>
      <c r="BL40" s="779"/>
      <c r="BM40" s="779"/>
      <c r="BN40" s="779"/>
      <c r="BO40" s="779"/>
      <c r="BP40" s="779"/>
      <c r="BQ40" s="779"/>
      <c r="BR40" s="779"/>
      <c r="BS40" s="779"/>
      <c r="BT40" s="779"/>
      <c r="BU40" s="779"/>
      <c r="BV40" s="779"/>
      <c r="BW40" s="779"/>
      <c r="BX40" s="779"/>
      <c r="BY40" s="779"/>
      <c r="BZ40" s="779"/>
      <c r="CA40" s="779"/>
      <c r="CB40" s="779"/>
      <c r="CC40" s="779"/>
    </row>
    <row r="41" spans="1:81">
      <c r="A41" s="52"/>
      <c r="B41" s="776"/>
      <c r="C41" s="776" t="s">
        <v>335</v>
      </c>
      <c r="E41" s="776"/>
      <c r="F41" s="754">
        <v>489</v>
      </c>
      <c r="G41" s="754"/>
      <c r="H41" s="754"/>
      <c r="I41" s="754"/>
      <c r="J41" s="754"/>
      <c r="K41" s="754">
        <v>2545</v>
      </c>
      <c r="L41" s="754">
        <v>2257</v>
      </c>
      <c r="M41" s="754"/>
      <c r="N41" s="754"/>
      <c r="O41" s="754"/>
      <c r="P41" s="754">
        <v>28041</v>
      </c>
      <c r="Q41" s="754">
        <v>31633</v>
      </c>
      <c r="R41" s="754">
        <v>36608</v>
      </c>
      <c r="S41" s="754">
        <v>6000</v>
      </c>
      <c r="T41" s="759" t="e">
        <f>'3_Fin-Stat'!#REF!</f>
        <v>#REF!</v>
      </c>
      <c r="U41" s="759" t="e">
        <f>'3_Fin-Stat'!#REF!</f>
        <v>#REF!</v>
      </c>
      <c r="V41" s="759" t="e">
        <f>'3_Fin-Stat'!#REF!</f>
        <v>#REF!</v>
      </c>
      <c r="W41" s="759" t="e">
        <f>'3_Fin-Stat'!#REF!</f>
        <v>#REF!</v>
      </c>
      <c r="X41" s="759" t="e">
        <f>'3_Fin-Stat'!#REF!</f>
        <v>#REF!</v>
      </c>
      <c r="Y41" s="776"/>
      <c r="Z41" s="13"/>
      <c r="AA41" s="13"/>
      <c r="AB41" s="776"/>
      <c r="AC41" s="776"/>
      <c r="AD41" s="11"/>
      <c r="AE41" s="11"/>
      <c r="AF41" s="11"/>
      <c r="AG41" s="11"/>
      <c r="AH41" s="11"/>
      <c r="AI41" s="11"/>
      <c r="AJ41" s="11"/>
      <c r="AK41" s="11"/>
      <c r="AL41" s="11"/>
      <c r="AM41" s="11"/>
      <c r="AN41" s="11"/>
      <c r="AO41" s="779"/>
      <c r="AP41" s="779"/>
      <c r="AQ41" s="779"/>
      <c r="AR41" s="779"/>
      <c r="AS41" s="779"/>
      <c r="AT41" s="779"/>
      <c r="AU41" s="779"/>
      <c r="AV41" s="779"/>
      <c r="AW41" s="779"/>
      <c r="AX41" s="779"/>
      <c r="AY41" s="779"/>
      <c r="AZ41" s="779"/>
      <c r="BA41" s="779"/>
      <c r="BB41" s="779"/>
      <c r="BC41" s="779"/>
      <c r="BD41" s="779"/>
      <c r="BE41" s="779"/>
      <c r="BF41" s="779"/>
      <c r="BG41" s="779"/>
      <c r="BH41" s="779"/>
      <c r="BI41" s="779"/>
      <c r="BJ41" s="779"/>
      <c r="BK41" s="779"/>
      <c r="BL41" s="779"/>
      <c r="BM41" s="779"/>
      <c r="BN41" s="779"/>
      <c r="BO41" s="779"/>
      <c r="BP41" s="779"/>
      <c r="BQ41" s="779"/>
      <c r="BR41" s="779"/>
      <c r="BS41" s="779"/>
      <c r="BT41" s="779"/>
      <c r="BU41" s="779"/>
      <c r="BV41" s="779"/>
      <c r="BW41" s="779"/>
      <c r="BX41" s="779"/>
      <c r="BY41" s="779"/>
      <c r="BZ41" s="779"/>
      <c r="CA41" s="779"/>
      <c r="CB41" s="779"/>
      <c r="CC41" s="779"/>
    </row>
    <row r="42" spans="1:81">
      <c r="A42" s="52">
        <v>2090</v>
      </c>
      <c r="B42" s="776"/>
      <c r="C42" s="776" t="s">
        <v>337</v>
      </c>
      <c r="E42" s="776"/>
      <c r="F42" s="754">
        <v>99952</v>
      </c>
      <c r="G42" s="754">
        <v>29393</v>
      </c>
      <c r="H42" s="754">
        <v>142479</v>
      </c>
      <c r="I42" s="754"/>
      <c r="J42" s="754"/>
      <c r="K42" s="754"/>
      <c r="L42" s="754"/>
      <c r="M42" s="754"/>
      <c r="N42" s="754"/>
      <c r="O42" s="754"/>
      <c r="P42" s="756"/>
      <c r="Q42" s="754"/>
      <c r="R42" s="754"/>
      <c r="S42" s="754"/>
      <c r="T42" s="759"/>
      <c r="U42" s="759"/>
      <c r="V42" s="759"/>
      <c r="W42" s="759"/>
      <c r="X42" s="759"/>
      <c r="Y42" s="776"/>
      <c r="Z42" s="13"/>
      <c r="AA42" s="13"/>
      <c r="AB42" s="776"/>
      <c r="AC42" s="776"/>
      <c r="AD42" s="11"/>
      <c r="AE42" s="11"/>
      <c r="AF42" s="11"/>
      <c r="AG42" s="11"/>
      <c r="AH42" s="11"/>
      <c r="AI42" s="11"/>
      <c r="AJ42" s="11"/>
      <c r="AK42" s="11"/>
      <c r="AL42" s="11"/>
      <c r="AM42" s="11"/>
      <c r="AN42" s="11"/>
      <c r="AO42" s="779"/>
      <c r="AP42" s="779"/>
      <c r="AQ42" s="779"/>
      <c r="AR42" s="779"/>
      <c r="AS42" s="779"/>
      <c r="AT42" s="779"/>
      <c r="AU42" s="779"/>
      <c r="AV42" s="779"/>
      <c r="AW42" s="779"/>
      <c r="AX42" s="779"/>
      <c r="AY42" s="779"/>
      <c r="AZ42" s="779"/>
      <c r="BA42" s="779"/>
      <c r="BB42" s="779"/>
      <c r="BC42" s="779"/>
      <c r="BD42" s="779"/>
      <c r="BE42" s="779"/>
      <c r="BF42" s="779"/>
      <c r="BG42" s="779"/>
      <c r="BH42" s="779"/>
      <c r="BI42" s="779"/>
      <c r="BJ42" s="779"/>
      <c r="BK42" s="779"/>
      <c r="BL42" s="779"/>
      <c r="BM42" s="779"/>
      <c r="BN42" s="779"/>
      <c r="BO42" s="779"/>
      <c r="BP42" s="779"/>
      <c r="BQ42" s="779"/>
      <c r="BR42" s="779"/>
      <c r="BS42" s="779"/>
      <c r="BT42" s="779"/>
      <c r="BU42" s="779"/>
      <c r="BV42" s="779"/>
      <c r="BW42" s="779"/>
      <c r="BX42" s="779"/>
      <c r="BY42" s="779"/>
      <c r="BZ42" s="779"/>
      <c r="CA42" s="779"/>
      <c r="CB42" s="779"/>
      <c r="CC42" s="779"/>
    </row>
    <row r="43" spans="1:81">
      <c r="A43" s="52">
        <v>2000</v>
      </c>
      <c r="B43" s="776"/>
      <c r="C43" s="776" t="s">
        <v>338</v>
      </c>
      <c r="E43" s="776"/>
      <c r="F43" s="755">
        <v>49500</v>
      </c>
      <c r="G43" s="755">
        <v>23198</v>
      </c>
      <c r="H43" s="755">
        <v>378371</v>
      </c>
      <c r="I43" s="755">
        <v>184731</v>
      </c>
      <c r="J43" s="755">
        <v>723098</v>
      </c>
      <c r="K43" s="755">
        <v>158310</v>
      </c>
      <c r="L43" s="755">
        <v>370141</v>
      </c>
      <c r="M43" s="755"/>
      <c r="N43" s="755"/>
      <c r="O43" s="755">
        <v>149808</v>
      </c>
      <c r="P43" s="755">
        <v>123166</v>
      </c>
      <c r="Q43" s="755">
        <v>284417</v>
      </c>
      <c r="R43" s="755">
        <v>298167</v>
      </c>
      <c r="S43" s="755">
        <v>247919</v>
      </c>
      <c r="T43" s="761" t="e">
        <f>'3_Fin-Stat'!#REF!</f>
        <v>#REF!</v>
      </c>
      <c r="U43" s="761" t="e">
        <f>'3_Fin-Stat'!#REF!</f>
        <v>#REF!</v>
      </c>
      <c r="V43" s="761" t="e">
        <f>'3_Fin-Stat'!#REF!</f>
        <v>#REF!</v>
      </c>
      <c r="W43" s="761" t="e">
        <f>'3_Fin-Stat'!#REF!</f>
        <v>#REF!</v>
      </c>
      <c r="X43" s="761" t="e">
        <f>'3_Fin-Stat'!#REF!</f>
        <v>#REF!</v>
      </c>
      <c r="Y43" s="4"/>
      <c r="Z43" s="22"/>
      <c r="AA43" s="22"/>
      <c r="AB43" s="776"/>
      <c r="AC43" s="776"/>
      <c r="AD43" s="11"/>
      <c r="AE43" s="11"/>
      <c r="AF43" s="11"/>
      <c r="AG43" s="11"/>
      <c r="AH43" s="11"/>
      <c r="AI43" s="11"/>
      <c r="AJ43" s="11"/>
      <c r="AK43" s="11"/>
      <c r="AL43" s="11"/>
      <c r="AM43" s="11"/>
      <c r="AN43" s="11"/>
      <c r="AO43" s="779"/>
      <c r="AP43" s="779"/>
      <c r="AQ43" s="779"/>
      <c r="AR43" s="779"/>
      <c r="AS43" s="779"/>
      <c r="AT43" s="779"/>
      <c r="AU43" s="779"/>
      <c r="AV43" s="779"/>
      <c r="AW43" s="779"/>
      <c r="AX43" s="779"/>
      <c r="AY43" s="779"/>
      <c r="AZ43" s="779"/>
      <c r="BA43" s="779"/>
      <c r="BB43" s="779"/>
      <c r="BC43" s="779"/>
      <c r="BD43" s="779"/>
      <c r="BE43" s="779"/>
      <c r="BF43" s="779"/>
      <c r="BG43" s="779"/>
      <c r="BH43" s="779"/>
      <c r="BI43" s="779"/>
      <c r="BJ43" s="779"/>
      <c r="BK43" s="779"/>
      <c r="BL43" s="779"/>
      <c r="BM43" s="779"/>
      <c r="BN43" s="779"/>
      <c r="BO43" s="779"/>
      <c r="BP43" s="779"/>
      <c r="BQ43" s="779"/>
      <c r="BR43" s="779"/>
      <c r="BS43" s="779"/>
      <c r="BT43" s="779"/>
      <c r="BU43" s="779"/>
      <c r="BV43" s="779"/>
      <c r="BW43" s="779"/>
      <c r="BX43" s="779"/>
      <c r="BY43" s="779"/>
      <c r="BZ43" s="779"/>
      <c r="CA43" s="779"/>
      <c r="CB43" s="779"/>
      <c r="CC43" s="779"/>
    </row>
    <row r="44" spans="1:81">
      <c r="A44" s="52"/>
      <c r="B44" s="776"/>
      <c r="C44" s="776"/>
      <c r="E44" s="776"/>
      <c r="F44" s="754">
        <f t="shared" ref="F44:M44" si="40">SUM(F34:F43)</f>
        <v>227393</v>
      </c>
      <c r="G44" s="754">
        <f t="shared" si="40"/>
        <v>200027</v>
      </c>
      <c r="H44" s="754">
        <f t="shared" si="40"/>
        <v>785051</v>
      </c>
      <c r="I44" s="754">
        <f t="shared" si="40"/>
        <v>286719</v>
      </c>
      <c r="J44" s="754">
        <f t="shared" si="40"/>
        <v>928807</v>
      </c>
      <c r="K44" s="754">
        <f t="shared" si="40"/>
        <v>415546</v>
      </c>
      <c r="L44" s="754">
        <f t="shared" si="40"/>
        <v>671359</v>
      </c>
      <c r="M44" s="754">
        <f t="shared" si="40"/>
        <v>195221</v>
      </c>
      <c r="N44" s="754"/>
      <c r="O44" s="754">
        <f t="shared" ref="O44:X44" si="41">SUM(O34:O43)</f>
        <v>699450</v>
      </c>
      <c r="P44" s="754">
        <f t="shared" si="41"/>
        <v>323245</v>
      </c>
      <c r="Q44" s="754">
        <f t="shared" si="41"/>
        <v>518415</v>
      </c>
      <c r="R44" s="754">
        <f t="shared" si="41"/>
        <v>551873</v>
      </c>
      <c r="S44" s="754">
        <f t="shared" si="41"/>
        <v>540782</v>
      </c>
      <c r="T44" s="754" t="e">
        <f t="shared" si="41"/>
        <v>#REF!</v>
      </c>
      <c r="U44" s="754" t="e">
        <f t="shared" si="41"/>
        <v>#REF!</v>
      </c>
      <c r="V44" s="754" t="e">
        <f t="shared" si="41"/>
        <v>#REF!</v>
      </c>
      <c r="W44" s="754" t="e">
        <f t="shared" si="41"/>
        <v>#REF!</v>
      </c>
      <c r="X44" s="754" t="e">
        <f t="shared" si="41"/>
        <v>#REF!</v>
      </c>
      <c r="Y44" s="776"/>
      <c r="Z44" s="13"/>
      <c r="AA44" s="13"/>
      <c r="AB44" s="776"/>
      <c r="AC44" s="776"/>
      <c r="AD44" s="11"/>
      <c r="AE44" s="11"/>
      <c r="AF44" s="11"/>
      <c r="AG44" s="11"/>
      <c r="AH44" s="11"/>
      <c r="AI44" s="11"/>
      <c r="AJ44" s="11"/>
      <c r="AK44" s="11"/>
      <c r="AL44" s="11"/>
      <c r="AM44" s="11"/>
      <c r="AN44" s="11"/>
      <c r="AO44" s="779"/>
      <c r="AP44" s="779"/>
      <c r="AQ44" s="779"/>
      <c r="AR44" s="779"/>
      <c r="AS44" s="779"/>
      <c r="AT44" s="779"/>
      <c r="AU44" s="779"/>
      <c r="AV44" s="779"/>
      <c r="AW44" s="779"/>
      <c r="AX44" s="779"/>
      <c r="AY44" s="779"/>
      <c r="AZ44" s="779"/>
      <c r="BA44" s="779"/>
      <c r="BB44" s="779"/>
      <c r="BC44" s="779"/>
      <c r="BD44" s="779"/>
      <c r="BE44" s="779"/>
      <c r="BF44" s="779"/>
      <c r="BG44" s="779"/>
      <c r="BH44" s="779"/>
      <c r="BI44" s="779"/>
      <c r="BJ44" s="779"/>
      <c r="BK44" s="779"/>
      <c r="BL44" s="779"/>
      <c r="BM44" s="779"/>
      <c r="BN44" s="779"/>
      <c r="BO44" s="779"/>
      <c r="BP44" s="779"/>
      <c r="BQ44" s="779"/>
      <c r="BR44" s="779"/>
      <c r="BS44" s="779"/>
      <c r="BT44" s="779"/>
      <c r="BU44" s="779"/>
      <c r="BV44" s="779"/>
      <c r="BW44" s="779"/>
      <c r="BX44" s="779"/>
      <c r="BY44" s="779"/>
      <c r="BZ44" s="779"/>
      <c r="CA44" s="779"/>
      <c r="CB44" s="779"/>
      <c r="CC44" s="779"/>
    </row>
    <row r="45" spans="1:81">
      <c r="A45" s="52">
        <v>2710</v>
      </c>
      <c r="B45" s="776"/>
      <c r="C45" s="776" t="s">
        <v>544</v>
      </c>
      <c r="E45" s="776"/>
      <c r="F45" s="754" t="e">
        <f>+'3_Fin-Stat'!#REF!</f>
        <v>#REF!</v>
      </c>
      <c r="G45" s="754" t="e">
        <f>+'3_Fin-Stat'!#REF!</f>
        <v>#REF!</v>
      </c>
      <c r="H45" s="754" t="e">
        <f>+'3_Fin-Stat'!#REF!</f>
        <v>#REF!</v>
      </c>
      <c r="I45" s="754" t="e">
        <f>+'3_Fin-Stat'!#REF!</f>
        <v>#REF!</v>
      </c>
      <c r="J45" s="754" t="e">
        <f>+'3_Fin-Stat'!#REF!</f>
        <v>#REF!</v>
      </c>
      <c r="K45" s="754" t="e">
        <f>+'3_Fin-Stat'!#REF!</f>
        <v>#REF!</v>
      </c>
      <c r="L45" s="754" t="e">
        <f>+'3_Fin-Stat'!#REF!</f>
        <v>#REF!</v>
      </c>
      <c r="M45" s="754" t="e">
        <f>+'3_Fin-Stat'!#REF!</f>
        <v>#REF!</v>
      </c>
      <c r="N45" s="754"/>
      <c r="O45" s="754" t="e">
        <f>+'3_Fin-Stat'!#REF!</f>
        <v>#REF!</v>
      </c>
      <c r="P45" s="754" t="e">
        <f>+'3_Fin-Stat'!#REF!</f>
        <v>#REF!</v>
      </c>
      <c r="Q45" s="754" t="e">
        <f>+'3_Fin-Stat'!#REF!</f>
        <v>#REF!</v>
      </c>
      <c r="R45" s="754" t="e">
        <f>+'3_Fin-Stat'!#REF!</f>
        <v>#REF!</v>
      </c>
      <c r="S45" s="754" t="e">
        <f>+'3_Fin-Stat'!#REF!</f>
        <v>#REF!</v>
      </c>
      <c r="T45" s="754" t="e">
        <f>+'3_Fin-Stat'!#REF!</f>
        <v>#REF!</v>
      </c>
      <c r="U45" s="754" t="e">
        <f>+'3_Fin-Stat'!#REF!</f>
        <v>#REF!</v>
      </c>
      <c r="V45" s="754" t="e">
        <f>+'3_Fin-Stat'!#REF!</f>
        <v>#REF!</v>
      </c>
      <c r="W45" s="754" t="e">
        <f>+'3_Fin-Stat'!#REF!</f>
        <v>#REF!</v>
      </c>
      <c r="X45" s="754" t="e">
        <f>+'3_Fin-Stat'!#REF!</f>
        <v>#REF!</v>
      </c>
      <c r="Y45" s="776"/>
      <c r="Z45" s="13"/>
      <c r="AA45" s="13"/>
      <c r="AB45" s="776"/>
      <c r="AC45" s="776"/>
      <c r="AD45" s="11"/>
      <c r="AE45" s="11"/>
      <c r="AF45" s="11"/>
      <c r="AG45" s="11"/>
      <c r="AH45" s="11"/>
      <c r="AI45" s="11"/>
      <c r="AJ45" s="11"/>
      <c r="AK45" s="11"/>
      <c r="AL45" s="11"/>
      <c r="AM45" s="11"/>
      <c r="AN45" s="11"/>
      <c r="AO45" s="779"/>
      <c r="AP45" s="779"/>
      <c r="AQ45" s="779"/>
      <c r="AR45" s="779"/>
      <c r="AS45" s="779"/>
      <c r="AT45" s="779"/>
      <c r="AU45" s="779"/>
      <c r="AV45" s="779"/>
      <c r="AW45" s="779"/>
      <c r="AX45" s="779"/>
      <c r="AY45" s="779"/>
      <c r="AZ45" s="779"/>
      <c r="BA45" s="779"/>
      <c r="BB45" s="779"/>
      <c r="BC45" s="779"/>
      <c r="BD45" s="779"/>
      <c r="BE45" s="779"/>
      <c r="BF45" s="779"/>
      <c r="BG45" s="779"/>
      <c r="BH45" s="779"/>
      <c r="BI45" s="779"/>
      <c r="BJ45" s="779"/>
      <c r="BK45" s="779"/>
      <c r="BL45" s="779"/>
      <c r="BM45" s="779"/>
      <c r="BN45" s="779"/>
      <c r="BO45" s="779"/>
      <c r="BP45" s="779"/>
      <c r="BQ45" s="779"/>
      <c r="BR45" s="779"/>
      <c r="BS45" s="779"/>
      <c r="BT45" s="779"/>
      <c r="BU45" s="779"/>
      <c r="BV45" s="779"/>
      <c r="BW45" s="779"/>
      <c r="BX45" s="779"/>
      <c r="BY45" s="779"/>
      <c r="BZ45" s="779"/>
      <c r="CA45" s="779"/>
      <c r="CB45" s="779"/>
      <c r="CC45" s="779"/>
    </row>
    <row r="46" spans="1:81">
      <c r="A46" s="52">
        <v>2710</v>
      </c>
      <c r="B46" s="776"/>
      <c r="C46" s="776" t="s">
        <v>1077</v>
      </c>
      <c r="E46" s="776"/>
      <c r="F46" s="754">
        <f>'3_Fin-Stat'!F610</f>
        <v>0</v>
      </c>
      <c r="G46" s="754">
        <f>'3_Fin-Stat'!G610</f>
        <v>0</v>
      </c>
      <c r="H46" s="754">
        <f>'3_Fin-Stat'!H610</f>
        <v>0</v>
      </c>
      <c r="I46" s="754">
        <f>'3_Fin-Stat'!I610</f>
        <v>0</v>
      </c>
      <c r="J46" s="754">
        <f>'3_Fin-Stat'!J610</f>
        <v>0</v>
      </c>
      <c r="K46" s="754">
        <f>'3_Fin-Stat'!K610</f>
        <v>0</v>
      </c>
      <c r="L46" s="754">
        <f>'3_Fin-Stat'!L610</f>
        <v>0</v>
      </c>
      <c r="M46" s="754">
        <f>'3_Fin-Stat'!M610</f>
        <v>0</v>
      </c>
      <c r="N46" s="754"/>
      <c r="O46" s="754">
        <f>'3_Fin-Stat'!O610</f>
        <v>0</v>
      </c>
      <c r="P46" s="754">
        <f>'3_Fin-Stat'!P610</f>
        <v>0</v>
      </c>
      <c r="Q46" s="754">
        <f>'3_Fin-Stat'!Q610</f>
        <v>0</v>
      </c>
      <c r="R46" s="754">
        <f>'3_Fin-Stat'!R610</f>
        <v>0</v>
      </c>
      <c r="S46" s="754">
        <f>'3_Fin-Stat'!S610</f>
        <v>0</v>
      </c>
      <c r="T46" s="754">
        <f>'3_Fin-Stat'!T610</f>
        <v>0</v>
      </c>
      <c r="U46" s="754">
        <f>'3_Fin-Stat'!U610</f>
        <v>0</v>
      </c>
      <c r="V46" s="754">
        <f>'3_Fin-Stat'!V610</f>
        <v>0</v>
      </c>
      <c r="W46" s="754">
        <f>'3_Fin-Stat'!W610</f>
        <v>0</v>
      </c>
      <c r="X46" s="754">
        <f>'3_Fin-Stat'!X610</f>
        <v>0</v>
      </c>
      <c r="Y46" s="776"/>
      <c r="Z46" s="776"/>
      <c r="AA46" s="776"/>
      <c r="AB46" s="776"/>
      <c r="AC46" s="776"/>
      <c r="AD46" s="11"/>
      <c r="AE46" s="11"/>
      <c r="AF46" s="11"/>
      <c r="AG46" s="11"/>
      <c r="AH46" s="11"/>
      <c r="AI46" s="11"/>
      <c r="AJ46" s="11"/>
      <c r="AK46" s="11"/>
      <c r="AL46" s="11"/>
      <c r="AM46" s="11"/>
      <c r="AN46" s="11"/>
      <c r="AO46" s="779"/>
      <c r="AP46" s="779"/>
      <c r="AQ46" s="779"/>
      <c r="AR46" s="779"/>
      <c r="AS46" s="779"/>
      <c r="AT46" s="779"/>
      <c r="AU46" s="779"/>
      <c r="AV46" s="779"/>
      <c r="AW46" s="779"/>
      <c r="AX46" s="779"/>
      <c r="AY46" s="779"/>
      <c r="AZ46" s="779"/>
      <c r="BA46" s="779"/>
      <c r="BB46" s="779"/>
      <c r="BC46" s="779"/>
      <c r="BD46" s="779"/>
      <c r="BE46" s="779"/>
      <c r="BF46" s="779"/>
      <c r="BG46" s="779"/>
      <c r="BH46" s="779"/>
      <c r="BI46" s="779"/>
      <c r="BJ46" s="779"/>
      <c r="BK46" s="779"/>
      <c r="BL46" s="779"/>
      <c r="BM46" s="779"/>
      <c r="BN46" s="779"/>
      <c r="BO46" s="779"/>
      <c r="BP46" s="779"/>
      <c r="BQ46" s="779"/>
      <c r="BR46" s="779"/>
      <c r="BS46" s="779"/>
      <c r="BT46" s="779"/>
      <c r="BU46" s="779"/>
      <c r="BV46" s="779"/>
      <c r="BW46" s="779"/>
      <c r="BX46" s="779"/>
      <c r="BY46" s="779"/>
      <c r="BZ46" s="779"/>
      <c r="CA46" s="779"/>
      <c r="CB46" s="779"/>
      <c r="CC46" s="779"/>
    </row>
    <row r="47" spans="1:81">
      <c r="A47" s="52">
        <v>2710</v>
      </c>
      <c r="B47" s="776"/>
      <c r="C47" s="776" t="s">
        <v>1078</v>
      </c>
      <c r="E47" s="776"/>
      <c r="F47" s="754"/>
      <c r="G47" s="754"/>
      <c r="H47" s="754"/>
      <c r="I47" s="754"/>
      <c r="J47" s="754"/>
      <c r="K47" s="754"/>
      <c r="L47" s="754"/>
      <c r="M47" s="754"/>
      <c r="N47" s="754"/>
      <c r="O47" s="754" t="e">
        <f>#REF!</f>
        <v>#REF!</v>
      </c>
      <c r="P47" s="754" t="e">
        <f t="shared" ref="P47:X47" si="42">O47</f>
        <v>#REF!</v>
      </c>
      <c r="Q47" s="754" t="e">
        <f t="shared" si="42"/>
        <v>#REF!</v>
      </c>
      <c r="R47" s="754" t="e">
        <f t="shared" si="42"/>
        <v>#REF!</v>
      </c>
      <c r="S47" s="754" t="e">
        <f t="shared" si="42"/>
        <v>#REF!</v>
      </c>
      <c r="T47" s="754" t="e">
        <f t="shared" si="42"/>
        <v>#REF!</v>
      </c>
      <c r="U47" s="754" t="e">
        <f t="shared" si="42"/>
        <v>#REF!</v>
      </c>
      <c r="V47" s="754" t="e">
        <f t="shared" si="42"/>
        <v>#REF!</v>
      </c>
      <c r="W47" s="754" t="e">
        <f t="shared" si="42"/>
        <v>#REF!</v>
      </c>
      <c r="X47" s="754" t="e">
        <f t="shared" si="42"/>
        <v>#REF!</v>
      </c>
      <c r="Y47" s="776"/>
      <c r="Z47" s="13"/>
      <c r="AA47" s="13"/>
      <c r="AB47" s="776"/>
      <c r="AC47" s="776"/>
      <c r="AD47" s="11"/>
      <c r="AE47" s="11"/>
      <c r="AF47" s="11"/>
      <c r="AG47" s="11"/>
      <c r="AH47" s="11"/>
      <c r="AI47" s="11"/>
      <c r="AJ47" s="11"/>
      <c r="AK47" s="11"/>
      <c r="AL47" s="11"/>
      <c r="AM47" s="11"/>
      <c r="AN47" s="11"/>
      <c r="AO47" s="779"/>
      <c r="AP47" s="779"/>
      <c r="AQ47" s="779"/>
      <c r="AR47" s="779"/>
      <c r="AS47" s="779"/>
      <c r="AT47" s="779"/>
      <c r="AU47" s="779"/>
      <c r="AV47" s="779"/>
      <c r="AW47" s="779"/>
      <c r="AX47" s="779"/>
      <c r="AY47" s="779"/>
      <c r="AZ47" s="779"/>
      <c r="BA47" s="779"/>
      <c r="BB47" s="779"/>
      <c r="BC47" s="779"/>
      <c r="BD47" s="779"/>
      <c r="BE47" s="779"/>
      <c r="BF47" s="779"/>
      <c r="BG47" s="779"/>
      <c r="BH47" s="779"/>
      <c r="BI47" s="779"/>
      <c r="BJ47" s="779"/>
      <c r="BK47" s="779"/>
      <c r="BL47" s="779"/>
      <c r="BM47" s="779"/>
      <c r="BN47" s="779"/>
      <c r="BO47" s="779"/>
      <c r="BP47" s="779"/>
      <c r="BQ47" s="779"/>
      <c r="BR47" s="779"/>
      <c r="BS47" s="779"/>
      <c r="BT47" s="779"/>
      <c r="BU47" s="779"/>
      <c r="BV47" s="779"/>
      <c r="BW47" s="779"/>
      <c r="BX47" s="779"/>
      <c r="BY47" s="779"/>
      <c r="BZ47" s="779"/>
      <c r="CA47" s="779"/>
      <c r="CB47" s="779"/>
      <c r="CC47" s="779"/>
    </row>
    <row r="48" spans="1:81">
      <c r="A48" s="52">
        <v>2710</v>
      </c>
      <c r="B48" s="776"/>
      <c r="C48" s="776" t="s">
        <v>1079</v>
      </c>
      <c r="E48" s="776"/>
      <c r="F48" s="754"/>
      <c r="G48" s="754"/>
      <c r="H48" s="754"/>
      <c r="I48" s="754"/>
      <c r="J48" s="754"/>
      <c r="K48" s="754"/>
      <c r="L48" s="754"/>
      <c r="M48" s="754"/>
      <c r="N48" s="754"/>
      <c r="O48" s="754"/>
      <c r="P48" s="754"/>
      <c r="Q48" s="754">
        <f>-'3_Fin-Stat'!Q548</f>
        <v>0</v>
      </c>
      <c r="R48" s="754">
        <f t="shared" ref="R48:X48" si="43">Q48</f>
        <v>0</v>
      </c>
      <c r="S48" s="754">
        <f t="shared" si="43"/>
        <v>0</v>
      </c>
      <c r="T48" s="754">
        <f t="shared" si="43"/>
        <v>0</v>
      </c>
      <c r="U48" s="754">
        <f t="shared" si="43"/>
        <v>0</v>
      </c>
      <c r="V48" s="754">
        <f t="shared" si="43"/>
        <v>0</v>
      </c>
      <c r="W48" s="754">
        <f t="shared" si="43"/>
        <v>0</v>
      </c>
      <c r="X48" s="754">
        <f t="shared" si="43"/>
        <v>0</v>
      </c>
      <c r="Y48" s="776"/>
      <c r="Z48" s="13"/>
      <c r="AA48" s="13"/>
      <c r="AB48" s="776"/>
      <c r="AC48" s="776"/>
      <c r="AD48" s="11"/>
      <c r="AE48" s="11"/>
      <c r="AF48" s="11"/>
      <c r="AG48" s="11"/>
      <c r="AH48" s="11"/>
      <c r="AI48" s="11"/>
      <c r="AJ48" s="11"/>
      <c r="AK48" s="11"/>
      <c r="AL48" s="11"/>
      <c r="AM48" s="11"/>
      <c r="AN48" s="11"/>
      <c r="AO48" s="779"/>
      <c r="AP48" s="779"/>
      <c r="AQ48" s="779"/>
      <c r="AR48" s="779"/>
      <c r="AS48" s="779"/>
      <c r="AT48" s="779"/>
      <c r="AU48" s="779"/>
      <c r="AV48" s="779"/>
      <c r="AW48" s="779"/>
      <c r="AX48" s="779"/>
      <c r="AY48" s="779"/>
      <c r="AZ48" s="779"/>
      <c r="BA48" s="779"/>
      <c r="BB48" s="779"/>
      <c r="BC48" s="779"/>
      <c r="BD48" s="779"/>
      <c r="BE48" s="779"/>
      <c r="BF48" s="779"/>
      <c r="BG48" s="779"/>
      <c r="BH48" s="779"/>
      <c r="BI48" s="779"/>
      <c r="BJ48" s="779"/>
      <c r="BK48" s="779"/>
      <c r="BL48" s="779"/>
      <c r="BM48" s="779"/>
      <c r="BN48" s="779"/>
      <c r="BO48" s="779"/>
      <c r="BP48" s="779"/>
      <c r="BQ48" s="779"/>
      <c r="BR48" s="779"/>
      <c r="BS48" s="779"/>
      <c r="BT48" s="779"/>
      <c r="BU48" s="779"/>
      <c r="BV48" s="779"/>
      <c r="BW48" s="779"/>
      <c r="BX48" s="779"/>
      <c r="BY48" s="779"/>
      <c r="BZ48" s="779"/>
      <c r="CA48" s="779"/>
      <c r="CB48" s="779"/>
      <c r="CC48" s="779"/>
    </row>
    <row r="49" spans="1:81">
      <c r="A49" s="52">
        <v>2710</v>
      </c>
      <c r="B49" s="776"/>
      <c r="C49" s="776" t="s">
        <v>1080</v>
      </c>
      <c r="E49" s="776"/>
      <c r="F49" s="754"/>
      <c r="G49" s="754"/>
      <c r="H49" s="754"/>
      <c r="I49" s="754"/>
      <c r="J49" s="754"/>
      <c r="K49" s="754"/>
      <c r="L49" s="754"/>
      <c r="M49" s="754"/>
      <c r="N49" s="754"/>
      <c r="O49" s="754"/>
      <c r="P49" s="754"/>
      <c r="Q49" s="754"/>
      <c r="R49" s="754">
        <f>-'3_Fin-Stat'!R548</f>
        <v>0</v>
      </c>
      <c r="S49" s="754">
        <f t="shared" ref="S49:X49" si="44">R49</f>
        <v>0</v>
      </c>
      <c r="T49" s="754">
        <f t="shared" si="44"/>
        <v>0</v>
      </c>
      <c r="U49" s="754">
        <f t="shared" si="44"/>
        <v>0</v>
      </c>
      <c r="V49" s="754">
        <f t="shared" si="44"/>
        <v>0</v>
      </c>
      <c r="W49" s="754">
        <f t="shared" si="44"/>
        <v>0</v>
      </c>
      <c r="X49" s="754">
        <f t="shared" si="44"/>
        <v>0</v>
      </c>
      <c r="Y49" s="776"/>
      <c r="Z49" s="13"/>
      <c r="AA49" s="13"/>
      <c r="AB49" s="776"/>
      <c r="AC49" s="776"/>
      <c r="AD49" s="11"/>
      <c r="AE49" s="11"/>
      <c r="AF49" s="11"/>
      <c r="AG49" s="11"/>
      <c r="AH49" s="11"/>
      <c r="AI49" s="11"/>
      <c r="AJ49" s="11"/>
      <c r="AK49" s="11"/>
      <c r="AL49" s="11"/>
      <c r="AM49" s="11"/>
      <c r="AN49" s="11"/>
      <c r="AO49" s="779"/>
      <c r="AP49" s="779"/>
      <c r="AQ49" s="779"/>
      <c r="AR49" s="779"/>
      <c r="AS49" s="779"/>
      <c r="AT49" s="779"/>
      <c r="AU49" s="779"/>
      <c r="AV49" s="779"/>
      <c r="AW49" s="779"/>
      <c r="AX49" s="779"/>
      <c r="AY49" s="779"/>
      <c r="AZ49" s="779"/>
      <c r="BA49" s="779"/>
      <c r="BB49" s="779"/>
      <c r="BC49" s="779"/>
      <c r="BD49" s="779"/>
      <c r="BE49" s="779"/>
      <c r="BF49" s="779"/>
      <c r="BG49" s="779"/>
      <c r="BH49" s="779"/>
      <c r="BI49" s="779"/>
      <c r="BJ49" s="779"/>
      <c r="BK49" s="779"/>
      <c r="BL49" s="779"/>
      <c r="BM49" s="779"/>
      <c r="BN49" s="779"/>
      <c r="BO49" s="779"/>
      <c r="BP49" s="779"/>
      <c r="BQ49" s="779"/>
      <c r="BR49" s="779"/>
      <c r="BS49" s="779"/>
      <c r="BT49" s="779"/>
      <c r="BU49" s="779"/>
      <c r="BV49" s="779"/>
      <c r="BW49" s="779"/>
      <c r="BX49" s="779"/>
      <c r="BY49" s="779"/>
      <c r="BZ49" s="779"/>
      <c r="CA49" s="779"/>
      <c r="CB49" s="779"/>
      <c r="CC49" s="779"/>
    </row>
    <row r="50" spans="1:81">
      <c r="A50" s="52"/>
      <c r="B50" s="776"/>
      <c r="C50" s="776" t="s">
        <v>1197</v>
      </c>
      <c r="E50" s="776"/>
      <c r="F50" s="754"/>
      <c r="G50" s="754"/>
      <c r="H50" s="754"/>
      <c r="I50" s="754"/>
      <c r="J50" s="754"/>
      <c r="K50" s="754"/>
      <c r="L50" s="754"/>
      <c r="M50" s="754"/>
      <c r="N50" s="754"/>
      <c r="O50" s="754"/>
      <c r="P50" s="754"/>
      <c r="Q50" s="754"/>
      <c r="R50" s="754"/>
      <c r="S50" s="754">
        <f>-'3_Fin-Stat'!S548</f>
        <v>0</v>
      </c>
      <c r="T50" s="754">
        <f>S50</f>
        <v>0</v>
      </c>
      <c r="U50" s="754">
        <f>T50</f>
        <v>0</v>
      </c>
      <c r="V50" s="754">
        <f>U50</f>
        <v>0</v>
      </c>
      <c r="W50" s="754">
        <f>V50</f>
        <v>0</v>
      </c>
      <c r="X50" s="754">
        <f>W50</f>
        <v>0</v>
      </c>
      <c r="Y50" s="776"/>
      <c r="Z50" s="13"/>
      <c r="AA50" s="13"/>
      <c r="AB50" s="776"/>
      <c r="AC50" s="776"/>
      <c r="AD50" s="11"/>
      <c r="AE50" s="11"/>
      <c r="AF50" s="11"/>
      <c r="AG50" s="11"/>
      <c r="AH50" s="11"/>
      <c r="AI50" s="11"/>
      <c r="AJ50" s="11"/>
      <c r="AK50" s="11"/>
      <c r="AL50" s="11"/>
      <c r="AM50" s="11"/>
      <c r="AN50" s="11"/>
      <c r="AO50" s="779"/>
      <c r="AP50" s="779"/>
      <c r="AQ50" s="779"/>
      <c r="AR50" s="779"/>
      <c r="AS50" s="779"/>
      <c r="AT50" s="779"/>
      <c r="AU50" s="779"/>
      <c r="AV50" s="779"/>
      <c r="AW50" s="779"/>
      <c r="AX50" s="779"/>
      <c r="AY50" s="779"/>
      <c r="AZ50" s="779"/>
      <c r="BA50" s="779"/>
      <c r="BB50" s="779"/>
      <c r="BC50" s="779"/>
      <c r="BD50" s="779"/>
      <c r="BE50" s="779"/>
      <c r="BF50" s="779"/>
      <c r="BG50" s="779"/>
      <c r="BH50" s="779"/>
      <c r="BI50" s="779"/>
      <c r="BJ50" s="779"/>
      <c r="BK50" s="779"/>
      <c r="BL50" s="779"/>
      <c r="BM50" s="779"/>
      <c r="BN50" s="779"/>
      <c r="BO50" s="779"/>
      <c r="BP50" s="779"/>
      <c r="BQ50" s="779"/>
      <c r="BR50" s="779"/>
      <c r="BS50" s="779"/>
      <c r="BT50" s="779"/>
      <c r="BU50" s="779"/>
      <c r="BV50" s="779"/>
      <c r="BW50" s="779"/>
      <c r="BX50" s="779"/>
      <c r="BY50" s="779"/>
      <c r="BZ50" s="779"/>
      <c r="CA50" s="779"/>
      <c r="CB50" s="779"/>
      <c r="CC50" s="779"/>
    </row>
    <row r="51" spans="1:81">
      <c r="A51" s="52"/>
      <c r="B51" s="776"/>
      <c r="C51" s="776" t="s">
        <v>1198</v>
      </c>
      <c r="E51" s="776"/>
      <c r="F51" s="754"/>
      <c r="G51" s="754"/>
      <c r="H51" s="754"/>
      <c r="I51" s="754"/>
      <c r="J51" s="754"/>
      <c r="K51" s="754"/>
      <c r="L51" s="754"/>
      <c r="M51" s="754"/>
      <c r="N51" s="754"/>
      <c r="O51" s="754"/>
      <c r="P51" s="754"/>
      <c r="Q51" s="754"/>
      <c r="R51" s="754"/>
      <c r="S51" s="754"/>
      <c r="T51" s="754">
        <f>-'3_Fin-Stat'!T548</f>
        <v>0</v>
      </c>
      <c r="U51" s="754">
        <f>-'3_Fin-Stat'!U548</f>
        <v>0</v>
      </c>
      <c r="V51" s="754">
        <f>-'3_Fin-Stat'!V548</f>
        <v>0</v>
      </c>
      <c r="W51" s="754">
        <f>-'3_Fin-Stat'!W548</f>
        <v>0</v>
      </c>
      <c r="X51" s="754">
        <f>-'3_Fin-Stat'!X548</f>
        <v>0</v>
      </c>
      <c r="Y51" s="776"/>
      <c r="Z51" s="13"/>
      <c r="AA51" s="13"/>
      <c r="AB51" s="776"/>
      <c r="AC51" s="776"/>
      <c r="AD51" s="11"/>
      <c r="AE51" s="11"/>
      <c r="AF51" s="11"/>
      <c r="AG51" s="11"/>
      <c r="AH51" s="11"/>
      <c r="AI51" s="11"/>
      <c r="AJ51" s="11"/>
      <c r="AK51" s="11"/>
      <c r="AL51" s="11"/>
      <c r="AM51" s="11"/>
      <c r="AN51" s="11"/>
      <c r="AO51" s="779"/>
      <c r="AP51" s="779"/>
      <c r="AQ51" s="779"/>
      <c r="AR51" s="779"/>
      <c r="AS51" s="779"/>
      <c r="AT51" s="779"/>
      <c r="AU51" s="779"/>
      <c r="AV51" s="779"/>
      <c r="AW51" s="779"/>
      <c r="AX51" s="779"/>
      <c r="AY51" s="779"/>
      <c r="AZ51" s="779"/>
      <c r="BA51" s="779"/>
      <c r="BB51" s="779"/>
      <c r="BC51" s="779"/>
      <c r="BD51" s="779"/>
      <c r="BE51" s="779"/>
      <c r="BF51" s="779"/>
      <c r="BG51" s="779"/>
      <c r="BH51" s="779"/>
      <c r="BI51" s="779"/>
      <c r="BJ51" s="779"/>
      <c r="BK51" s="779"/>
      <c r="BL51" s="779"/>
      <c r="BM51" s="779"/>
      <c r="BN51" s="779"/>
      <c r="BO51" s="779"/>
      <c r="BP51" s="779"/>
      <c r="BQ51" s="779"/>
      <c r="BR51" s="779"/>
      <c r="BS51" s="779"/>
      <c r="BT51" s="779"/>
      <c r="BU51" s="779"/>
      <c r="BV51" s="779"/>
      <c r="BW51" s="779"/>
      <c r="BX51" s="779"/>
      <c r="BY51" s="779"/>
      <c r="BZ51" s="779"/>
      <c r="CA51" s="779"/>
      <c r="CB51" s="779"/>
      <c r="CC51" s="779"/>
    </row>
    <row r="52" spans="1:81">
      <c r="A52" s="52"/>
      <c r="B52" s="776"/>
      <c r="C52" s="776" t="s">
        <v>1081</v>
      </c>
      <c r="E52" s="776"/>
      <c r="F52" s="754"/>
      <c r="G52" s="754"/>
      <c r="H52" s="754"/>
      <c r="I52" s="754"/>
      <c r="J52" s="754"/>
      <c r="K52" s="754"/>
      <c r="L52" s="754"/>
      <c r="M52" s="754"/>
      <c r="N52" s="754"/>
      <c r="O52" s="754"/>
      <c r="P52" s="754"/>
      <c r="Q52" s="754"/>
      <c r="R52" s="754"/>
      <c r="S52" s="754"/>
      <c r="T52" s="754"/>
      <c r="U52" s="754"/>
      <c r="V52" s="754"/>
      <c r="W52" s="754"/>
      <c r="X52" s="754"/>
      <c r="Y52" s="776"/>
      <c r="Z52" s="13"/>
      <c r="AA52" s="13"/>
      <c r="AB52" s="776"/>
      <c r="AC52" s="776"/>
      <c r="AD52" s="11"/>
      <c r="AE52" s="11"/>
      <c r="AF52" s="11"/>
      <c r="AG52" s="11"/>
      <c r="AH52" s="11"/>
      <c r="AI52" s="11"/>
      <c r="AJ52" s="11"/>
      <c r="AK52" s="11"/>
      <c r="AL52" s="11"/>
      <c r="AM52" s="11"/>
      <c r="AN52" s="11"/>
      <c r="AO52" s="779"/>
      <c r="AP52" s="779"/>
      <c r="AQ52" s="779"/>
      <c r="AR52" s="779"/>
      <c r="AS52" s="779"/>
      <c r="AT52" s="779"/>
      <c r="AU52" s="779"/>
      <c r="AV52" s="779"/>
      <c r="AW52" s="779"/>
      <c r="AX52" s="779"/>
      <c r="AY52" s="779"/>
      <c r="AZ52" s="779"/>
      <c r="BA52" s="779"/>
      <c r="BB52" s="779"/>
      <c r="BC52" s="779"/>
      <c r="BD52" s="779"/>
      <c r="BE52" s="779"/>
      <c r="BF52" s="779"/>
      <c r="BG52" s="779"/>
      <c r="BH52" s="779"/>
      <c r="BI52" s="779"/>
      <c r="BJ52" s="779"/>
      <c r="BK52" s="779"/>
      <c r="BL52" s="779"/>
      <c r="BM52" s="779"/>
      <c r="BN52" s="779"/>
      <c r="BO52" s="779"/>
      <c r="BP52" s="779"/>
      <c r="BQ52" s="779"/>
      <c r="BR52" s="779"/>
      <c r="BS52" s="779"/>
      <c r="BT52" s="779"/>
      <c r="BU52" s="779"/>
      <c r="BV52" s="779"/>
      <c r="BW52" s="779"/>
      <c r="BX52" s="779"/>
      <c r="BY52" s="779"/>
      <c r="BZ52" s="779"/>
      <c r="CA52" s="779"/>
      <c r="CB52" s="779"/>
      <c r="CC52" s="779"/>
    </row>
    <row r="53" spans="1:81">
      <c r="A53" s="52">
        <v>2710</v>
      </c>
      <c r="B53" s="776"/>
      <c r="C53" s="776" t="s">
        <v>545</v>
      </c>
      <c r="E53" s="776"/>
      <c r="F53" s="755"/>
      <c r="G53" s="755"/>
      <c r="H53" s="755"/>
      <c r="I53" s="755"/>
      <c r="J53" s="755"/>
      <c r="K53" s="755"/>
      <c r="L53" s="755"/>
      <c r="M53" s="755">
        <f>'3_Fin-Stat'!M534</f>
        <v>1500261</v>
      </c>
      <c r="N53" s="755"/>
      <c r="O53" s="755"/>
      <c r="P53" s="755"/>
      <c r="Q53" s="755">
        <f>'3_Fin-Stat'!Q552</f>
        <v>564281</v>
      </c>
      <c r="R53" s="755">
        <f>'3_Fin-Stat'!R552</f>
        <v>537123</v>
      </c>
      <c r="S53" s="755">
        <f>'3_Fin-Stat'!S552</f>
        <v>943400</v>
      </c>
      <c r="T53" s="755">
        <f>'3_Fin-Stat'!T552</f>
        <v>1115900</v>
      </c>
      <c r="U53" s="755">
        <f>'3_Fin-Stat'!U552</f>
        <v>134000</v>
      </c>
      <c r="V53" s="755">
        <f>'3_Fin-Stat'!V552</f>
        <v>366000</v>
      </c>
      <c r="W53" s="755">
        <f>'3_Fin-Stat'!W552</f>
        <v>634000</v>
      </c>
      <c r="X53" s="755">
        <f>'3_Fin-Stat'!X552</f>
        <v>158000</v>
      </c>
      <c r="Y53" s="4"/>
      <c r="Z53" s="22"/>
      <c r="AA53" s="22"/>
      <c r="AB53" s="776"/>
      <c r="AC53" s="776"/>
      <c r="AD53" s="11"/>
      <c r="AE53" s="11"/>
      <c r="AF53" s="11"/>
      <c r="AG53" s="11"/>
      <c r="AH53" s="11"/>
      <c r="AI53" s="11"/>
      <c r="AJ53" s="11"/>
      <c r="AK53" s="11"/>
      <c r="AL53" s="11"/>
      <c r="AM53" s="11"/>
      <c r="AN53" s="11"/>
      <c r="AO53" s="779"/>
      <c r="AP53" s="779"/>
      <c r="AQ53" s="779"/>
      <c r="AR53" s="779"/>
      <c r="AS53" s="779"/>
      <c r="AT53" s="779"/>
      <c r="AU53" s="779"/>
      <c r="AV53" s="779"/>
      <c r="AW53" s="779"/>
      <c r="AX53" s="779"/>
      <c r="AY53" s="779"/>
      <c r="AZ53" s="779"/>
      <c r="BA53" s="779"/>
      <c r="BB53" s="779"/>
      <c r="BC53" s="779"/>
      <c r="BD53" s="779"/>
      <c r="BE53" s="779"/>
      <c r="BF53" s="779"/>
      <c r="BG53" s="779"/>
      <c r="BH53" s="779"/>
      <c r="BI53" s="779"/>
      <c r="BJ53" s="779"/>
      <c r="BK53" s="779"/>
      <c r="BL53" s="779"/>
      <c r="BM53" s="779"/>
      <c r="BN53" s="779"/>
      <c r="BO53" s="779"/>
      <c r="BP53" s="779"/>
      <c r="BQ53" s="779"/>
      <c r="BR53" s="779"/>
      <c r="BS53" s="779"/>
      <c r="BT53" s="779"/>
      <c r="BU53" s="779"/>
      <c r="BV53" s="779"/>
      <c r="BW53" s="779"/>
      <c r="BX53" s="779"/>
      <c r="BY53" s="779"/>
      <c r="BZ53" s="779"/>
      <c r="CA53" s="779"/>
      <c r="CB53" s="779"/>
      <c r="CC53" s="779"/>
    </row>
    <row r="54" spans="1:81">
      <c r="A54" s="52"/>
      <c r="B54" s="776"/>
      <c r="C54" s="776"/>
      <c r="E54" s="776" t="s">
        <v>162</v>
      </c>
      <c r="F54" s="754" t="e">
        <f t="shared" ref="F54:M54" si="45">SUM(F45:F53)</f>
        <v>#REF!</v>
      </c>
      <c r="G54" s="754" t="e">
        <f t="shared" si="45"/>
        <v>#REF!</v>
      </c>
      <c r="H54" s="754" t="e">
        <f t="shared" si="45"/>
        <v>#REF!</v>
      </c>
      <c r="I54" s="754" t="e">
        <f t="shared" si="45"/>
        <v>#REF!</v>
      </c>
      <c r="J54" s="754" t="e">
        <f t="shared" si="45"/>
        <v>#REF!</v>
      </c>
      <c r="K54" s="754" t="e">
        <f t="shared" si="45"/>
        <v>#REF!</v>
      </c>
      <c r="L54" s="754" t="e">
        <f t="shared" si="45"/>
        <v>#REF!</v>
      </c>
      <c r="M54" s="754" t="e">
        <f t="shared" si="45"/>
        <v>#REF!</v>
      </c>
      <c r="N54" s="754"/>
      <c r="O54" s="754" t="e">
        <f t="shared" ref="O54:X54" si="46">SUM(O45:O53)</f>
        <v>#REF!</v>
      </c>
      <c r="P54" s="754" t="e">
        <f t="shared" si="46"/>
        <v>#REF!</v>
      </c>
      <c r="Q54" s="754" t="e">
        <f t="shared" si="46"/>
        <v>#REF!</v>
      </c>
      <c r="R54" s="754" t="e">
        <f t="shared" si="46"/>
        <v>#REF!</v>
      </c>
      <c r="S54" s="754" t="e">
        <f t="shared" si="46"/>
        <v>#REF!</v>
      </c>
      <c r="T54" s="754" t="e">
        <f t="shared" si="46"/>
        <v>#REF!</v>
      </c>
      <c r="U54" s="754" t="e">
        <f t="shared" si="46"/>
        <v>#REF!</v>
      </c>
      <c r="V54" s="754" t="e">
        <f t="shared" si="46"/>
        <v>#REF!</v>
      </c>
      <c r="W54" s="754" t="e">
        <f t="shared" si="46"/>
        <v>#REF!</v>
      </c>
      <c r="X54" s="754" t="e">
        <f t="shared" si="46"/>
        <v>#REF!</v>
      </c>
      <c r="Y54" s="776"/>
      <c r="Z54" s="13"/>
      <c r="AA54" s="13"/>
      <c r="AB54" s="776"/>
      <c r="AC54" s="776"/>
      <c r="AD54" s="11"/>
      <c r="AE54" s="11"/>
      <c r="AF54" s="11"/>
      <c r="AG54" s="11"/>
      <c r="AH54" s="11"/>
      <c r="AI54" s="11"/>
      <c r="AJ54" s="11"/>
      <c r="AK54" s="11"/>
      <c r="AL54" s="11"/>
      <c r="AM54" s="11"/>
      <c r="AN54" s="11"/>
      <c r="AO54" s="779"/>
      <c r="AP54" s="779"/>
      <c r="AQ54" s="779"/>
      <c r="AR54" s="779"/>
      <c r="AS54" s="779"/>
      <c r="AT54" s="779"/>
      <c r="AU54" s="779"/>
      <c r="AV54" s="779"/>
      <c r="AW54" s="779"/>
      <c r="AX54" s="779"/>
      <c r="AY54" s="779"/>
      <c r="AZ54" s="779"/>
      <c r="BA54" s="779"/>
      <c r="BB54" s="779"/>
      <c r="BC54" s="779"/>
      <c r="BD54" s="779"/>
      <c r="BE54" s="779"/>
      <c r="BF54" s="779"/>
      <c r="BG54" s="779"/>
      <c r="BH54" s="779"/>
      <c r="BI54" s="779"/>
      <c r="BJ54" s="779"/>
      <c r="BK54" s="779"/>
      <c r="BL54" s="779"/>
      <c r="BM54" s="779"/>
      <c r="BN54" s="779"/>
      <c r="BO54" s="779"/>
      <c r="BP54" s="779"/>
      <c r="BQ54" s="779"/>
      <c r="BR54" s="779"/>
      <c r="BS54" s="779"/>
      <c r="BT54" s="779"/>
      <c r="BU54" s="779"/>
      <c r="BV54" s="779"/>
      <c r="BW54" s="779"/>
      <c r="BX54" s="779"/>
      <c r="BY54" s="779"/>
      <c r="BZ54" s="779"/>
      <c r="CA54" s="779"/>
      <c r="CB54" s="779"/>
      <c r="CC54" s="779"/>
    </row>
    <row r="55" spans="1:81">
      <c r="A55" s="52"/>
      <c r="B55" s="776"/>
      <c r="C55" s="776" t="s">
        <v>514</v>
      </c>
      <c r="E55" s="776"/>
      <c r="F55" s="754"/>
      <c r="G55" s="754"/>
      <c r="H55" s="754"/>
      <c r="I55" s="754"/>
      <c r="J55" s="754"/>
      <c r="K55" s="754"/>
      <c r="L55" s="754"/>
      <c r="M55" s="754"/>
      <c r="N55" s="754"/>
      <c r="O55" s="754"/>
      <c r="P55" s="763"/>
      <c r="Q55" s="754"/>
      <c r="R55" s="754"/>
      <c r="S55" s="754"/>
      <c r="T55" s="759"/>
      <c r="U55" s="759"/>
      <c r="V55" s="759"/>
      <c r="W55" s="759"/>
      <c r="X55" s="759"/>
      <c r="Y55" s="776"/>
      <c r="Z55" s="13"/>
      <c r="AA55" s="13"/>
      <c r="AB55" s="776"/>
      <c r="AC55" s="776"/>
      <c r="AD55" s="11"/>
      <c r="AE55" s="11"/>
      <c r="AF55" s="11"/>
      <c r="AG55" s="11"/>
      <c r="AH55" s="11"/>
      <c r="AI55" s="11"/>
      <c r="AJ55" s="11"/>
      <c r="AK55" s="11"/>
      <c r="AL55" s="11"/>
      <c r="AM55" s="11"/>
      <c r="AN55" s="11"/>
      <c r="AO55" s="779"/>
      <c r="AP55" s="779"/>
      <c r="AQ55" s="779"/>
      <c r="AR55" s="779"/>
      <c r="AS55" s="779"/>
      <c r="AT55" s="779"/>
      <c r="AU55" s="779"/>
      <c r="AV55" s="779"/>
      <c r="AW55" s="779"/>
      <c r="AX55" s="779"/>
      <c r="AY55" s="779"/>
      <c r="AZ55" s="779"/>
      <c r="BA55" s="779"/>
      <c r="BB55" s="779"/>
      <c r="BC55" s="779"/>
      <c r="BD55" s="779"/>
      <c r="BE55" s="779"/>
      <c r="BF55" s="779"/>
      <c r="BG55" s="779"/>
      <c r="BH55" s="779"/>
      <c r="BI55" s="779"/>
      <c r="BJ55" s="779"/>
      <c r="BK55" s="779"/>
      <c r="BL55" s="779"/>
      <c r="BM55" s="779"/>
      <c r="BN55" s="779"/>
      <c r="BO55" s="779"/>
      <c r="BP55" s="779"/>
      <c r="BQ55" s="779"/>
      <c r="BR55" s="779"/>
      <c r="BS55" s="779"/>
      <c r="BT55" s="779"/>
      <c r="BU55" s="779"/>
      <c r="BV55" s="779"/>
      <c r="BW55" s="779"/>
      <c r="BX55" s="779"/>
      <c r="BY55" s="779"/>
      <c r="BZ55" s="779"/>
      <c r="CA55" s="779"/>
      <c r="CB55" s="779"/>
      <c r="CC55" s="779"/>
    </row>
    <row r="56" spans="1:81">
      <c r="A56" s="52">
        <v>2680</v>
      </c>
      <c r="B56" s="776"/>
      <c r="C56" s="776" t="s">
        <v>339</v>
      </c>
      <c r="E56" s="776"/>
      <c r="F56" s="754"/>
      <c r="G56" s="754"/>
      <c r="H56" s="754"/>
      <c r="I56" s="754"/>
      <c r="J56" s="754"/>
      <c r="K56" s="754"/>
      <c r="L56" s="754"/>
      <c r="M56" s="754"/>
      <c r="N56" s="754"/>
      <c r="O56" s="754"/>
      <c r="P56" s="763"/>
      <c r="Q56" s="754">
        <v>52954</v>
      </c>
      <c r="R56" s="754">
        <v>35564</v>
      </c>
      <c r="S56" s="754">
        <v>22755</v>
      </c>
      <c r="T56" s="759" t="e">
        <f>'3_Fin-Stat'!#REF!</f>
        <v>#REF!</v>
      </c>
      <c r="U56" s="759" t="e">
        <f>'3_Fin-Stat'!#REF!</f>
        <v>#REF!</v>
      </c>
      <c r="V56" s="759" t="e">
        <f>'3_Fin-Stat'!#REF!</f>
        <v>#REF!</v>
      </c>
      <c r="W56" s="759" t="e">
        <f>'3_Fin-Stat'!#REF!</f>
        <v>#REF!</v>
      </c>
      <c r="X56" s="759" t="e">
        <f>'3_Fin-Stat'!#REF!</f>
        <v>#REF!</v>
      </c>
      <c r="Y56" s="776"/>
      <c r="Z56" s="13"/>
      <c r="AA56" s="13"/>
      <c r="AB56" s="776"/>
      <c r="AC56" s="776"/>
      <c r="AD56" s="11"/>
      <c r="AE56" s="11"/>
      <c r="AF56" s="11"/>
      <c r="AG56" s="11"/>
      <c r="AH56" s="11"/>
      <c r="AI56" s="11"/>
      <c r="AJ56" s="11"/>
      <c r="AK56" s="11"/>
      <c r="AL56" s="11"/>
      <c r="AM56" s="11"/>
      <c r="AN56" s="11"/>
      <c r="AO56" s="779"/>
      <c r="AP56" s="779"/>
      <c r="AQ56" s="779"/>
      <c r="AR56" s="779"/>
      <c r="AS56" s="779"/>
      <c r="AT56" s="779"/>
      <c r="AU56" s="779"/>
      <c r="AV56" s="779"/>
      <c r="AW56" s="779"/>
      <c r="AX56" s="779"/>
      <c r="AY56" s="779"/>
      <c r="AZ56" s="779"/>
      <c r="BA56" s="779"/>
      <c r="BB56" s="779"/>
      <c r="BC56" s="779"/>
      <c r="BD56" s="779"/>
      <c r="BE56" s="779"/>
      <c r="BF56" s="779"/>
      <c r="BG56" s="779"/>
      <c r="BH56" s="779"/>
      <c r="BI56" s="779"/>
      <c r="BJ56" s="779"/>
      <c r="BK56" s="779"/>
      <c r="BL56" s="779"/>
      <c r="BM56" s="779"/>
      <c r="BN56" s="779"/>
      <c r="BO56" s="779"/>
      <c r="BP56" s="779"/>
      <c r="BQ56" s="779"/>
      <c r="BR56" s="779"/>
      <c r="BS56" s="779"/>
      <c r="BT56" s="779"/>
      <c r="BU56" s="779"/>
      <c r="BV56" s="779"/>
      <c r="BW56" s="779"/>
      <c r="BX56" s="779"/>
      <c r="BY56" s="779"/>
      <c r="BZ56" s="779"/>
      <c r="CA56" s="779"/>
      <c r="CB56" s="779"/>
      <c r="CC56" s="779"/>
    </row>
    <row r="57" spans="1:81">
      <c r="A57" s="52">
        <v>2300</v>
      </c>
      <c r="B57" s="776"/>
      <c r="C57" s="776" t="s">
        <v>341</v>
      </c>
      <c r="E57" s="776"/>
      <c r="F57" s="755">
        <v>477911</v>
      </c>
      <c r="G57" s="755">
        <v>464554</v>
      </c>
      <c r="H57" s="755">
        <v>180444</v>
      </c>
      <c r="I57" s="755">
        <v>591498</v>
      </c>
      <c r="J57" s="755">
        <f>653178+6245</f>
        <v>659423</v>
      </c>
      <c r="K57" s="755">
        <f>1176566+6576</f>
        <v>1183142</v>
      </c>
      <c r="L57" s="755">
        <f>1021825+7193</f>
        <v>1029018</v>
      </c>
      <c r="M57" s="755">
        <v>760194</v>
      </c>
      <c r="N57" s="755"/>
      <c r="O57" s="755">
        <v>793226</v>
      </c>
      <c r="P57" s="755">
        <v>1128695</v>
      </c>
      <c r="Q57" s="755">
        <v>1323058</v>
      </c>
      <c r="R57" s="755">
        <v>1275379</v>
      </c>
      <c r="S57" s="755">
        <v>1577742</v>
      </c>
      <c r="T57" s="761" t="e">
        <f>'3_Fin-Stat'!#REF!</f>
        <v>#REF!</v>
      </c>
      <c r="U57" s="761" t="e">
        <f>'3_Fin-Stat'!#REF!</f>
        <v>#REF!</v>
      </c>
      <c r="V57" s="761" t="e">
        <f>'3_Fin-Stat'!#REF!</f>
        <v>#REF!</v>
      </c>
      <c r="W57" s="761" t="e">
        <f>'3_Fin-Stat'!#REF!</f>
        <v>#REF!</v>
      </c>
      <c r="X57" s="761" t="e">
        <f>'3_Fin-Stat'!#REF!</f>
        <v>#REF!</v>
      </c>
      <c r="Y57" s="4"/>
      <c r="Z57" s="22"/>
      <c r="AA57" s="22"/>
      <c r="AB57" s="776"/>
      <c r="AC57" s="776"/>
      <c r="AD57" s="11"/>
      <c r="AE57" s="11"/>
      <c r="AF57" s="11"/>
      <c r="AG57" s="11"/>
      <c r="AH57" s="11"/>
      <c r="AI57" s="11"/>
      <c r="AJ57" s="11"/>
      <c r="AK57" s="11"/>
      <c r="AL57" s="11"/>
      <c r="AM57" s="11"/>
      <c r="AN57" s="11"/>
      <c r="AO57" s="779"/>
      <c r="AP57" s="779"/>
      <c r="AQ57" s="779"/>
      <c r="AR57" s="779"/>
      <c r="AS57" s="779"/>
      <c r="AT57" s="779"/>
      <c r="AU57" s="779"/>
      <c r="AV57" s="779"/>
      <c r="AW57" s="779"/>
      <c r="AX57" s="779"/>
      <c r="AY57" s="779"/>
      <c r="AZ57" s="779"/>
      <c r="BA57" s="779"/>
      <c r="BB57" s="779"/>
      <c r="BC57" s="779"/>
      <c r="BD57" s="779"/>
      <c r="BE57" s="779"/>
      <c r="BF57" s="779"/>
      <c r="BG57" s="779"/>
      <c r="BH57" s="779"/>
      <c r="BI57" s="779"/>
      <c r="BJ57" s="779"/>
      <c r="BK57" s="779"/>
      <c r="BL57" s="779"/>
      <c r="BM57" s="779"/>
      <c r="BN57" s="779"/>
      <c r="BO57" s="779"/>
      <c r="BP57" s="779"/>
      <c r="BQ57" s="779"/>
      <c r="BR57" s="779"/>
      <c r="BS57" s="779"/>
      <c r="BT57" s="779"/>
      <c r="BU57" s="779"/>
      <c r="BV57" s="779"/>
      <c r="BW57" s="779"/>
      <c r="BX57" s="779"/>
      <c r="BY57" s="779"/>
      <c r="BZ57" s="779"/>
      <c r="CA57" s="779"/>
      <c r="CB57" s="779"/>
      <c r="CC57" s="779"/>
    </row>
    <row r="58" spans="1:81">
      <c r="A58" s="52"/>
      <c r="B58" s="776"/>
      <c r="C58" s="776"/>
      <c r="E58" s="776"/>
      <c r="F58" s="754" t="e">
        <f t="shared" ref="F58:M58" si="47">SUM(F54:F57)</f>
        <v>#REF!</v>
      </c>
      <c r="G58" s="754" t="e">
        <f t="shared" si="47"/>
        <v>#REF!</v>
      </c>
      <c r="H58" s="754" t="e">
        <f t="shared" si="47"/>
        <v>#REF!</v>
      </c>
      <c r="I58" s="754" t="e">
        <f t="shared" si="47"/>
        <v>#REF!</v>
      </c>
      <c r="J58" s="754" t="e">
        <f t="shared" si="47"/>
        <v>#REF!</v>
      </c>
      <c r="K58" s="754" t="e">
        <f t="shared" si="47"/>
        <v>#REF!</v>
      </c>
      <c r="L58" s="754" t="e">
        <f t="shared" si="47"/>
        <v>#REF!</v>
      </c>
      <c r="M58" s="754" t="e">
        <f t="shared" si="47"/>
        <v>#REF!</v>
      </c>
      <c r="N58" s="754"/>
      <c r="O58" s="754" t="e">
        <f t="shared" ref="O58:X58" si="48">SUM(O54:O57)</f>
        <v>#REF!</v>
      </c>
      <c r="P58" s="754" t="e">
        <f t="shared" si="48"/>
        <v>#REF!</v>
      </c>
      <c r="Q58" s="754" t="e">
        <f t="shared" si="48"/>
        <v>#REF!</v>
      </c>
      <c r="R58" s="754" t="e">
        <f t="shared" si="48"/>
        <v>#REF!</v>
      </c>
      <c r="S58" s="754" t="e">
        <f t="shared" si="48"/>
        <v>#REF!</v>
      </c>
      <c r="T58" s="754" t="e">
        <f t="shared" si="48"/>
        <v>#REF!</v>
      </c>
      <c r="U58" s="754" t="e">
        <f t="shared" si="48"/>
        <v>#REF!</v>
      </c>
      <c r="V58" s="754" t="e">
        <f t="shared" si="48"/>
        <v>#REF!</v>
      </c>
      <c r="W58" s="754" t="e">
        <f t="shared" si="48"/>
        <v>#REF!</v>
      </c>
      <c r="X58" s="754" t="e">
        <f t="shared" si="48"/>
        <v>#REF!</v>
      </c>
      <c r="Y58" s="776"/>
      <c r="Z58" s="13"/>
      <c r="AA58" s="13"/>
      <c r="AB58" s="776"/>
      <c r="AC58" s="776"/>
      <c r="AD58" s="11"/>
      <c r="AE58" s="11"/>
      <c r="AF58" s="11"/>
      <c r="AG58" s="11"/>
      <c r="AH58" s="11"/>
      <c r="AI58" s="11"/>
      <c r="AJ58" s="11"/>
      <c r="AK58" s="11"/>
      <c r="AL58" s="11"/>
      <c r="AM58" s="11"/>
      <c r="AN58" s="11"/>
      <c r="AO58" s="779"/>
      <c r="AP58" s="779"/>
      <c r="AQ58" s="779"/>
      <c r="AR58" s="779"/>
      <c r="AS58" s="779"/>
      <c r="AT58" s="779"/>
      <c r="AU58" s="779"/>
      <c r="AV58" s="779"/>
      <c r="AW58" s="779"/>
      <c r="AX58" s="779"/>
      <c r="AY58" s="779"/>
      <c r="AZ58" s="779"/>
      <c r="BA58" s="779"/>
      <c r="BB58" s="779"/>
      <c r="BC58" s="779"/>
      <c r="BD58" s="779"/>
      <c r="BE58" s="779"/>
      <c r="BF58" s="779"/>
      <c r="BG58" s="779"/>
      <c r="BH58" s="779"/>
      <c r="BI58" s="779"/>
      <c r="BJ58" s="779"/>
      <c r="BK58" s="779"/>
      <c r="BL58" s="779"/>
      <c r="BM58" s="779"/>
      <c r="BN58" s="779"/>
      <c r="BO58" s="779"/>
      <c r="BP58" s="779"/>
      <c r="BQ58" s="779"/>
      <c r="BR58" s="779"/>
      <c r="BS58" s="779"/>
      <c r="BT58" s="779"/>
      <c r="BU58" s="779"/>
      <c r="BV58" s="779"/>
      <c r="BW58" s="779"/>
      <c r="BX58" s="779"/>
      <c r="BY58" s="779"/>
      <c r="BZ58" s="779"/>
      <c r="CA58" s="779"/>
      <c r="CB58" s="779"/>
      <c r="CC58" s="779"/>
    </row>
    <row r="59" spans="1:81">
      <c r="A59" s="52"/>
      <c r="B59" s="776"/>
      <c r="C59" s="776"/>
      <c r="E59" s="776"/>
      <c r="F59" s="754"/>
      <c r="G59" s="754"/>
      <c r="H59" s="754"/>
      <c r="I59" s="754"/>
      <c r="J59" s="754"/>
      <c r="K59" s="754"/>
      <c r="L59" s="754"/>
      <c r="M59" s="754"/>
      <c r="N59" s="754"/>
      <c r="O59" s="754"/>
      <c r="P59" s="756"/>
      <c r="Q59" s="754"/>
      <c r="R59" s="754"/>
      <c r="S59" s="754"/>
      <c r="T59" s="759"/>
      <c r="U59" s="759"/>
      <c r="V59" s="759"/>
      <c r="W59" s="759"/>
      <c r="X59" s="759"/>
      <c r="Y59" s="776"/>
      <c r="Z59" s="776"/>
      <c r="AA59" s="13"/>
      <c r="AB59" s="776"/>
      <c r="AC59" s="776"/>
      <c r="AD59" s="11"/>
      <c r="AE59" s="11"/>
      <c r="AF59" s="11"/>
      <c r="AG59" s="11"/>
      <c r="AH59" s="11"/>
      <c r="AI59" s="11"/>
      <c r="AJ59" s="11"/>
      <c r="AK59" s="11"/>
      <c r="AL59" s="11"/>
      <c r="AM59" s="11"/>
      <c r="AN59" s="11"/>
      <c r="AO59" s="779"/>
      <c r="AP59" s="779"/>
      <c r="AQ59" s="779"/>
      <c r="AR59" s="779"/>
      <c r="AS59" s="779"/>
      <c r="AT59" s="779"/>
      <c r="AU59" s="779"/>
      <c r="AV59" s="779"/>
      <c r="AW59" s="779"/>
      <c r="AX59" s="779"/>
      <c r="AY59" s="779"/>
      <c r="AZ59" s="779"/>
      <c r="BA59" s="779"/>
      <c r="BB59" s="779"/>
      <c r="BC59" s="779"/>
      <c r="BD59" s="779"/>
      <c r="BE59" s="779"/>
      <c r="BF59" s="779"/>
      <c r="BG59" s="779"/>
      <c r="BH59" s="779"/>
      <c r="BI59" s="779"/>
      <c r="BJ59" s="779"/>
      <c r="BK59" s="779"/>
      <c r="BL59" s="779"/>
      <c r="BM59" s="779"/>
      <c r="BN59" s="779"/>
      <c r="BO59" s="779"/>
      <c r="BP59" s="779"/>
      <c r="BQ59" s="779"/>
      <c r="BR59" s="779"/>
      <c r="BS59" s="779"/>
      <c r="BT59" s="779"/>
      <c r="BU59" s="779"/>
      <c r="BV59" s="779"/>
      <c r="BW59" s="779"/>
      <c r="BX59" s="779"/>
      <c r="BY59" s="779"/>
      <c r="BZ59" s="779"/>
      <c r="CA59" s="779"/>
      <c r="CB59" s="779"/>
      <c r="CC59" s="779"/>
    </row>
    <row r="60" spans="1:81">
      <c r="A60" s="52">
        <v>2800</v>
      </c>
      <c r="B60" s="776"/>
      <c r="C60" s="776" t="s">
        <v>342</v>
      </c>
      <c r="E60" s="776"/>
      <c r="F60" s="754">
        <v>1600000</v>
      </c>
      <c r="G60" s="754">
        <v>1600000</v>
      </c>
      <c r="H60" s="754">
        <v>1600000</v>
      </c>
      <c r="I60" s="754">
        <f>H60</f>
        <v>1600000</v>
      </c>
      <c r="J60" s="754">
        <v>1600000</v>
      </c>
      <c r="K60" s="754">
        <v>1600000</v>
      </c>
      <c r="L60" s="754">
        <v>1600000</v>
      </c>
      <c r="M60" s="754">
        <v>1600000</v>
      </c>
      <c r="N60" s="754"/>
      <c r="O60" s="754">
        <v>1600000</v>
      </c>
      <c r="P60" s="754">
        <v>1600000</v>
      </c>
      <c r="Q60" s="754">
        <v>1600000</v>
      </c>
      <c r="R60" s="754">
        <v>1600000</v>
      </c>
      <c r="S60" s="754">
        <v>1600000</v>
      </c>
      <c r="T60" s="754">
        <v>1600000</v>
      </c>
      <c r="U60" s="754">
        <v>1600001</v>
      </c>
      <c r="V60" s="754">
        <v>1600002</v>
      </c>
      <c r="W60" s="754">
        <v>1600003</v>
      </c>
      <c r="X60" s="754">
        <v>1600004</v>
      </c>
      <c r="Y60" s="776"/>
      <c r="Z60" s="776"/>
      <c r="AA60" s="13"/>
      <c r="AB60" s="776"/>
      <c r="AC60" s="776"/>
      <c r="AD60" s="11"/>
      <c r="AE60" s="11"/>
      <c r="AF60" s="11"/>
      <c r="AG60" s="11"/>
      <c r="AH60" s="11"/>
      <c r="AI60" s="11"/>
      <c r="AJ60" s="11"/>
      <c r="AK60" s="11"/>
      <c r="AL60" s="11"/>
      <c r="AM60" s="11"/>
      <c r="AN60" s="11"/>
      <c r="AO60" s="779"/>
      <c r="AP60" s="779"/>
      <c r="AQ60" s="779"/>
      <c r="AR60" s="779"/>
      <c r="AS60" s="779"/>
      <c r="AT60" s="779"/>
      <c r="AU60" s="779"/>
      <c r="AV60" s="779"/>
      <c r="AW60" s="779"/>
      <c r="AX60" s="779"/>
      <c r="AY60" s="779"/>
      <c r="AZ60" s="779"/>
      <c r="BA60" s="779"/>
      <c r="BB60" s="779"/>
      <c r="BC60" s="779"/>
      <c r="BD60" s="779"/>
      <c r="BE60" s="779"/>
      <c r="BF60" s="779"/>
      <c r="BG60" s="779"/>
      <c r="BH60" s="779"/>
      <c r="BI60" s="779"/>
      <c r="BJ60" s="779"/>
      <c r="BK60" s="779"/>
      <c r="BL60" s="779"/>
      <c r="BM60" s="779"/>
      <c r="BN60" s="779"/>
      <c r="BO60" s="779"/>
      <c r="BP60" s="779"/>
      <c r="BQ60" s="779"/>
      <c r="BR60" s="779"/>
      <c r="BS60" s="779"/>
      <c r="BT60" s="779"/>
      <c r="BU60" s="779"/>
      <c r="BV60" s="779"/>
      <c r="BW60" s="779"/>
      <c r="BX60" s="779"/>
      <c r="BY60" s="779"/>
      <c r="BZ60" s="779"/>
      <c r="CA60" s="779"/>
      <c r="CB60" s="779"/>
      <c r="CC60" s="779"/>
    </row>
    <row r="61" spans="1:81">
      <c r="A61" s="52"/>
      <c r="B61" s="776"/>
      <c r="C61" s="776"/>
      <c r="E61" s="776"/>
      <c r="F61" s="754"/>
      <c r="G61" s="754"/>
      <c r="H61" s="754"/>
      <c r="I61" s="754"/>
      <c r="J61" s="754"/>
      <c r="K61" s="754"/>
      <c r="L61" s="754"/>
      <c r="M61" s="754"/>
      <c r="N61" s="754"/>
      <c r="O61" s="754"/>
      <c r="P61" s="754"/>
      <c r="Q61" s="754"/>
      <c r="R61" s="754"/>
      <c r="S61" s="756"/>
      <c r="T61" s="759"/>
      <c r="U61" s="759"/>
      <c r="V61" s="759"/>
      <c r="W61" s="759"/>
      <c r="X61" s="759"/>
      <c r="Y61" s="776"/>
      <c r="Z61" s="776"/>
      <c r="AA61" s="13"/>
      <c r="AB61" s="776"/>
      <c r="AC61" s="776"/>
      <c r="AD61" s="11"/>
      <c r="AE61" s="11"/>
      <c r="AF61" s="11"/>
      <c r="AG61" s="11"/>
      <c r="AH61" s="11"/>
      <c r="AI61" s="11"/>
      <c r="AJ61" s="11"/>
      <c r="AK61" s="11"/>
      <c r="AL61" s="11"/>
      <c r="AM61" s="11"/>
      <c r="AN61" s="11"/>
      <c r="AO61" s="779"/>
      <c r="AP61" s="779"/>
      <c r="AQ61" s="779"/>
      <c r="AR61" s="779"/>
      <c r="AS61" s="779"/>
      <c r="AT61" s="779"/>
      <c r="AU61" s="779"/>
      <c r="AV61" s="779"/>
      <c r="AW61" s="779"/>
      <c r="AX61" s="779"/>
      <c r="AY61" s="779"/>
      <c r="AZ61" s="779"/>
      <c r="BA61" s="779"/>
      <c r="BB61" s="779"/>
      <c r="BC61" s="779"/>
      <c r="BD61" s="779"/>
      <c r="BE61" s="779"/>
      <c r="BF61" s="779"/>
      <c r="BG61" s="779"/>
      <c r="BH61" s="779"/>
      <c r="BI61" s="779"/>
      <c r="BJ61" s="779"/>
      <c r="BK61" s="779"/>
      <c r="BL61" s="779"/>
      <c r="BM61" s="779"/>
      <c r="BN61" s="779"/>
      <c r="BO61" s="779"/>
      <c r="BP61" s="779"/>
      <c r="BQ61" s="779"/>
      <c r="BR61" s="779"/>
      <c r="BS61" s="779"/>
      <c r="BT61" s="779"/>
      <c r="BU61" s="779"/>
      <c r="BV61" s="779"/>
      <c r="BW61" s="779"/>
      <c r="BX61" s="779"/>
      <c r="BY61" s="779"/>
      <c r="BZ61" s="779"/>
      <c r="CA61" s="779"/>
      <c r="CB61" s="779"/>
      <c r="CC61" s="779"/>
    </row>
    <row r="62" spans="1:81">
      <c r="A62" s="52">
        <v>2830</v>
      </c>
      <c r="B62" s="776"/>
      <c r="C62" s="776" t="s">
        <v>546</v>
      </c>
      <c r="E62" s="776"/>
      <c r="F62" s="754">
        <v>0</v>
      </c>
      <c r="G62" s="754">
        <v>77813</v>
      </c>
      <c r="H62" s="754">
        <f>G62</f>
        <v>77813</v>
      </c>
      <c r="I62" s="754">
        <v>77802</v>
      </c>
      <c r="J62" s="754">
        <v>677802</v>
      </c>
      <c r="K62" s="754">
        <v>677802</v>
      </c>
      <c r="L62" s="754">
        <v>677802</v>
      </c>
      <c r="M62" s="754">
        <v>1652713</v>
      </c>
      <c r="N62" s="754"/>
      <c r="O62" s="754">
        <v>2737795</v>
      </c>
      <c r="P62" s="754">
        <v>2737092</v>
      </c>
      <c r="Q62" s="754">
        <v>3686651</v>
      </c>
      <c r="R62" s="754">
        <v>3392516</v>
      </c>
      <c r="S62" s="754">
        <v>3418035</v>
      </c>
      <c r="T62" s="759" t="e">
        <f>'3_Fin-Stat'!#REF!</f>
        <v>#REF!</v>
      </c>
      <c r="U62" s="759" t="e">
        <f>'3_Fin-Stat'!#REF!</f>
        <v>#REF!</v>
      </c>
      <c r="V62" s="759" t="e">
        <f>'3_Fin-Stat'!#REF!</f>
        <v>#REF!</v>
      </c>
      <c r="W62" s="759" t="e">
        <f>'3_Fin-Stat'!#REF!</f>
        <v>#REF!</v>
      </c>
      <c r="X62" s="759" t="e">
        <f>'3_Fin-Stat'!#REF!</f>
        <v>#REF!</v>
      </c>
      <c r="Y62" s="776"/>
      <c r="Z62" s="776"/>
      <c r="AA62" s="13"/>
      <c r="AB62" s="776"/>
      <c r="AC62" s="776"/>
      <c r="AD62" s="11"/>
      <c r="AE62" s="11"/>
      <c r="AF62" s="11"/>
      <c r="AG62" s="11"/>
      <c r="AH62" s="11"/>
      <c r="AI62" s="11"/>
      <c r="AJ62" s="11"/>
      <c r="AK62" s="11"/>
      <c r="AL62" s="11"/>
      <c r="AM62" s="11"/>
      <c r="AN62" s="11"/>
      <c r="AO62" s="779"/>
      <c r="AP62" s="779"/>
      <c r="AQ62" s="779"/>
      <c r="AR62" s="779"/>
      <c r="AS62" s="779"/>
      <c r="AT62" s="779"/>
      <c r="AU62" s="779"/>
      <c r="AV62" s="779"/>
      <c r="AW62" s="779"/>
      <c r="AX62" s="779"/>
      <c r="AY62" s="779"/>
      <c r="AZ62" s="779"/>
      <c r="BA62" s="779"/>
      <c r="BB62" s="779"/>
      <c r="BC62" s="779"/>
      <c r="BD62" s="779"/>
      <c r="BE62" s="779"/>
      <c r="BF62" s="779"/>
      <c r="BG62" s="779"/>
      <c r="BH62" s="779"/>
      <c r="BI62" s="779"/>
      <c r="BJ62" s="779"/>
      <c r="BK62" s="779"/>
      <c r="BL62" s="779"/>
      <c r="BM62" s="779"/>
      <c r="BN62" s="779"/>
      <c r="BO62" s="779"/>
      <c r="BP62" s="779"/>
      <c r="BQ62" s="779"/>
      <c r="BR62" s="779"/>
      <c r="BS62" s="779"/>
      <c r="BT62" s="779"/>
      <c r="BU62" s="779"/>
      <c r="BV62" s="779"/>
      <c r="BW62" s="779"/>
      <c r="BX62" s="779"/>
      <c r="BY62" s="779"/>
      <c r="BZ62" s="779"/>
      <c r="CA62" s="779"/>
      <c r="CB62" s="779"/>
      <c r="CC62" s="779"/>
    </row>
    <row r="63" spans="1:81">
      <c r="A63" s="52">
        <v>2830</v>
      </c>
      <c r="B63" s="776"/>
      <c r="C63" s="776" t="s">
        <v>1082</v>
      </c>
      <c r="E63" s="776"/>
      <c r="F63" s="754">
        <f>F62</f>
        <v>0</v>
      </c>
      <c r="G63" s="754">
        <f>-'3_Fin-Stat'!G609</f>
        <v>0</v>
      </c>
      <c r="H63" s="754">
        <f>-'3_Fin-Stat'!H609</f>
        <v>0</v>
      </c>
      <c r="I63" s="754">
        <f>-'3_Fin-Stat'!I609</f>
        <v>0</v>
      </c>
      <c r="J63" s="754">
        <f>-'3_Fin-Stat'!J609</f>
        <v>0</v>
      </c>
      <c r="K63" s="754">
        <f>-'3_Fin-Stat'!K609</f>
        <v>0</v>
      </c>
      <c r="L63" s="754">
        <f>-'3_Fin-Stat'!L609</f>
        <v>0</v>
      </c>
      <c r="M63" s="754"/>
      <c r="N63" s="754"/>
      <c r="O63" s="754"/>
      <c r="P63" s="754"/>
      <c r="Q63" s="754"/>
      <c r="R63" s="754"/>
      <c r="S63" s="754"/>
      <c r="T63" s="759"/>
      <c r="U63" s="759"/>
      <c r="V63" s="759"/>
      <c r="W63" s="759"/>
      <c r="X63" s="759"/>
      <c r="Y63" s="776"/>
      <c r="Z63" s="776"/>
      <c r="AA63" s="13"/>
      <c r="AB63" s="776"/>
      <c r="AC63" s="776"/>
      <c r="AD63" s="11"/>
      <c r="AE63" s="11"/>
      <c r="AF63" s="11"/>
      <c r="AG63" s="11"/>
      <c r="AH63" s="11"/>
      <c r="AI63" s="11"/>
      <c r="AJ63" s="11"/>
      <c r="AK63" s="11"/>
      <c r="AL63" s="11"/>
      <c r="AM63" s="11"/>
      <c r="AN63" s="11"/>
      <c r="AO63" s="779"/>
      <c r="AP63" s="779"/>
      <c r="AQ63" s="779"/>
      <c r="AR63" s="779"/>
      <c r="AS63" s="779"/>
      <c r="AT63" s="779"/>
      <c r="AU63" s="779"/>
      <c r="AV63" s="779"/>
      <c r="AW63" s="779"/>
      <c r="AX63" s="779"/>
      <c r="AY63" s="779"/>
      <c r="AZ63" s="779"/>
      <c r="BA63" s="779"/>
      <c r="BB63" s="779"/>
      <c r="BC63" s="779"/>
      <c r="BD63" s="779"/>
      <c r="BE63" s="779"/>
      <c r="BF63" s="779"/>
      <c r="BG63" s="779"/>
      <c r="BH63" s="779"/>
      <c r="BI63" s="779"/>
      <c r="BJ63" s="779"/>
      <c r="BK63" s="779"/>
      <c r="BL63" s="779"/>
      <c r="BM63" s="779"/>
      <c r="BN63" s="779"/>
      <c r="BO63" s="779"/>
      <c r="BP63" s="779"/>
      <c r="BQ63" s="779"/>
      <c r="BR63" s="779"/>
      <c r="BS63" s="779"/>
      <c r="BT63" s="779"/>
      <c r="BU63" s="779"/>
      <c r="BV63" s="779"/>
      <c r="BW63" s="779"/>
      <c r="BX63" s="779"/>
      <c r="BY63" s="779"/>
      <c r="BZ63" s="779"/>
      <c r="CA63" s="779"/>
      <c r="CB63" s="779"/>
      <c r="CC63" s="779"/>
    </row>
    <row r="64" spans="1:81">
      <c r="A64" s="52">
        <v>2830</v>
      </c>
      <c r="B64" s="776"/>
      <c r="C64" s="776" t="s">
        <v>1083</v>
      </c>
      <c r="E64" s="776"/>
      <c r="F64" s="754"/>
      <c r="G64" s="754"/>
      <c r="H64" s="754"/>
      <c r="I64" s="754"/>
      <c r="J64" s="754"/>
      <c r="K64" s="754"/>
      <c r="L64" s="754"/>
      <c r="M64" s="754">
        <f>-'3_Fin-Stat'!M609</f>
        <v>0</v>
      </c>
      <c r="N64" s="754"/>
      <c r="O64" s="754">
        <f>-'3_Fin-Stat'!O609</f>
        <v>0</v>
      </c>
      <c r="P64" s="754">
        <f>-'3_Fin-Stat'!P609</f>
        <v>0</v>
      </c>
      <c r="Q64" s="754">
        <f>-'3_Fin-Stat'!Q609</f>
        <v>0</v>
      </c>
      <c r="R64" s="754">
        <f>-'3_Fin-Stat'!R609</f>
        <v>0</v>
      </c>
      <c r="S64" s="754">
        <f>-'3_Fin-Stat'!S609</f>
        <v>0</v>
      </c>
      <c r="T64" s="754">
        <f>-'3_Fin-Stat'!T609</f>
        <v>0</v>
      </c>
      <c r="U64" s="754">
        <f>-'3_Fin-Stat'!U609</f>
        <v>0</v>
      </c>
      <c r="V64" s="754">
        <f>-'3_Fin-Stat'!V609</f>
        <v>0</v>
      </c>
      <c r="W64" s="754">
        <f>-'3_Fin-Stat'!W609</f>
        <v>0</v>
      </c>
      <c r="X64" s="754">
        <f>-'3_Fin-Stat'!X609</f>
        <v>0</v>
      </c>
      <c r="Y64" s="776"/>
      <c r="Z64" s="776"/>
      <c r="AA64" s="13"/>
      <c r="AB64" s="776"/>
      <c r="AC64" s="776"/>
      <c r="AD64" s="11"/>
      <c r="AE64" s="11"/>
      <c r="AF64" s="11"/>
      <c r="AG64" s="11"/>
      <c r="AH64" s="11"/>
      <c r="AI64" s="11"/>
      <c r="AJ64" s="11"/>
      <c r="AK64" s="11"/>
      <c r="AL64" s="11"/>
      <c r="AM64" s="11"/>
      <c r="AN64" s="11"/>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79"/>
      <c r="BO64" s="779"/>
      <c r="BP64" s="779"/>
      <c r="BQ64" s="779"/>
      <c r="BR64" s="779"/>
      <c r="BS64" s="779"/>
      <c r="BT64" s="779"/>
      <c r="BU64" s="779"/>
      <c r="BV64" s="779"/>
      <c r="BW64" s="779"/>
      <c r="BX64" s="779"/>
      <c r="BY64" s="779"/>
      <c r="BZ64" s="779"/>
      <c r="CA64" s="779"/>
      <c r="CB64" s="779"/>
      <c r="CC64" s="779"/>
    </row>
    <row r="65" spans="1:81">
      <c r="A65" s="52">
        <v>2830</v>
      </c>
      <c r="B65" s="776"/>
      <c r="C65" s="776" t="s">
        <v>1084</v>
      </c>
      <c r="E65" s="776"/>
      <c r="F65" s="754"/>
      <c r="G65" s="754"/>
      <c r="H65" s="754"/>
      <c r="I65" s="754"/>
      <c r="J65" s="754"/>
      <c r="K65" s="754"/>
      <c r="L65" s="754"/>
      <c r="M65" s="754"/>
      <c r="N65" s="754"/>
      <c r="O65" s="754" t="e">
        <f>#REF!</f>
        <v>#REF!</v>
      </c>
      <c r="P65" s="754" t="e">
        <f>O65</f>
        <v>#REF!</v>
      </c>
      <c r="Q65" s="754" t="e">
        <f>'3_Fin-Stat'!Q548+P65</f>
        <v>#REF!</v>
      </c>
      <c r="R65" s="754" t="e">
        <f>'3_Fin-Stat'!R548+Q65</f>
        <v>#REF!</v>
      </c>
      <c r="S65" s="754" t="e">
        <f>'3_Fin-Stat'!S548+R65</f>
        <v>#REF!</v>
      </c>
      <c r="T65" s="754" t="e">
        <f>'3_Fin-Stat'!T548+S65</f>
        <v>#REF!</v>
      </c>
      <c r="U65" s="754" t="e">
        <f>'3_Fin-Stat'!U548+T65</f>
        <v>#REF!</v>
      </c>
      <c r="V65" s="754" t="e">
        <f>'3_Fin-Stat'!V548+U65</f>
        <v>#REF!</v>
      </c>
      <c r="W65" s="754" t="e">
        <f>'3_Fin-Stat'!W548+V65</f>
        <v>#REF!</v>
      </c>
      <c r="X65" s="754" t="e">
        <f>'3_Fin-Stat'!X548+W65</f>
        <v>#REF!</v>
      </c>
      <c r="Y65" s="776"/>
      <c r="Z65" s="776"/>
      <c r="AA65" s="13"/>
      <c r="AB65" s="776"/>
      <c r="AC65" s="776"/>
      <c r="AD65" s="11"/>
      <c r="AE65" s="11"/>
      <c r="AF65" s="11"/>
      <c r="AG65" s="11"/>
      <c r="AH65" s="11"/>
      <c r="AI65" s="11"/>
      <c r="AJ65" s="11"/>
      <c r="AK65" s="11"/>
      <c r="AL65" s="11"/>
      <c r="AM65" s="11"/>
      <c r="AN65" s="11"/>
      <c r="AO65" s="779"/>
      <c r="AP65" s="779"/>
      <c r="AQ65" s="779"/>
      <c r="AR65" s="779"/>
      <c r="AS65" s="779"/>
      <c r="AT65" s="779"/>
      <c r="AU65" s="779"/>
      <c r="AV65" s="779"/>
      <c r="AW65" s="779"/>
      <c r="AX65" s="779"/>
      <c r="AY65" s="779"/>
      <c r="AZ65" s="779"/>
      <c r="BA65" s="779"/>
      <c r="BB65" s="779"/>
      <c r="BC65" s="779"/>
      <c r="BD65" s="779"/>
      <c r="BE65" s="779"/>
      <c r="BF65" s="779"/>
      <c r="BG65" s="779"/>
      <c r="BH65" s="779"/>
      <c r="BI65" s="779"/>
      <c r="BJ65" s="779"/>
      <c r="BK65" s="779"/>
      <c r="BL65" s="779"/>
      <c r="BM65" s="779"/>
      <c r="BN65" s="779"/>
      <c r="BO65" s="779"/>
      <c r="BP65" s="779"/>
      <c r="BQ65" s="779"/>
      <c r="BR65" s="779"/>
      <c r="BS65" s="779"/>
      <c r="BT65" s="779"/>
      <c r="BU65" s="779"/>
      <c r="BV65" s="779"/>
      <c r="BW65" s="779"/>
      <c r="BX65" s="779"/>
      <c r="BY65" s="779"/>
      <c r="BZ65" s="779"/>
      <c r="CA65" s="779"/>
      <c r="CB65" s="779"/>
      <c r="CC65" s="779"/>
    </row>
    <row r="66" spans="1:81">
      <c r="A66" s="52">
        <v>2830</v>
      </c>
      <c r="B66" s="776"/>
      <c r="C66" s="776" t="s">
        <v>1085</v>
      </c>
      <c r="E66" s="776"/>
      <c r="F66" s="755"/>
      <c r="G66" s="755"/>
      <c r="H66" s="755"/>
      <c r="I66" s="755"/>
      <c r="J66" s="755"/>
      <c r="K66" s="755"/>
      <c r="L66" s="755"/>
      <c r="M66" s="755">
        <f>-'3_Fin-Stat'!M534</f>
        <v>-1500261</v>
      </c>
      <c r="N66" s="755"/>
      <c r="O66" s="755"/>
      <c r="P66" s="755"/>
      <c r="Q66" s="755">
        <f>-'3_Fin-Stat'!Q552</f>
        <v>-564281</v>
      </c>
      <c r="R66" s="755">
        <f>-'3_Fin-Stat'!R552</f>
        <v>-537123</v>
      </c>
      <c r="S66" s="755">
        <f>-'3_Fin-Stat'!S552</f>
        <v>-943400</v>
      </c>
      <c r="T66" s="755">
        <f>-'3_Fin-Stat'!T552</f>
        <v>-1115900</v>
      </c>
      <c r="U66" s="755">
        <f>-'3_Fin-Stat'!U552</f>
        <v>-134000</v>
      </c>
      <c r="V66" s="755">
        <f>-'3_Fin-Stat'!V552</f>
        <v>-366000</v>
      </c>
      <c r="W66" s="755">
        <f>-'3_Fin-Stat'!W552</f>
        <v>-634000</v>
      </c>
      <c r="X66" s="755">
        <f>-'3_Fin-Stat'!X552</f>
        <v>-158000</v>
      </c>
      <c r="Y66" s="4"/>
      <c r="Z66" s="4"/>
      <c r="AA66" s="22"/>
      <c r="AB66" s="776"/>
      <c r="AC66" s="776"/>
      <c r="AD66" s="11"/>
      <c r="AE66" s="11"/>
      <c r="AF66" s="11"/>
      <c r="AG66" s="11"/>
      <c r="AH66" s="11"/>
      <c r="AI66" s="11"/>
      <c r="AJ66" s="11"/>
      <c r="AK66" s="11"/>
      <c r="AL66" s="11"/>
      <c r="AM66" s="11"/>
      <c r="AN66" s="11"/>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79"/>
      <c r="BO66" s="779"/>
      <c r="BP66" s="779"/>
      <c r="BQ66" s="779"/>
      <c r="BR66" s="779"/>
      <c r="BS66" s="779"/>
      <c r="BT66" s="779"/>
      <c r="BU66" s="779"/>
      <c r="BV66" s="779"/>
      <c r="BW66" s="779"/>
      <c r="BX66" s="779"/>
      <c r="BY66" s="779"/>
      <c r="BZ66" s="779"/>
      <c r="CA66" s="779"/>
      <c r="CB66" s="779"/>
      <c r="CC66" s="779"/>
    </row>
    <row r="67" spans="1:81">
      <c r="A67" s="52"/>
      <c r="B67" s="776"/>
      <c r="C67" s="776"/>
      <c r="E67" s="776"/>
      <c r="F67" s="754">
        <f t="shared" ref="F67:M67" si="49">SUM(F62:F66)</f>
        <v>0</v>
      </c>
      <c r="G67" s="754">
        <f t="shared" si="49"/>
        <v>77813</v>
      </c>
      <c r="H67" s="754">
        <f t="shared" si="49"/>
        <v>77813</v>
      </c>
      <c r="I67" s="754">
        <f t="shared" si="49"/>
        <v>77802</v>
      </c>
      <c r="J67" s="754">
        <f t="shared" si="49"/>
        <v>677802</v>
      </c>
      <c r="K67" s="754">
        <f t="shared" si="49"/>
        <v>677802</v>
      </c>
      <c r="L67" s="754">
        <f t="shared" si="49"/>
        <v>677802</v>
      </c>
      <c r="M67" s="754">
        <f t="shared" si="49"/>
        <v>152452</v>
      </c>
      <c r="N67" s="754"/>
      <c r="O67" s="754" t="e">
        <f t="shared" ref="O67:X67" si="50">SUM(O62:O66)</f>
        <v>#REF!</v>
      </c>
      <c r="P67" s="754" t="e">
        <f t="shared" si="50"/>
        <v>#REF!</v>
      </c>
      <c r="Q67" s="754" t="e">
        <f t="shared" si="50"/>
        <v>#REF!</v>
      </c>
      <c r="R67" s="754" t="e">
        <f t="shared" si="50"/>
        <v>#REF!</v>
      </c>
      <c r="S67" s="754" t="e">
        <f t="shared" si="50"/>
        <v>#REF!</v>
      </c>
      <c r="T67" s="754" t="e">
        <f t="shared" si="50"/>
        <v>#REF!</v>
      </c>
      <c r="U67" s="754" t="e">
        <f t="shared" si="50"/>
        <v>#REF!</v>
      </c>
      <c r="V67" s="754" t="e">
        <f t="shared" si="50"/>
        <v>#REF!</v>
      </c>
      <c r="W67" s="754" t="e">
        <f t="shared" si="50"/>
        <v>#REF!</v>
      </c>
      <c r="X67" s="754" t="e">
        <f t="shared" si="50"/>
        <v>#REF!</v>
      </c>
      <c r="Y67" s="776"/>
      <c r="Z67" s="776"/>
      <c r="AA67" s="13"/>
      <c r="AB67" s="776"/>
      <c r="AC67" s="776"/>
      <c r="AD67" s="11"/>
      <c r="AE67" s="11"/>
      <c r="AF67" s="11"/>
      <c r="AG67" s="11"/>
      <c r="AH67" s="11"/>
      <c r="AI67" s="11"/>
      <c r="AJ67" s="11"/>
      <c r="AK67" s="11"/>
      <c r="AL67" s="11"/>
      <c r="AM67" s="11"/>
      <c r="AN67" s="11"/>
      <c r="AO67" s="779"/>
      <c r="AP67" s="779"/>
      <c r="AQ67" s="779"/>
      <c r="AR67" s="779"/>
      <c r="AS67" s="779"/>
      <c r="AT67" s="779"/>
      <c r="AU67" s="779"/>
      <c r="AV67" s="779"/>
      <c r="AW67" s="779"/>
      <c r="AX67" s="779"/>
      <c r="AY67" s="779"/>
      <c r="AZ67" s="779"/>
      <c r="BA67" s="779"/>
      <c r="BB67" s="779"/>
      <c r="BC67" s="779"/>
      <c r="BD67" s="779"/>
      <c r="BE67" s="779"/>
      <c r="BF67" s="779"/>
      <c r="BG67" s="779"/>
      <c r="BH67" s="779"/>
      <c r="BI67" s="779"/>
      <c r="BJ67" s="779"/>
      <c r="BK67" s="779"/>
      <c r="BL67" s="779"/>
      <c r="BM67" s="779"/>
      <c r="BN67" s="779"/>
      <c r="BO67" s="779"/>
      <c r="BP67" s="779"/>
      <c r="BQ67" s="779"/>
      <c r="BR67" s="779"/>
      <c r="BS67" s="779"/>
      <c r="BT67" s="779"/>
      <c r="BU67" s="779"/>
      <c r="BV67" s="779"/>
      <c r="BW67" s="779"/>
      <c r="BX67" s="779"/>
      <c r="BY67" s="779"/>
      <c r="BZ67" s="779"/>
      <c r="CA67" s="779"/>
      <c r="CB67" s="779"/>
      <c r="CC67" s="779"/>
    </row>
    <row r="68" spans="1:81">
      <c r="A68" s="52">
        <v>2830</v>
      </c>
      <c r="B68" s="776"/>
      <c r="C68" s="776" t="s">
        <v>547</v>
      </c>
      <c r="E68" s="776"/>
      <c r="F68" s="755">
        <f t="shared" ref="F68:M68" si="51">F101</f>
        <v>0</v>
      </c>
      <c r="G68" s="755" t="e">
        <f t="shared" si="51"/>
        <v>#REF!</v>
      </c>
      <c r="H68" s="755" t="e">
        <f t="shared" si="51"/>
        <v>#REF!</v>
      </c>
      <c r="I68" s="755" t="e">
        <f t="shared" si="51"/>
        <v>#REF!</v>
      </c>
      <c r="J68" s="755" t="e">
        <f t="shared" si="51"/>
        <v>#REF!</v>
      </c>
      <c r="K68" s="755" t="e">
        <f t="shared" si="51"/>
        <v>#REF!</v>
      </c>
      <c r="L68" s="755" t="e">
        <f t="shared" si="51"/>
        <v>#REF!</v>
      </c>
      <c r="M68" s="755" t="e">
        <f t="shared" si="51"/>
        <v>#REF!</v>
      </c>
      <c r="N68" s="755"/>
      <c r="O68" s="755" t="e">
        <f t="shared" ref="O68:X68" si="52">O101</f>
        <v>#REF!</v>
      </c>
      <c r="P68" s="755" t="e">
        <f t="shared" si="52"/>
        <v>#REF!</v>
      </c>
      <c r="Q68" s="755" t="e">
        <f t="shared" si="52"/>
        <v>#REF!</v>
      </c>
      <c r="R68" s="755" t="e">
        <f t="shared" si="52"/>
        <v>#REF!</v>
      </c>
      <c r="S68" s="755" t="e">
        <f t="shared" si="52"/>
        <v>#REF!</v>
      </c>
      <c r="T68" s="755" t="e">
        <f t="shared" si="52"/>
        <v>#REF!</v>
      </c>
      <c r="U68" s="755" t="e">
        <f t="shared" si="52"/>
        <v>#REF!</v>
      </c>
      <c r="V68" s="755" t="e">
        <f t="shared" si="52"/>
        <v>#REF!</v>
      </c>
      <c r="W68" s="755" t="e">
        <f t="shared" si="52"/>
        <v>#REF!</v>
      </c>
      <c r="X68" s="755" t="e">
        <f t="shared" si="52"/>
        <v>#REF!</v>
      </c>
      <c r="Y68" s="4"/>
      <c r="Z68" s="4"/>
      <c r="AA68" s="22"/>
      <c r="AB68" s="776"/>
      <c r="AC68" s="776"/>
      <c r="AD68" s="11"/>
      <c r="AE68" s="11"/>
      <c r="AF68" s="11"/>
      <c r="AG68" s="11"/>
      <c r="AH68" s="11"/>
      <c r="AI68" s="11"/>
      <c r="AJ68" s="11"/>
      <c r="AK68" s="11"/>
      <c r="AL68" s="11"/>
      <c r="AM68" s="11"/>
      <c r="AN68" s="11"/>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79"/>
      <c r="BO68" s="779"/>
      <c r="BP68" s="779"/>
      <c r="BQ68" s="779"/>
      <c r="BR68" s="779"/>
      <c r="BS68" s="779"/>
      <c r="BT68" s="779"/>
      <c r="BU68" s="779"/>
      <c r="BV68" s="779"/>
      <c r="BW68" s="779"/>
      <c r="BX68" s="779"/>
      <c r="BY68" s="779"/>
      <c r="BZ68" s="779"/>
      <c r="CA68" s="779"/>
      <c r="CB68" s="779"/>
      <c r="CC68" s="779"/>
    </row>
    <row r="69" spans="1:81">
      <c r="A69" s="52"/>
      <c r="B69" s="776"/>
      <c r="C69" s="776"/>
      <c r="E69" s="776"/>
      <c r="F69" s="754">
        <f t="shared" ref="F69:M69" si="53">F67+F68</f>
        <v>0</v>
      </c>
      <c r="G69" s="754" t="e">
        <f t="shared" si="53"/>
        <v>#REF!</v>
      </c>
      <c r="H69" s="754" t="e">
        <f t="shared" si="53"/>
        <v>#REF!</v>
      </c>
      <c r="I69" s="754" t="e">
        <f t="shared" si="53"/>
        <v>#REF!</v>
      </c>
      <c r="J69" s="754" t="e">
        <f t="shared" si="53"/>
        <v>#REF!</v>
      </c>
      <c r="K69" s="754" t="e">
        <f t="shared" si="53"/>
        <v>#REF!</v>
      </c>
      <c r="L69" s="754" t="e">
        <f t="shared" si="53"/>
        <v>#REF!</v>
      </c>
      <c r="M69" s="754" t="e">
        <f t="shared" si="53"/>
        <v>#REF!</v>
      </c>
      <c r="N69" s="754"/>
      <c r="O69" s="754" t="e">
        <f t="shared" ref="O69:X69" si="54">O67+O68</f>
        <v>#REF!</v>
      </c>
      <c r="P69" s="754" t="e">
        <f t="shared" si="54"/>
        <v>#REF!</v>
      </c>
      <c r="Q69" s="754" t="e">
        <f t="shared" si="54"/>
        <v>#REF!</v>
      </c>
      <c r="R69" s="754" t="e">
        <f t="shared" si="54"/>
        <v>#REF!</v>
      </c>
      <c r="S69" s="754" t="e">
        <f t="shared" si="54"/>
        <v>#REF!</v>
      </c>
      <c r="T69" s="754" t="e">
        <f t="shared" si="54"/>
        <v>#REF!</v>
      </c>
      <c r="U69" s="754" t="e">
        <f t="shared" si="54"/>
        <v>#REF!</v>
      </c>
      <c r="V69" s="754" t="e">
        <f t="shared" si="54"/>
        <v>#REF!</v>
      </c>
      <c r="W69" s="754" t="e">
        <f t="shared" si="54"/>
        <v>#REF!</v>
      </c>
      <c r="X69" s="754" t="e">
        <f t="shared" si="54"/>
        <v>#REF!</v>
      </c>
      <c r="Y69" s="776"/>
      <c r="Z69" s="776"/>
      <c r="AA69" s="13"/>
      <c r="AB69" s="776"/>
      <c r="AC69" s="776"/>
      <c r="AD69" s="11"/>
      <c r="AE69" s="11"/>
      <c r="AF69" s="11"/>
      <c r="AG69" s="11"/>
      <c r="AH69" s="11"/>
      <c r="AI69" s="11"/>
      <c r="AJ69" s="11"/>
      <c r="AK69" s="11"/>
      <c r="AL69" s="11"/>
      <c r="AM69" s="11"/>
      <c r="AN69" s="11"/>
      <c r="AO69" s="779"/>
      <c r="AP69" s="779"/>
      <c r="AQ69" s="779"/>
      <c r="AR69" s="779"/>
      <c r="AS69" s="779"/>
      <c r="AT69" s="779"/>
      <c r="AU69" s="779"/>
      <c r="AV69" s="779"/>
      <c r="AW69" s="779"/>
      <c r="AX69" s="779"/>
      <c r="AY69" s="779"/>
      <c r="AZ69" s="779"/>
      <c r="BA69" s="779"/>
      <c r="BB69" s="779"/>
      <c r="BC69" s="779"/>
      <c r="BD69" s="779"/>
      <c r="BE69" s="779"/>
      <c r="BF69" s="779"/>
      <c r="BG69" s="779"/>
      <c r="BH69" s="779"/>
      <c r="BI69" s="779"/>
      <c r="BJ69" s="779"/>
      <c r="BK69" s="779"/>
      <c r="BL69" s="779"/>
      <c r="BM69" s="779"/>
      <c r="BN69" s="779"/>
      <c r="BO69" s="779"/>
      <c r="BP69" s="779"/>
      <c r="BQ69" s="779"/>
      <c r="BR69" s="779"/>
      <c r="BS69" s="779"/>
      <c r="BT69" s="779"/>
      <c r="BU69" s="779"/>
      <c r="BV69" s="779"/>
      <c r="BW69" s="779"/>
      <c r="BX69" s="779"/>
      <c r="BY69" s="779"/>
      <c r="BZ69" s="779"/>
      <c r="CA69" s="779"/>
      <c r="CB69" s="779"/>
      <c r="CC69" s="779"/>
    </row>
    <row r="70" spans="1:81">
      <c r="A70" s="52">
        <v>2940</v>
      </c>
      <c r="B70" s="776"/>
      <c r="C70" s="776" t="s">
        <v>345</v>
      </c>
      <c r="E70" s="776"/>
      <c r="F70" s="754"/>
      <c r="G70" s="754"/>
      <c r="H70" s="754">
        <v>1387</v>
      </c>
      <c r="I70" s="754">
        <f>-8957+H70</f>
        <v>-7570</v>
      </c>
      <c r="J70" s="754">
        <f>5471+I70</f>
        <v>-2099</v>
      </c>
      <c r="K70" s="754">
        <v>-15627</v>
      </c>
      <c r="L70" s="754">
        <v>-17724</v>
      </c>
      <c r="M70" s="754">
        <v>6</v>
      </c>
      <c r="N70" s="754"/>
      <c r="O70" s="754">
        <v>85</v>
      </c>
      <c r="P70" s="754">
        <v>340</v>
      </c>
      <c r="Q70" s="754">
        <v>-2720</v>
      </c>
      <c r="R70" s="754">
        <v>-655</v>
      </c>
      <c r="S70" s="754">
        <v>-1717</v>
      </c>
      <c r="T70" s="759" t="e">
        <f>'3_Fin-Stat'!#REF!</f>
        <v>#REF!</v>
      </c>
      <c r="U70" s="759" t="e">
        <f>'3_Fin-Stat'!#REF!</f>
        <v>#REF!</v>
      </c>
      <c r="V70" s="759" t="e">
        <f>'3_Fin-Stat'!#REF!</f>
        <v>#REF!</v>
      </c>
      <c r="W70" s="759" t="e">
        <f>'3_Fin-Stat'!#REF!</f>
        <v>#REF!</v>
      </c>
      <c r="X70" s="759" t="e">
        <f>'3_Fin-Stat'!#REF!</f>
        <v>#REF!</v>
      </c>
      <c r="Y70" s="776"/>
      <c r="Z70" s="776"/>
      <c r="AA70" s="13"/>
      <c r="AB70" s="776"/>
      <c r="AC70" s="776"/>
      <c r="AD70" s="11"/>
      <c r="AE70" s="11"/>
      <c r="AF70" s="11"/>
      <c r="AG70" s="11"/>
      <c r="AH70" s="11"/>
      <c r="AI70" s="11"/>
      <c r="AJ70" s="11"/>
      <c r="AK70" s="11"/>
      <c r="AL70" s="11"/>
      <c r="AM70" s="11"/>
      <c r="AN70" s="11"/>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79"/>
      <c r="BO70" s="779"/>
      <c r="BP70" s="779"/>
      <c r="BQ70" s="779"/>
      <c r="BR70" s="779"/>
      <c r="BS70" s="779"/>
      <c r="BT70" s="779"/>
      <c r="BU70" s="779"/>
      <c r="BV70" s="779"/>
      <c r="BW70" s="779"/>
      <c r="BX70" s="779"/>
      <c r="BY70" s="779"/>
      <c r="BZ70" s="779"/>
      <c r="CA70" s="779"/>
      <c r="CB70" s="779"/>
      <c r="CC70" s="779"/>
    </row>
    <row r="71" spans="1:81">
      <c r="A71" s="52">
        <v>2840</v>
      </c>
      <c r="B71" s="776"/>
      <c r="C71" s="776" t="s">
        <v>346</v>
      </c>
      <c r="E71" s="776"/>
      <c r="F71" s="754"/>
      <c r="G71" s="754"/>
      <c r="H71" s="754"/>
      <c r="I71" s="754"/>
      <c r="J71" s="754"/>
      <c r="K71" s="754"/>
      <c r="L71" s="754"/>
      <c r="M71" s="754">
        <v>14891</v>
      </c>
      <c r="N71" s="754"/>
      <c r="O71" s="754">
        <v>-24352</v>
      </c>
      <c r="P71" s="754">
        <v>-5525</v>
      </c>
      <c r="Q71" s="754">
        <v>659</v>
      </c>
      <c r="R71" s="754">
        <v>-217</v>
      </c>
      <c r="S71" s="754">
        <v>-41806</v>
      </c>
      <c r="T71" s="759" t="e">
        <f>'3_Fin-Stat'!#REF!</f>
        <v>#REF!</v>
      </c>
      <c r="U71" s="759" t="e">
        <f>'3_Fin-Stat'!#REF!</f>
        <v>#REF!</v>
      </c>
      <c r="V71" s="759" t="e">
        <f>'3_Fin-Stat'!#REF!</f>
        <v>#REF!</v>
      </c>
      <c r="W71" s="759" t="e">
        <f>'3_Fin-Stat'!#REF!</f>
        <v>#REF!</v>
      </c>
      <c r="X71" s="759" t="e">
        <f>'3_Fin-Stat'!#REF!</f>
        <v>#REF!</v>
      </c>
      <c r="Y71" s="776"/>
      <c r="Z71" s="776"/>
      <c r="AA71" s="13"/>
      <c r="AB71" s="776"/>
      <c r="AC71" s="776"/>
      <c r="AD71" s="11"/>
      <c r="AE71" s="11"/>
      <c r="AF71" s="11"/>
      <c r="AG71" s="11"/>
      <c r="AH71" s="11"/>
      <c r="AI71" s="11"/>
      <c r="AJ71" s="11"/>
      <c r="AK71" s="11"/>
      <c r="AL71" s="11"/>
      <c r="AM71" s="11"/>
      <c r="AN71" s="11"/>
      <c r="AO71" s="779"/>
      <c r="AP71" s="779"/>
      <c r="AQ71" s="779"/>
      <c r="AR71" s="779"/>
      <c r="AS71" s="779"/>
      <c r="AT71" s="779"/>
      <c r="AU71" s="779"/>
      <c r="AV71" s="779"/>
      <c r="AW71" s="779"/>
      <c r="AX71" s="779"/>
      <c r="AY71" s="779"/>
      <c r="AZ71" s="779"/>
      <c r="BA71" s="779"/>
      <c r="BB71" s="779"/>
      <c r="BC71" s="779"/>
      <c r="BD71" s="779"/>
      <c r="BE71" s="779"/>
      <c r="BF71" s="779"/>
      <c r="BG71" s="779"/>
      <c r="BH71" s="779"/>
      <c r="BI71" s="779"/>
      <c r="BJ71" s="779"/>
      <c r="BK71" s="779"/>
      <c r="BL71" s="779"/>
      <c r="BM71" s="779"/>
      <c r="BN71" s="779"/>
      <c r="BO71" s="779"/>
      <c r="BP71" s="779"/>
      <c r="BQ71" s="779"/>
      <c r="BR71" s="779"/>
      <c r="BS71" s="779"/>
      <c r="BT71" s="779"/>
      <c r="BU71" s="779"/>
      <c r="BV71" s="779"/>
      <c r="BW71" s="779"/>
      <c r="BX71" s="779"/>
      <c r="BY71" s="779"/>
      <c r="BZ71" s="779"/>
      <c r="CA71" s="779"/>
      <c r="CB71" s="779"/>
      <c r="CC71" s="779"/>
    </row>
    <row r="72" spans="1:81">
      <c r="A72" s="52">
        <v>2840</v>
      </c>
      <c r="B72" s="776"/>
      <c r="C72" s="776" t="s">
        <v>347</v>
      </c>
      <c r="E72" s="776"/>
      <c r="F72" s="754"/>
      <c r="G72" s="754"/>
      <c r="H72" s="754"/>
      <c r="I72" s="754"/>
      <c r="J72" s="754"/>
      <c r="K72" s="754"/>
      <c r="L72" s="754"/>
      <c r="M72" s="754">
        <v>1065</v>
      </c>
      <c r="N72" s="754"/>
      <c r="O72" s="754">
        <v>-673</v>
      </c>
      <c r="P72" s="754">
        <v>380</v>
      </c>
      <c r="Q72" s="754">
        <v>387</v>
      </c>
      <c r="R72" s="754">
        <v>162</v>
      </c>
      <c r="S72" s="754">
        <v>-45</v>
      </c>
      <c r="T72" s="759" t="e">
        <f>'3_Fin-Stat'!#REF!</f>
        <v>#REF!</v>
      </c>
      <c r="U72" s="759" t="e">
        <f>'3_Fin-Stat'!#REF!</f>
        <v>#REF!</v>
      </c>
      <c r="V72" s="759" t="e">
        <f>'3_Fin-Stat'!#REF!</f>
        <v>#REF!</v>
      </c>
      <c r="W72" s="759" t="e">
        <f>'3_Fin-Stat'!#REF!</f>
        <v>#REF!</v>
      </c>
      <c r="X72" s="759" t="e">
        <f>'3_Fin-Stat'!#REF!</f>
        <v>#REF!</v>
      </c>
      <c r="Y72" s="776"/>
      <c r="Z72" s="776"/>
      <c r="AA72" s="13"/>
      <c r="AB72" s="776"/>
      <c r="AC72" s="776"/>
      <c r="AD72" s="11"/>
      <c r="AE72" s="11"/>
      <c r="AF72" s="11"/>
      <c r="AG72" s="11"/>
      <c r="AH72" s="11"/>
      <c r="AI72" s="11"/>
      <c r="AJ72" s="11"/>
      <c r="AK72" s="11"/>
      <c r="AL72" s="11"/>
      <c r="AM72" s="11"/>
      <c r="AN72" s="11"/>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79"/>
      <c r="BO72" s="779"/>
      <c r="BP72" s="779"/>
      <c r="BQ72" s="779"/>
      <c r="BR72" s="779"/>
      <c r="BS72" s="779"/>
      <c r="BT72" s="779"/>
      <c r="BU72" s="779"/>
      <c r="BV72" s="779"/>
      <c r="BW72" s="779"/>
      <c r="BX72" s="779"/>
      <c r="BY72" s="779"/>
      <c r="BZ72" s="779"/>
      <c r="CA72" s="779"/>
      <c r="CB72" s="779"/>
      <c r="CC72" s="779"/>
    </row>
    <row r="73" spans="1:81">
      <c r="A73" s="52">
        <v>2930</v>
      </c>
      <c r="B73" s="776"/>
      <c r="C73" s="776" t="s">
        <v>519</v>
      </c>
      <c r="E73" s="776"/>
      <c r="F73" s="755">
        <v>-38645</v>
      </c>
      <c r="G73" s="755">
        <v>-4662</v>
      </c>
      <c r="H73" s="755">
        <v>-61041</v>
      </c>
      <c r="I73" s="755">
        <v>-7985</v>
      </c>
      <c r="J73" s="755">
        <v>24099</v>
      </c>
      <c r="K73" s="755">
        <v>139604</v>
      </c>
      <c r="L73" s="755">
        <v>209002</v>
      </c>
      <c r="M73" s="755">
        <v>169389</v>
      </c>
      <c r="N73" s="755"/>
      <c r="O73" s="755">
        <v>-111560</v>
      </c>
      <c r="P73" s="755">
        <v>-50648</v>
      </c>
      <c r="Q73" s="755">
        <v>-215998</v>
      </c>
      <c r="R73" s="755">
        <v>-61402</v>
      </c>
      <c r="S73" s="755">
        <v>-148787</v>
      </c>
      <c r="T73" s="761" t="e">
        <f>'3_Fin-Stat'!#REF!</f>
        <v>#REF!</v>
      </c>
      <c r="U73" s="761" t="e">
        <f>'3_Fin-Stat'!#REF!</f>
        <v>#REF!</v>
      </c>
      <c r="V73" s="761" t="e">
        <f>'3_Fin-Stat'!#REF!</f>
        <v>#REF!</v>
      </c>
      <c r="W73" s="761" t="e">
        <f>'3_Fin-Stat'!#REF!</f>
        <v>#REF!</v>
      </c>
      <c r="X73" s="761" t="e">
        <f>'3_Fin-Stat'!#REF!</f>
        <v>#REF!</v>
      </c>
      <c r="Y73" s="4"/>
      <c r="Z73" s="4"/>
      <c r="AA73" s="22"/>
      <c r="AB73" s="776"/>
      <c r="AC73" s="776"/>
      <c r="AD73" s="11"/>
      <c r="AE73" s="11"/>
      <c r="AF73" s="11"/>
      <c r="AG73" s="11"/>
      <c r="AH73" s="11"/>
      <c r="AI73" s="11"/>
      <c r="AJ73" s="11"/>
      <c r="AK73" s="11"/>
      <c r="AL73" s="11"/>
      <c r="AM73" s="11"/>
      <c r="AN73" s="11"/>
      <c r="AO73" s="779"/>
      <c r="AP73" s="779"/>
      <c r="AQ73" s="779"/>
      <c r="AR73" s="779"/>
      <c r="AS73" s="779"/>
      <c r="AT73" s="779"/>
      <c r="AU73" s="779"/>
      <c r="AV73" s="779"/>
      <c r="AW73" s="779"/>
      <c r="AX73" s="779"/>
      <c r="AY73" s="779"/>
      <c r="AZ73" s="779"/>
      <c r="BA73" s="779"/>
      <c r="BB73" s="779"/>
      <c r="BC73" s="779"/>
      <c r="BD73" s="779"/>
      <c r="BE73" s="779"/>
      <c r="BF73" s="779"/>
      <c r="BG73" s="779"/>
      <c r="BH73" s="779"/>
      <c r="BI73" s="779"/>
      <c r="BJ73" s="779"/>
      <c r="BK73" s="779"/>
      <c r="BL73" s="779"/>
      <c r="BM73" s="779"/>
      <c r="BN73" s="779"/>
      <c r="BO73" s="779"/>
      <c r="BP73" s="779"/>
      <c r="BQ73" s="779"/>
      <c r="BR73" s="779"/>
      <c r="BS73" s="779"/>
      <c r="BT73" s="779"/>
      <c r="BU73" s="779"/>
      <c r="BV73" s="779"/>
      <c r="BW73" s="779"/>
      <c r="BX73" s="779"/>
      <c r="BY73" s="779"/>
      <c r="BZ73" s="779"/>
      <c r="CA73" s="779"/>
      <c r="CB73" s="779"/>
      <c r="CC73" s="779"/>
    </row>
    <row r="74" spans="1:81">
      <c r="A74" s="52"/>
      <c r="B74" s="776"/>
      <c r="C74" s="776"/>
      <c r="E74" s="776"/>
      <c r="F74" s="754">
        <f t="shared" ref="F74:M74" si="55">F60+F69+F70+F71+F72+F73</f>
        <v>1561355</v>
      </c>
      <c r="G74" s="754" t="e">
        <f t="shared" si="55"/>
        <v>#REF!</v>
      </c>
      <c r="H74" s="754" t="e">
        <f t="shared" si="55"/>
        <v>#REF!</v>
      </c>
      <c r="I74" s="754" t="e">
        <f t="shared" si="55"/>
        <v>#REF!</v>
      </c>
      <c r="J74" s="754" t="e">
        <f t="shared" si="55"/>
        <v>#REF!</v>
      </c>
      <c r="K74" s="754" t="e">
        <f t="shared" si="55"/>
        <v>#REF!</v>
      </c>
      <c r="L74" s="754" t="e">
        <f t="shared" si="55"/>
        <v>#REF!</v>
      </c>
      <c r="M74" s="754" t="e">
        <f t="shared" si="55"/>
        <v>#REF!</v>
      </c>
      <c r="N74" s="754"/>
      <c r="O74" s="754" t="e">
        <f t="shared" ref="O74:X74" si="56">O60+O69+O70+O71+O72+O73</f>
        <v>#REF!</v>
      </c>
      <c r="P74" s="754" t="e">
        <f t="shared" si="56"/>
        <v>#REF!</v>
      </c>
      <c r="Q74" s="754" t="e">
        <f t="shared" si="56"/>
        <v>#REF!</v>
      </c>
      <c r="R74" s="754" t="e">
        <f t="shared" si="56"/>
        <v>#REF!</v>
      </c>
      <c r="S74" s="754" t="e">
        <f t="shared" si="56"/>
        <v>#REF!</v>
      </c>
      <c r="T74" s="754" t="e">
        <f t="shared" si="56"/>
        <v>#REF!</v>
      </c>
      <c r="U74" s="754" t="e">
        <f t="shared" si="56"/>
        <v>#REF!</v>
      </c>
      <c r="V74" s="754" t="e">
        <f t="shared" si="56"/>
        <v>#REF!</v>
      </c>
      <c r="W74" s="754" t="e">
        <f t="shared" si="56"/>
        <v>#REF!</v>
      </c>
      <c r="X74" s="754" t="e">
        <f t="shared" si="56"/>
        <v>#REF!</v>
      </c>
      <c r="Y74" s="776"/>
      <c r="Z74" s="776"/>
      <c r="AA74" s="13"/>
      <c r="AB74" s="776"/>
      <c r="AC74" s="776"/>
      <c r="AD74" s="11"/>
      <c r="AE74" s="11"/>
      <c r="AF74" s="11"/>
      <c r="AG74" s="11"/>
      <c r="AH74" s="11"/>
      <c r="AI74" s="11"/>
      <c r="AJ74" s="11"/>
      <c r="AK74" s="11"/>
      <c r="AL74" s="11"/>
      <c r="AM74" s="11"/>
      <c r="AN74" s="11"/>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79"/>
      <c r="BO74" s="779"/>
      <c r="BP74" s="779"/>
      <c r="BQ74" s="779"/>
      <c r="BR74" s="779"/>
      <c r="BS74" s="779"/>
      <c r="BT74" s="779"/>
      <c r="BU74" s="779"/>
      <c r="BV74" s="779"/>
      <c r="BW74" s="779"/>
      <c r="BX74" s="779"/>
      <c r="BY74" s="779"/>
      <c r="BZ74" s="779"/>
      <c r="CA74" s="779"/>
      <c r="CB74" s="779"/>
      <c r="CC74" s="779"/>
    </row>
    <row r="75" spans="1:81">
      <c r="A75" s="52">
        <v>2770</v>
      </c>
      <c r="B75" s="776"/>
      <c r="C75" s="776" t="s">
        <v>1069</v>
      </c>
      <c r="E75" s="776"/>
      <c r="F75" s="754"/>
      <c r="G75" s="754"/>
      <c r="H75" s="754"/>
      <c r="I75" s="754"/>
      <c r="J75" s="754"/>
      <c r="K75" s="754"/>
      <c r="L75" s="754"/>
      <c r="M75" s="754"/>
      <c r="N75" s="754"/>
      <c r="O75" s="754">
        <f>981+2356</f>
        <v>3337</v>
      </c>
      <c r="P75" s="756">
        <f>1079+1410</f>
        <v>2489</v>
      </c>
      <c r="Q75" s="754">
        <f>1098+607</f>
        <v>1705</v>
      </c>
      <c r="R75" s="754">
        <f>997-99</f>
        <v>898</v>
      </c>
      <c r="S75" s="754"/>
      <c r="T75" s="759"/>
      <c r="U75" s="759"/>
      <c r="V75" s="759"/>
      <c r="W75" s="759"/>
      <c r="X75" s="759"/>
      <c r="Y75" s="776"/>
      <c r="Z75" s="776"/>
      <c r="AA75" s="13"/>
      <c r="AB75" s="776"/>
      <c r="AC75" s="776"/>
      <c r="AD75" s="11"/>
      <c r="AE75" s="11"/>
      <c r="AF75" s="11"/>
      <c r="AG75" s="11"/>
      <c r="AH75" s="11"/>
      <c r="AI75" s="11"/>
      <c r="AJ75" s="11"/>
      <c r="AK75" s="11"/>
      <c r="AL75" s="11"/>
      <c r="AM75" s="11"/>
      <c r="AN75" s="11"/>
      <c r="AO75" s="779"/>
      <c r="AP75" s="779"/>
      <c r="AQ75" s="779"/>
      <c r="AR75" s="779"/>
      <c r="AS75" s="779"/>
      <c r="AT75" s="779"/>
      <c r="AU75" s="779"/>
      <c r="AV75" s="779"/>
      <c r="AW75" s="779"/>
      <c r="AX75" s="779"/>
      <c r="AY75" s="779"/>
      <c r="AZ75" s="779"/>
      <c r="BA75" s="779"/>
      <c r="BB75" s="779"/>
      <c r="BC75" s="779"/>
      <c r="BD75" s="779"/>
      <c r="BE75" s="779"/>
      <c r="BF75" s="779"/>
      <c r="BG75" s="779"/>
      <c r="BH75" s="779"/>
      <c r="BI75" s="779"/>
      <c r="BJ75" s="779"/>
      <c r="BK75" s="779"/>
      <c r="BL75" s="779"/>
      <c r="BM75" s="779"/>
      <c r="BN75" s="779"/>
      <c r="BO75" s="779"/>
      <c r="BP75" s="779"/>
      <c r="BQ75" s="779"/>
      <c r="BR75" s="779"/>
      <c r="BS75" s="779"/>
      <c r="BT75" s="779"/>
      <c r="BU75" s="779"/>
      <c r="BV75" s="779"/>
      <c r="BW75" s="779"/>
      <c r="BX75" s="779"/>
      <c r="BY75" s="779"/>
      <c r="BZ75" s="779"/>
      <c r="CA75" s="779"/>
      <c r="CB75" s="779"/>
      <c r="CC75" s="779"/>
    </row>
    <row r="76" spans="1:81" ht="13.5" thickBot="1">
      <c r="A76" s="52"/>
      <c r="B76" s="776"/>
      <c r="C76" s="1" t="s">
        <v>323</v>
      </c>
      <c r="D76" s="1"/>
      <c r="E76" s="776"/>
      <c r="F76" s="762" t="e">
        <f t="shared" ref="F76:M76" si="57">F44+F58+F74+F75</f>
        <v>#REF!</v>
      </c>
      <c r="G76" s="762" t="e">
        <f t="shared" si="57"/>
        <v>#REF!</v>
      </c>
      <c r="H76" s="762" t="e">
        <f t="shared" si="57"/>
        <v>#REF!</v>
      </c>
      <c r="I76" s="762" t="e">
        <f t="shared" si="57"/>
        <v>#REF!</v>
      </c>
      <c r="J76" s="762" t="e">
        <f t="shared" si="57"/>
        <v>#REF!</v>
      </c>
      <c r="K76" s="762" t="e">
        <f t="shared" si="57"/>
        <v>#REF!</v>
      </c>
      <c r="L76" s="762" t="e">
        <f t="shared" si="57"/>
        <v>#REF!</v>
      </c>
      <c r="M76" s="762" t="e">
        <f t="shared" si="57"/>
        <v>#REF!</v>
      </c>
      <c r="N76" s="762"/>
      <c r="O76" s="762" t="e">
        <f t="shared" ref="O76:X76" si="58">O44+O58+O74+O75</f>
        <v>#REF!</v>
      </c>
      <c r="P76" s="762" t="e">
        <f t="shared" si="58"/>
        <v>#REF!</v>
      </c>
      <c r="Q76" s="762" t="e">
        <f t="shared" si="58"/>
        <v>#REF!</v>
      </c>
      <c r="R76" s="762" t="e">
        <f t="shared" si="58"/>
        <v>#REF!</v>
      </c>
      <c r="S76" s="762" t="e">
        <f t="shared" si="58"/>
        <v>#REF!</v>
      </c>
      <c r="T76" s="762" t="e">
        <f t="shared" si="58"/>
        <v>#REF!</v>
      </c>
      <c r="U76" s="762" t="e">
        <f t="shared" si="58"/>
        <v>#REF!</v>
      </c>
      <c r="V76" s="762" t="e">
        <f t="shared" si="58"/>
        <v>#REF!</v>
      </c>
      <c r="W76" s="762" t="e">
        <f t="shared" si="58"/>
        <v>#REF!</v>
      </c>
      <c r="X76" s="762" t="e">
        <f t="shared" si="58"/>
        <v>#REF!</v>
      </c>
      <c r="Y76" s="747"/>
      <c r="Z76" s="758"/>
      <c r="AA76" s="783"/>
      <c r="AB76" s="776"/>
      <c r="AC76" s="776"/>
      <c r="AD76" s="11"/>
      <c r="AE76" s="11"/>
      <c r="AF76" s="11"/>
      <c r="AG76" s="11"/>
      <c r="AH76" s="11"/>
      <c r="AI76" s="11"/>
      <c r="AJ76" s="11"/>
      <c r="AK76" s="11"/>
      <c r="AL76" s="11"/>
      <c r="AM76" s="11"/>
      <c r="AN76" s="11"/>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79"/>
      <c r="BO76" s="779"/>
      <c r="BP76" s="779"/>
      <c r="BQ76" s="779"/>
      <c r="BR76" s="779"/>
      <c r="BS76" s="779"/>
      <c r="BT76" s="779"/>
      <c r="BU76" s="779"/>
      <c r="BV76" s="779"/>
      <c r="BW76" s="779"/>
      <c r="BX76" s="779"/>
      <c r="BY76" s="779"/>
      <c r="BZ76" s="779"/>
      <c r="CA76" s="779"/>
      <c r="CB76" s="779"/>
      <c r="CC76" s="779"/>
    </row>
    <row r="77" spans="1:81" ht="13.5" thickTop="1">
      <c r="A77" s="791" t="s">
        <v>17</v>
      </c>
      <c r="B77" s="172"/>
      <c r="C77" s="1"/>
      <c r="D77" s="1"/>
      <c r="E77" s="24" t="s">
        <v>5</v>
      </c>
      <c r="F77" s="11" t="e">
        <f t="shared" ref="F77:M77" si="59">F32-F76</f>
        <v>#REF!</v>
      </c>
      <c r="G77" s="11" t="e">
        <f t="shared" si="59"/>
        <v>#REF!</v>
      </c>
      <c r="H77" s="11" t="e">
        <f t="shared" si="59"/>
        <v>#REF!</v>
      </c>
      <c r="I77" s="11" t="e">
        <f t="shared" si="59"/>
        <v>#REF!</v>
      </c>
      <c r="J77" s="11" t="e">
        <f t="shared" si="59"/>
        <v>#REF!</v>
      </c>
      <c r="K77" s="11" t="e">
        <f t="shared" si="59"/>
        <v>#REF!</v>
      </c>
      <c r="L77" s="11" t="e">
        <f t="shared" si="59"/>
        <v>#REF!</v>
      </c>
      <c r="M77" s="11" t="e">
        <f t="shared" si="59"/>
        <v>#REF!</v>
      </c>
      <c r="N77" s="11"/>
      <c r="O77" s="11" t="e">
        <f>O32-O76</f>
        <v>#REF!</v>
      </c>
      <c r="P77" s="11" t="e">
        <f>P32-P76</f>
        <v>#REF!</v>
      </c>
      <c r="Q77" s="11" t="e">
        <f>Q32-Q76</f>
        <v>#REF!</v>
      </c>
      <c r="R77" s="11" t="e">
        <f>R32-R76</f>
        <v>#REF!</v>
      </c>
      <c r="S77" s="2" t="e">
        <f>S76-S32</f>
        <v>#REF!</v>
      </c>
      <c r="T77" s="764" t="e">
        <f>T76-T32</f>
        <v>#REF!</v>
      </c>
      <c r="U77" s="776"/>
      <c r="V77" s="17"/>
      <c r="W77" s="776"/>
      <c r="X77" s="776"/>
      <c r="Y77" s="776"/>
      <c r="Z77" s="776"/>
      <c r="AA77" s="13"/>
      <c r="AB77" s="776"/>
      <c r="AC77" s="776"/>
      <c r="AD77" s="11"/>
      <c r="AE77" s="11"/>
      <c r="AF77" s="11"/>
      <c r="AG77" s="11"/>
      <c r="AH77" s="11"/>
      <c r="AI77" s="11"/>
      <c r="AJ77" s="11"/>
      <c r="AK77" s="11"/>
      <c r="AL77" s="11"/>
      <c r="AM77" s="11"/>
      <c r="AN77" s="11"/>
      <c r="AO77" s="779"/>
      <c r="AP77" s="779"/>
      <c r="AQ77" s="779"/>
      <c r="AR77" s="779"/>
      <c r="AS77" s="779"/>
      <c r="AT77" s="779"/>
      <c r="AU77" s="779"/>
      <c r="AV77" s="779"/>
      <c r="AW77" s="779"/>
      <c r="AX77" s="779"/>
      <c r="AY77" s="779"/>
      <c r="AZ77" s="779"/>
      <c r="BA77" s="779"/>
      <c r="BB77" s="779"/>
      <c r="BC77" s="779"/>
      <c r="BD77" s="779"/>
      <c r="BE77" s="779"/>
      <c r="BF77" s="779"/>
      <c r="BG77" s="779"/>
      <c r="BH77" s="779"/>
      <c r="BI77" s="779"/>
      <c r="BJ77" s="779"/>
      <c r="BK77" s="779"/>
      <c r="BL77" s="779"/>
      <c r="BM77" s="779"/>
      <c r="BN77" s="779"/>
      <c r="BO77" s="779"/>
      <c r="BP77" s="779"/>
      <c r="BQ77" s="779"/>
      <c r="BR77" s="779"/>
      <c r="BS77" s="779"/>
      <c r="BT77" s="779"/>
      <c r="BU77" s="779"/>
      <c r="BV77" s="779"/>
      <c r="BW77" s="779"/>
      <c r="BX77" s="779"/>
      <c r="BY77" s="779"/>
      <c r="BZ77" s="779"/>
      <c r="CA77" s="779"/>
      <c r="CB77" s="779"/>
      <c r="CC77" s="779"/>
    </row>
    <row r="78" spans="1:81">
      <c r="A78" s="52">
        <v>1</v>
      </c>
      <c r="B78" s="776"/>
      <c r="C78" s="782" t="s">
        <v>1086</v>
      </c>
      <c r="D78" s="782"/>
      <c r="E78" s="782"/>
      <c r="F78" s="798">
        <v>1999</v>
      </c>
      <c r="G78" s="798">
        <f t="shared" ref="G78:M78" si="60">F78+1</f>
        <v>2000</v>
      </c>
      <c r="H78" s="798">
        <f t="shared" si="60"/>
        <v>2001</v>
      </c>
      <c r="I78" s="798">
        <f t="shared" si="60"/>
        <v>2002</v>
      </c>
      <c r="J78" s="798">
        <f t="shared" si="60"/>
        <v>2003</v>
      </c>
      <c r="K78" s="798">
        <f t="shared" si="60"/>
        <v>2004</v>
      </c>
      <c r="L78" s="798">
        <f t="shared" si="60"/>
        <v>2005</v>
      </c>
      <c r="M78" s="798">
        <f t="shared" si="60"/>
        <v>2006</v>
      </c>
      <c r="N78" s="798">
        <f t="shared" ref="N78" si="61">M78+1</f>
        <v>2007</v>
      </c>
      <c r="O78" s="798">
        <f t="shared" ref="O78" si="62">N78+1</f>
        <v>2008</v>
      </c>
      <c r="P78" s="798">
        <f t="shared" ref="P78" si="63">O78+1</f>
        <v>2009</v>
      </c>
      <c r="Q78" s="798">
        <f t="shared" ref="Q78" si="64">P78+1</f>
        <v>2010</v>
      </c>
      <c r="R78" s="798">
        <f t="shared" ref="R78" si="65">Q78+1</f>
        <v>2011</v>
      </c>
      <c r="S78" s="798">
        <f t="shared" ref="S78" si="66">R78+1</f>
        <v>2012</v>
      </c>
      <c r="T78" s="798">
        <f t="shared" ref="T78" si="67">S78+1</f>
        <v>2013</v>
      </c>
      <c r="U78" s="798">
        <f t="shared" ref="U78" si="68">T78+1</f>
        <v>2014</v>
      </c>
      <c r="V78" s="798">
        <f t="shared" ref="V78" si="69">U78+1</f>
        <v>2015</v>
      </c>
      <c r="W78" s="798">
        <f t="shared" ref="W78" si="70">V78+1</f>
        <v>2016</v>
      </c>
      <c r="X78" s="798">
        <f t="shared" ref="X78" si="71">W78+1</f>
        <v>2017</v>
      </c>
      <c r="Y78" s="798">
        <f t="shared" ref="Y78" si="72">X78+1</f>
        <v>2018</v>
      </c>
      <c r="Z78" s="798">
        <f t="shared" ref="Z78" si="73">Y78+1</f>
        <v>2019</v>
      </c>
      <c r="AA78" s="798">
        <f t="shared" ref="AA78" si="74">Z78+1</f>
        <v>2020</v>
      </c>
      <c r="AB78" s="776"/>
      <c r="AC78" s="776"/>
      <c r="AD78" s="11"/>
      <c r="AE78" s="11"/>
      <c r="AF78" s="11"/>
      <c r="AG78" s="11"/>
      <c r="AH78" s="11"/>
      <c r="AI78" s="11"/>
      <c r="AJ78" s="11"/>
      <c r="AK78" s="11"/>
      <c r="AL78" s="11"/>
      <c r="AM78" s="11"/>
      <c r="AN78" s="11"/>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79"/>
      <c r="BO78" s="779"/>
      <c r="BP78" s="779"/>
      <c r="BQ78" s="779"/>
      <c r="BR78" s="779"/>
      <c r="BS78" s="779"/>
      <c r="BT78" s="779"/>
      <c r="BU78" s="779"/>
      <c r="BV78" s="779"/>
      <c r="BW78" s="779"/>
      <c r="BX78" s="779"/>
      <c r="BY78" s="779"/>
      <c r="BZ78" s="779"/>
      <c r="CA78" s="779"/>
      <c r="CB78" s="779"/>
      <c r="CC78" s="779"/>
    </row>
    <row r="79" spans="1:81" s="776" customFormat="1">
      <c r="A79" s="52"/>
      <c r="C79" s="39" t="s">
        <v>1199</v>
      </c>
      <c r="D79" s="39"/>
      <c r="E79" s="17"/>
      <c r="F79" s="17" t="e">
        <f>'3_Fin-Stat'!#REF!</f>
        <v>#REF!</v>
      </c>
      <c r="G79" s="17" t="e">
        <f>'3_Fin-Stat'!#REF!</f>
        <v>#REF!</v>
      </c>
      <c r="H79" s="17" t="e">
        <f>'3_Fin-Stat'!#REF!</f>
        <v>#REF!</v>
      </c>
      <c r="I79" s="17" t="e">
        <f>'3_Fin-Stat'!#REF!</f>
        <v>#REF!</v>
      </c>
      <c r="J79" s="17" t="e">
        <f>'3_Fin-Stat'!#REF!</f>
        <v>#REF!</v>
      </c>
      <c r="K79" s="17" t="e">
        <f>'3_Fin-Stat'!#REF!</f>
        <v>#REF!</v>
      </c>
      <c r="L79" s="17" t="e">
        <f>'3_Fin-Stat'!#REF!</f>
        <v>#REF!</v>
      </c>
      <c r="M79" s="17" t="e">
        <f>'3_Fin-Stat'!#REF!</f>
        <v>#REF!</v>
      </c>
      <c r="N79" s="17"/>
      <c r="O79" s="17" t="e">
        <f>'3_Fin-Stat'!#REF!</f>
        <v>#REF!</v>
      </c>
      <c r="P79" s="20" t="e">
        <f>'3_Fin-Stat'!#REF!</f>
        <v>#REF!</v>
      </c>
      <c r="Q79" s="20" t="e">
        <f>'3_Fin-Stat'!#REF!</f>
        <v>#REF!</v>
      </c>
      <c r="R79" s="20" t="e">
        <f>'3_Fin-Stat'!#REF!</f>
        <v>#REF!</v>
      </c>
      <c r="S79" s="20" t="e">
        <f>'3_Fin-Stat'!#REF!</f>
        <v>#REF!</v>
      </c>
      <c r="T79" s="20" t="e">
        <f>'3_Fin-Stat'!#REF!</f>
        <v>#REF!</v>
      </c>
      <c r="U79" s="20" t="e">
        <f>'3_Fin-Stat'!#REF!</f>
        <v>#REF!</v>
      </c>
      <c r="V79" s="20" t="e">
        <f>'3_Fin-Stat'!#REF!</f>
        <v>#REF!</v>
      </c>
      <c r="W79" s="20" t="e">
        <f>'3_Fin-Stat'!#REF!</f>
        <v>#REF!</v>
      </c>
      <c r="X79" s="20" t="e">
        <f>'3_Fin-Stat'!#REF!</f>
        <v>#REF!</v>
      </c>
      <c r="AA79" s="13"/>
      <c r="AD79" s="11"/>
      <c r="AE79" s="11"/>
      <c r="AF79" s="11"/>
      <c r="AG79" s="11"/>
      <c r="AH79" s="11"/>
      <c r="AI79" s="11"/>
      <c r="AJ79" s="11"/>
      <c r="AK79" s="11"/>
      <c r="AL79" s="11"/>
      <c r="AM79" s="11"/>
      <c r="AN79" s="11"/>
      <c r="AO79" s="779"/>
      <c r="AP79" s="779"/>
      <c r="AQ79" s="779"/>
      <c r="AR79" s="779"/>
      <c r="AS79" s="779"/>
      <c r="AT79" s="779"/>
      <c r="AU79" s="779"/>
      <c r="AV79" s="779"/>
      <c r="AW79" s="779"/>
      <c r="AX79" s="779"/>
      <c r="AY79" s="779"/>
      <c r="AZ79" s="779"/>
      <c r="BA79" s="779"/>
      <c r="BB79" s="779"/>
      <c r="BC79" s="779"/>
      <c r="BD79" s="779"/>
      <c r="BE79" s="779"/>
      <c r="BF79" s="779"/>
      <c r="BG79" s="779"/>
      <c r="BH79" s="779"/>
      <c r="BI79" s="779"/>
      <c r="BJ79" s="779"/>
      <c r="BK79" s="779"/>
      <c r="BL79" s="779"/>
      <c r="BM79" s="779"/>
      <c r="BN79" s="779"/>
      <c r="BO79" s="779"/>
      <c r="BP79" s="779"/>
      <c r="BQ79" s="779"/>
      <c r="BR79" s="779"/>
      <c r="BS79" s="779"/>
      <c r="BT79" s="779"/>
      <c r="BU79" s="779"/>
      <c r="BV79" s="779"/>
      <c r="BW79" s="779"/>
      <c r="BX79" s="779"/>
      <c r="BY79" s="779"/>
      <c r="BZ79" s="779"/>
      <c r="CA79" s="779"/>
      <c r="CB79" s="779"/>
      <c r="CC79" s="779"/>
    </row>
    <row r="80" spans="1:81">
      <c r="A80" s="52"/>
      <c r="B80" s="776"/>
      <c r="C80" s="39" t="s">
        <v>504</v>
      </c>
      <c r="D80" s="39"/>
      <c r="E80" s="17"/>
      <c r="F80" s="17">
        <f>'3_Fin-Stat'!F516</f>
        <v>-2552</v>
      </c>
      <c r="G80" s="17">
        <f>'3_Fin-Stat'!G516</f>
        <v>-27422</v>
      </c>
      <c r="H80" s="17">
        <f>'3_Fin-Stat'!H516</f>
        <v>-21566</v>
      </c>
      <c r="I80" s="17">
        <f>'3_Fin-Stat'!I516</f>
        <v>-33877</v>
      </c>
      <c r="J80" s="17">
        <f>'3_Fin-Stat'!J516</f>
        <v>-57697</v>
      </c>
      <c r="K80" s="17">
        <f>'3_Fin-Stat'!K516</f>
        <v>-81940</v>
      </c>
      <c r="L80" s="17">
        <f>'3_Fin-Stat'!L516</f>
        <v>-94155</v>
      </c>
      <c r="M80" s="17">
        <f>'3_Fin-Stat'!M516</f>
        <v>-68969</v>
      </c>
      <c r="N80" s="17"/>
      <c r="O80" s="17">
        <f>'3_Fin-Stat'!O516</f>
        <v>-57826</v>
      </c>
      <c r="P80" s="20">
        <f>'3_Fin-Stat'!P516</f>
        <v>-71608</v>
      </c>
      <c r="Q80" s="20">
        <f>'3_Fin-Stat'!Q516</f>
        <v>-80512</v>
      </c>
      <c r="R80" s="20">
        <f>'3_Fin-Stat'!R516</f>
        <v>-105034</v>
      </c>
      <c r="S80" s="20">
        <f>'3_Fin-Stat'!S516</f>
        <v>-91200</v>
      </c>
      <c r="T80" s="20">
        <f>'3_Fin-Stat'!T516</f>
        <v>-106500</v>
      </c>
      <c r="U80" s="20">
        <f>'3_Fin-Stat'!U516</f>
        <v>-80000</v>
      </c>
      <c r="V80" s="20">
        <f>'3_Fin-Stat'!V516</f>
        <v>-78000</v>
      </c>
      <c r="W80" s="20">
        <f>'3_Fin-Stat'!W516</f>
        <v>-75000</v>
      </c>
      <c r="X80" s="20">
        <f>'3_Fin-Stat'!X516</f>
        <v>-75000</v>
      </c>
      <c r="Y80" s="776"/>
      <c r="Z80" s="776"/>
      <c r="AA80" s="13"/>
      <c r="AB80" s="776"/>
      <c r="AC80" s="776"/>
      <c r="AD80" s="11"/>
      <c r="AE80" s="11"/>
      <c r="AF80" s="11"/>
      <c r="AG80" s="11"/>
      <c r="AH80" s="11"/>
      <c r="AI80" s="11"/>
      <c r="AJ80" s="11"/>
      <c r="AK80" s="11"/>
      <c r="AL80" s="11"/>
      <c r="AM80" s="11"/>
      <c r="AN80" s="11"/>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79"/>
      <c r="BO80" s="779"/>
      <c r="BP80" s="779"/>
      <c r="BQ80" s="779"/>
      <c r="BR80" s="779"/>
      <c r="BS80" s="779"/>
      <c r="BT80" s="779"/>
      <c r="BU80" s="779"/>
      <c r="BV80" s="779"/>
      <c r="BW80" s="779"/>
      <c r="BX80" s="779"/>
      <c r="BY80" s="779"/>
      <c r="BZ80" s="779"/>
      <c r="CA80" s="779"/>
      <c r="CB80" s="779"/>
      <c r="CC80" s="779"/>
    </row>
    <row r="81" spans="1:81">
      <c r="A81" s="52"/>
      <c r="B81" s="776"/>
      <c r="C81" s="39" t="s">
        <v>628</v>
      </c>
      <c r="D81" s="39"/>
      <c r="E81" s="17"/>
      <c r="F81" s="27">
        <f>F80</f>
        <v>-2552</v>
      </c>
      <c r="G81" s="27">
        <f>F81+G80</f>
        <v>-29974</v>
      </c>
      <c r="H81" s="27">
        <f>G81+H80</f>
        <v>-51540</v>
      </c>
      <c r="I81" s="27">
        <v>77802</v>
      </c>
      <c r="J81" s="27">
        <f>I81+J80</f>
        <v>20105</v>
      </c>
      <c r="K81" s="27">
        <f>J81+K80</f>
        <v>-61835</v>
      </c>
      <c r="L81" s="27">
        <f>K81+L80</f>
        <v>-155990</v>
      </c>
      <c r="M81" s="27">
        <f>L81+M80</f>
        <v>-224959</v>
      </c>
      <c r="N81" s="27"/>
      <c r="O81" s="27" t="e">
        <f>#REF!+O80</f>
        <v>#REF!</v>
      </c>
      <c r="P81" s="29" t="e">
        <f t="shared" ref="P81:X81" si="75">O81+P80</f>
        <v>#REF!</v>
      </c>
      <c r="Q81" s="29" t="e">
        <f t="shared" si="75"/>
        <v>#REF!</v>
      </c>
      <c r="R81" s="29" t="e">
        <f t="shared" si="75"/>
        <v>#REF!</v>
      </c>
      <c r="S81" s="29" t="e">
        <f t="shared" si="75"/>
        <v>#REF!</v>
      </c>
      <c r="T81" s="29" t="e">
        <f t="shared" si="75"/>
        <v>#REF!</v>
      </c>
      <c r="U81" s="29" t="e">
        <f t="shared" si="75"/>
        <v>#REF!</v>
      </c>
      <c r="V81" s="29" t="e">
        <f t="shared" si="75"/>
        <v>#REF!</v>
      </c>
      <c r="W81" s="29" t="e">
        <f t="shared" si="75"/>
        <v>#REF!</v>
      </c>
      <c r="X81" s="29" t="e">
        <f t="shared" si="75"/>
        <v>#REF!</v>
      </c>
      <c r="Y81" s="4"/>
      <c r="Z81" s="4"/>
      <c r="AA81" s="22"/>
      <c r="AB81" s="776"/>
      <c r="AC81" s="776"/>
      <c r="AD81" s="11"/>
      <c r="AE81" s="11"/>
      <c r="AF81" s="11"/>
      <c r="AG81" s="11"/>
      <c r="AH81" s="11"/>
      <c r="AI81" s="11"/>
      <c r="AJ81" s="11"/>
      <c r="AK81" s="11"/>
      <c r="AL81" s="11"/>
      <c r="AM81" s="11"/>
      <c r="AN81" s="11"/>
      <c r="AO81" s="779"/>
      <c r="AP81" s="779"/>
      <c r="AQ81" s="779"/>
      <c r="AR81" s="779"/>
      <c r="AS81" s="779"/>
      <c r="AT81" s="779"/>
      <c r="AU81" s="779"/>
      <c r="AV81" s="779"/>
      <c r="AW81" s="779"/>
      <c r="AX81" s="779"/>
      <c r="AY81" s="779"/>
      <c r="AZ81" s="779"/>
      <c r="BA81" s="779"/>
      <c r="BB81" s="779"/>
      <c r="BC81" s="779"/>
      <c r="BD81" s="779"/>
      <c r="BE81" s="779"/>
      <c r="BF81" s="779"/>
      <c r="BG81" s="779"/>
      <c r="BH81" s="779"/>
      <c r="BI81" s="779"/>
      <c r="BJ81" s="779"/>
      <c r="BK81" s="779"/>
      <c r="BL81" s="779"/>
      <c r="BM81" s="779"/>
      <c r="BN81" s="779"/>
      <c r="BO81" s="779"/>
      <c r="BP81" s="779"/>
      <c r="BQ81" s="779"/>
      <c r="BR81" s="779"/>
      <c r="BS81" s="779"/>
      <c r="BT81" s="779"/>
      <c r="BU81" s="779"/>
      <c r="BV81" s="779"/>
      <c r="BW81" s="779"/>
      <c r="BX81" s="779"/>
      <c r="BY81" s="779"/>
      <c r="BZ81" s="779"/>
      <c r="CA81" s="779"/>
      <c r="CB81" s="779"/>
      <c r="CC81" s="779"/>
    </row>
    <row r="82" spans="1:81">
      <c r="A82" s="52"/>
      <c r="B82" s="776"/>
      <c r="C82" s="39" t="s">
        <v>1088</v>
      </c>
      <c r="D82" s="39"/>
      <c r="E82" s="17"/>
      <c r="F82" s="17" t="e">
        <f t="shared" ref="F82:M82" si="76">F79-F81</f>
        <v>#REF!</v>
      </c>
      <c r="G82" s="17" t="e">
        <f t="shared" si="76"/>
        <v>#REF!</v>
      </c>
      <c r="H82" s="17" t="e">
        <f t="shared" si="76"/>
        <v>#REF!</v>
      </c>
      <c r="I82" s="17" t="e">
        <f t="shared" si="76"/>
        <v>#REF!</v>
      </c>
      <c r="J82" s="17" t="e">
        <f t="shared" si="76"/>
        <v>#REF!</v>
      </c>
      <c r="K82" s="17" t="e">
        <f t="shared" si="76"/>
        <v>#REF!</v>
      </c>
      <c r="L82" s="17" t="e">
        <f t="shared" si="76"/>
        <v>#REF!</v>
      </c>
      <c r="M82" s="17" t="e">
        <f t="shared" si="76"/>
        <v>#REF!</v>
      </c>
      <c r="N82" s="17"/>
      <c r="O82" s="17" t="e">
        <f t="shared" ref="O82:X82" si="77">O79-O81</f>
        <v>#REF!</v>
      </c>
      <c r="P82" s="20" t="e">
        <f t="shared" si="77"/>
        <v>#REF!</v>
      </c>
      <c r="Q82" s="20" t="e">
        <f t="shared" si="77"/>
        <v>#REF!</v>
      </c>
      <c r="R82" s="20" t="e">
        <f t="shared" si="77"/>
        <v>#REF!</v>
      </c>
      <c r="S82" s="20" t="e">
        <f t="shared" si="77"/>
        <v>#REF!</v>
      </c>
      <c r="T82" s="20" t="e">
        <f t="shared" si="77"/>
        <v>#REF!</v>
      </c>
      <c r="U82" s="20" t="e">
        <f t="shared" si="77"/>
        <v>#REF!</v>
      </c>
      <c r="V82" s="20" t="e">
        <f t="shared" si="77"/>
        <v>#REF!</v>
      </c>
      <c r="W82" s="20" t="e">
        <f t="shared" si="77"/>
        <v>#REF!</v>
      </c>
      <c r="X82" s="20" t="e">
        <f t="shared" si="77"/>
        <v>#REF!</v>
      </c>
      <c r="Y82" s="776"/>
      <c r="Z82" s="776"/>
      <c r="AA82" s="13"/>
      <c r="AB82" s="776"/>
      <c r="AC82" s="776"/>
      <c r="AD82" s="11"/>
      <c r="AE82" s="11"/>
      <c r="AF82" s="11"/>
      <c r="AG82" s="11"/>
      <c r="AH82" s="11"/>
      <c r="AI82" s="11"/>
      <c r="AJ82" s="11"/>
      <c r="AK82" s="11"/>
      <c r="AL82" s="11"/>
      <c r="AM82" s="11"/>
      <c r="AN82" s="11"/>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79"/>
      <c r="BO82" s="779"/>
      <c r="BP82" s="779"/>
      <c r="BQ82" s="779"/>
      <c r="BR82" s="779"/>
      <c r="BS82" s="779"/>
      <c r="BT82" s="779"/>
      <c r="BU82" s="779"/>
      <c r="BV82" s="779"/>
      <c r="BW82" s="779"/>
      <c r="BX82" s="779"/>
      <c r="BY82" s="779"/>
      <c r="BZ82" s="779"/>
      <c r="CA82" s="779"/>
      <c r="CB82" s="779"/>
      <c r="CC82" s="779"/>
    </row>
    <row r="83" spans="1:81">
      <c r="A83" s="52"/>
      <c r="B83" s="776"/>
      <c r="C83" s="39" t="s">
        <v>318</v>
      </c>
      <c r="D83" s="39"/>
      <c r="E83" s="17"/>
      <c r="F83" s="27" t="e">
        <f>'3_Fin-Stat'!#REF!</f>
        <v>#REF!</v>
      </c>
      <c r="G83" s="27" t="e">
        <f>'3_Fin-Stat'!#REF!</f>
        <v>#REF!</v>
      </c>
      <c r="H83" s="27" t="e">
        <f>'3_Fin-Stat'!#REF!</f>
        <v>#REF!</v>
      </c>
      <c r="I83" s="27" t="e">
        <f>'3_Fin-Stat'!#REF!</f>
        <v>#REF!</v>
      </c>
      <c r="J83" s="27" t="e">
        <f>'3_Fin-Stat'!#REF!</f>
        <v>#REF!</v>
      </c>
      <c r="K83" s="27" t="e">
        <f>'3_Fin-Stat'!#REF!</f>
        <v>#REF!</v>
      </c>
      <c r="L83" s="27" t="e">
        <f>'3_Fin-Stat'!#REF!</f>
        <v>#REF!</v>
      </c>
      <c r="M83" s="27" t="e">
        <f>'3_Fin-Stat'!#REF!</f>
        <v>#REF!</v>
      </c>
      <c r="N83" s="27"/>
      <c r="O83" s="27" t="e">
        <f>'3_Fin-Stat'!#REF!</f>
        <v>#REF!</v>
      </c>
      <c r="P83" s="29" t="e">
        <f>'3_Fin-Stat'!#REF!</f>
        <v>#REF!</v>
      </c>
      <c r="Q83" s="29" t="e">
        <f>'3_Fin-Stat'!#REF!</f>
        <v>#REF!</v>
      </c>
      <c r="R83" s="29" t="e">
        <f>'3_Fin-Stat'!#REF!</f>
        <v>#REF!</v>
      </c>
      <c r="S83" s="29" t="e">
        <f>'3_Fin-Stat'!#REF!</f>
        <v>#REF!</v>
      </c>
      <c r="T83" s="29" t="e">
        <f>'3_Fin-Stat'!#REF!</f>
        <v>#REF!</v>
      </c>
      <c r="U83" s="29" t="e">
        <f>'3_Fin-Stat'!#REF!</f>
        <v>#REF!</v>
      </c>
      <c r="V83" s="29" t="e">
        <f>'3_Fin-Stat'!#REF!</f>
        <v>#REF!</v>
      </c>
      <c r="W83" s="29" t="e">
        <f>'3_Fin-Stat'!#REF!</f>
        <v>#REF!</v>
      </c>
      <c r="X83" s="29" t="e">
        <f>'3_Fin-Stat'!#REF!</f>
        <v>#REF!</v>
      </c>
      <c r="Y83" s="4"/>
      <c r="Z83" s="4"/>
      <c r="AA83" s="22"/>
      <c r="AB83" s="776"/>
      <c r="AC83" s="776"/>
      <c r="AD83" s="11"/>
      <c r="AE83" s="11"/>
      <c r="AF83" s="11"/>
      <c r="AG83" s="11"/>
      <c r="AH83" s="11"/>
      <c r="AI83" s="11"/>
      <c r="AJ83" s="11"/>
      <c r="AK83" s="11"/>
      <c r="AL83" s="11"/>
      <c r="AM83" s="11"/>
      <c r="AN83" s="11"/>
      <c r="AO83" s="779"/>
      <c r="AP83" s="779"/>
      <c r="AQ83" s="779"/>
      <c r="AR83" s="779"/>
      <c r="AS83" s="779"/>
      <c r="AT83" s="779"/>
      <c r="AU83" s="779"/>
      <c r="AV83" s="779"/>
      <c r="AW83" s="779"/>
      <c r="AX83" s="779"/>
      <c r="AY83" s="779"/>
      <c r="AZ83" s="779"/>
      <c r="BA83" s="779"/>
      <c r="BB83" s="779"/>
      <c r="BC83" s="779"/>
      <c r="BD83" s="779"/>
      <c r="BE83" s="779"/>
      <c r="BF83" s="779"/>
      <c r="BG83" s="779"/>
      <c r="BH83" s="779"/>
      <c r="BI83" s="779"/>
      <c r="BJ83" s="779"/>
      <c r="BK83" s="779"/>
      <c r="BL83" s="779"/>
      <c r="BM83" s="779"/>
      <c r="BN83" s="779"/>
      <c r="BO83" s="779"/>
      <c r="BP83" s="779"/>
      <c r="BQ83" s="779"/>
      <c r="BR83" s="779"/>
      <c r="BS83" s="779"/>
      <c r="BT83" s="779"/>
      <c r="BU83" s="779"/>
      <c r="BV83" s="779"/>
      <c r="BW83" s="779"/>
      <c r="BX83" s="779"/>
      <c r="BY83" s="779"/>
      <c r="BZ83" s="779"/>
      <c r="CA83" s="779"/>
      <c r="CB83" s="779"/>
      <c r="CC83" s="779"/>
    </row>
    <row r="84" spans="1:81">
      <c r="A84" s="52"/>
      <c r="B84" s="776"/>
      <c r="C84" s="39" t="s">
        <v>317</v>
      </c>
      <c r="D84" s="39"/>
      <c r="E84" s="17"/>
      <c r="F84" s="17" t="e">
        <f t="shared" ref="F84:M84" si="78">+SUM(F81:F83)</f>
        <v>#REF!</v>
      </c>
      <c r="G84" s="17" t="e">
        <f t="shared" si="78"/>
        <v>#REF!</v>
      </c>
      <c r="H84" s="17" t="e">
        <f t="shared" si="78"/>
        <v>#REF!</v>
      </c>
      <c r="I84" s="17" t="e">
        <f t="shared" si="78"/>
        <v>#REF!</v>
      </c>
      <c r="J84" s="17" t="e">
        <f t="shared" si="78"/>
        <v>#REF!</v>
      </c>
      <c r="K84" s="17" t="e">
        <f t="shared" si="78"/>
        <v>#REF!</v>
      </c>
      <c r="L84" s="17" t="e">
        <f t="shared" si="78"/>
        <v>#REF!</v>
      </c>
      <c r="M84" s="17" t="e">
        <f t="shared" si="78"/>
        <v>#REF!</v>
      </c>
      <c r="N84" s="17"/>
      <c r="O84" s="17" t="e">
        <f t="shared" ref="O84:X84" si="79">+SUM(O81:O83)</f>
        <v>#REF!</v>
      </c>
      <c r="P84" s="20" t="e">
        <f t="shared" si="79"/>
        <v>#REF!</v>
      </c>
      <c r="Q84" s="20" t="e">
        <f t="shared" si="79"/>
        <v>#REF!</v>
      </c>
      <c r="R84" s="20" t="e">
        <f t="shared" si="79"/>
        <v>#REF!</v>
      </c>
      <c r="S84" s="20" t="e">
        <f t="shared" si="79"/>
        <v>#REF!</v>
      </c>
      <c r="T84" s="20" t="e">
        <f t="shared" si="79"/>
        <v>#REF!</v>
      </c>
      <c r="U84" s="20" t="e">
        <f t="shared" si="79"/>
        <v>#REF!</v>
      </c>
      <c r="V84" s="20" t="e">
        <f t="shared" si="79"/>
        <v>#REF!</v>
      </c>
      <c r="W84" s="20" t="e">
        <f t="shared" si="79"/>
        <v>#REF!</v>
      </c>
      <c r="X84" s="20" t="e">
        <f t="shared" si="79"/>
        <v>#REF!</v>
      </c>
      <c r="Y84" s="776"/>
      <c r="Z84" s="776"/>
      <c r="AA84" s="13"/>
      <c r="AB84" s="776"/>
      <c r="AC84" s="776"/>
      <c r="AD84" s="11"/>
      <c r="AE84" s="11"/>
      <c r="AF84" s="11"/>
      <c r="AG84" s="11"/>
      <c r="AH84" s="11"/>
      <c r="AI84" s="11"/>
      <c r="AJ84" s="11"/>
      <c r="AK84" s="11"/>
      <c r="AL84" s="11"/>
      <c r="AM84" s="11"/>
      <c r="AN84" s="11"/>
      <c r="AO84" s="779"/>
      <c r="AP84" s="779"/>
      <c r="AQ84" s="779"/>
      <c r="AR84" s="779"/>
      <c r="AS84" s="779"/>
      <c r="AT84" s="779"/>
      <c r="AU84" s="779"/>
      <c r="AV84" s="779"/>
      <c r="AW84" s="779"/>
      <c r="AX84" s="779"/>
      <c r="AY84" s="779"/>
      <c r="AZ84" s="779"/>
      <c r="BA84" s="779"/>
      <c r="BB84" s="779"/>
      <c r="BC84" s="779"/>
      <c r="BD84" s="779"/>
      <c r="BE84" s="779"/>
      <c r="BF84" s="779"/>
      <c r="BG84" s="779"/>
      <c r="BH84" s="779"/>
      <c r="BI84" s="779"/>
      <c r="BJ84" s="779"/>
      <c r="BK84" s="779"/>
      <c r="BL84" s="779"/>
      <c r="BM84" s="779"/>
      <c r="BN84" s="779"/>
      <c r="BO84" s="779"/>
      <c r="BP84" s="779"/>
      <c r="BQ84" s="779"/>
      <c r="BR84" s="779"/>
      <c r="BS84" s="779"/>
      <c r="BT84" s="779"/>
      <c r="BU84" s="779"/>
      <c r="BV84" s="779"/>
      <c r="BW84" s="779"/>
      <c r="BX84" s="779"/>
      <c r="BY84" s="779"/>
      <c r="BZ84" s="779"/>
      <c r="CA84" s="779"/>
      <c r="CB84" s="779"/>
      <c r="CC84" s="779"/>
    </row>
    <row r="85" spans="1:81">
      <c r="A85" s="52"/>
      <c r="B85" s="776"/>
      <c r="C85" s="39" t="s">
        <v>536</v>
      </c>
      <c r="D85" s="39"/>
      <c r="E85" s="17"/>
      <c r="F85" s="17" t="e">
        <f>'3_Fin-Stat'!#REF!</f>
        <v>#REF!</v>
      </c>
      <c r="G85" s="17" t="e">
        <f>'3_Fin-Stat'!#REF!</f>
        <v>#REF!</v>
      </c>
      <c r="H85" s="17" t="e">
        <f>'3_Fin-Stat'!#REF!</f>
        <v>#REF!</v>
      </c>
      <c r="I85" s="17" t="e">
        <f>'3_Fin-Stat'!#REF!</f>
        <v>#REF!</v>
      </c>
      <c r="J85" s="17" t="e">
        <f>'3_Fin-Stat'!#REF!</f>
        <v>#REF!</v>
      </c>
      <c r="K85" s="17" t="e">
        <f>'3_Fin-Stat'!#REF!</f>
        <v>#REF!</v>
      </c>
      <c r="L85" s="17" t="e">
        <f>'3_Fin-Stat'!#REF!</f>
        <v>#REF!</v>
      </c>
      <c r="M85" s="17" t="e">
        <f>'3_Fin-Stat'!#REF!</f>
        <v>#REF!</v>
      </c>
      <c r="N85" s="17"/>
      <c r="O85" s="17" t="e">
        <f>'3_Fin-Stat'!#REF!</f>
        <v>#REF!</v>
      </c>
      <c r="P85" s="20" t="e">
        <f>'3_Fin-Stat'!#REF!</f>
        <v>#REF!</v>
      </c>
      <c r="Q85" s="20" t="e">
        <f>'3_Fin-Stat'!#REF!</f>
        <v>#REF!</v>
      </c>
      <c r="R85" s="20" t="e">
        <f>'3_Fin-Stat'!#REF!</f>
        <v>#REF!</v>
      </c>
      <c r="S85" s="20" t="e">
        <f>'3_Fin-Stat'!#REF!</f>
        <v>#REF!</v>
      </c>
      <c r="T85" s="20" t="e">
        <f>'3_Fin-Stat'!#REF!</f>
        <v>#REF!</v>
      </c>
      <c r="U85" s="20" t="e">
        <f>'3_Fin-Stat'!#REF!</f>
        <v>#REF!</v>
      </c>
      <c r="V85" s="20" t="e">
        <f>'3_Fin-Stat'!#REF!</f>
        <v>#REF!</v>
      </c>
      <c r="W85" s="20" t="e">
        <f>'3_Fin-Stat'!#REF!</f>
        <v>#REF!</v>
      </c>
      <c r="X85" s="20" t="e">
        <f>'3_Fin-Stat'!#REF!</f>
        <v>#REF!</v>
      </c>
      <c r="Y85" s="776"/>
      <c r="Z85" s="776"/>
      <c r="AA85" s="13"/>
      <c r="AB85" s="776"/>
      <c r="AC85" s="776"/>
      <c r="AD85" s="11"/>
      <c r="AE85" s="11"/>
      <c r="AF85" s="11"/>
      <c r="AG85" s="11"/>
      <c r="AH85" s="11"/>
      <c r="AI85" s="11"/>
      <c r="AJ85" s="11"/>
      <c r="AK85" s="11"/>
      <c r="AL85" s="11"/>
      <c r="AM85" s="11"/>
      <c r="AN85" s="11"/>
      <c r="AO85" s="779"/>
      <c r="AP85" s="779"/>
      <c r="AQ85" s="779"/>
      <c r="AR85" s="779"/>
      <c r="AS85" s="779"/>
      <c r="AT85" s="779"/>
      <c r="AU85" s="779"/>
      <c r="AV85" s="779"/>
      <c r="AW85" s="779"/>
      <c r="AX85" s="779"/>
      <c r="AY85" s="779"/>
      <c r="AZ85" s="779"/>
      <c r="BA85" s="779"/>
      <c r="BB85" s="779"/>
      <c r="BC85" s="779"/>
      <c r="BD85" s="779"/>
      <c r="BE85" s="779"/>
      <c r="BF85" s="779"/>
      <c r="BG85" s="779"/>
      <c r="BH85" s="779"/>
      <c r="BI85" s="779"/>
      <c r="BJ85" s="779"/>
      <c r="BK85" s="779"/>
      <c r="BL85" s="779"/>
      <c r="BM85" s="779"/>
      <c r="BN85" s="779"/>
      <c r="BO85" s="779"/>
      <c r="BP85" s="779"/>
      <c r="BQ85" s="779"/>
      <c r="BR85" s="779"/>
      <c r="BS85" s="779"/>
      <c r="BT85" s="779"/>
      <c r="BU85" s="779"/>
      <c r="BV85" s="779"/>
      <c r="BW85" s="779"/>
      <c r="BX85" s="779"/>
      <c r="BY85" s="779"/>
      <c r="BZ85" s="779"/>
      <c r="CA85" s="779"/>
      <c r="CB85" s="779"/>
      <c r="CC85" s="779"/>
    </row>
    <row r="86" spans="1:81" ht="13.5" thickBot="1">
      <c r="A86" s="52"/>
      <c r="B86" s="776"/>
      <c r="C86" s="39" t="s">
        <v>8</v>
      </c>
      <c r="D86" s="39"/>
      <c r="E86" s="17"/>
      <c r="F86" s="747" t="e">
        <f t="shared" ref="F86:M86" si="80">F84+F85</f>
        <v>#REF!</v>
      </c>
      <c r="G86" s="747" t="e">
        <f t="shared" si="80"/>
        <v>#REF!</v>
      </c>
      <c r="H86" s="747" t="e">
        <f t="shared" si="80"/>
        <v>#REF!</v>
      </c>
      <c r="I86" s="747" t="e">
        <f t="shared" si="80"/>
        <v>#REF!</v>
      </c>
      <c r="J86" s="747" t="e">
        <f t="shared" si="80"/>
        <v>#REF!</v>
      </c>
      <c r="K86" s="747" t="e">
        <f t="shared" si="80"/>
        <v>#REF!</v>
      </c>
      <c r="L86" s="747" t="e">
        <f t="shared" si="80"/>
        <v>#REF!</v>
      </c>
      <c r="M86" s="747" t="e">
        <f t="shared" si="80"/>
        <v>#REF!</v>
      </c>
      <c r="N86" s="747"/>
      <c r="O86" s="747" t="e">
        <f t="shared" ref="O86:X86" si="81">O84+O85</f>
        <v>#REF!</v>
      </c>
      <c r="P86" s="645" t="e">
        <f t="shared" si="81"/>
        <v>#REF!</v>
      </c>
      <c r="Q86" s="645" t="e">
        <f t="shared" si="81"/>
        <v>#REF!</v>
      </c>
      <c r="R86" s="645" t="e">
        <f t="shared" si="81"/>
        <v>#REF!</v>
      </c>
      <c r="S86" s="645" t="e">
        <f t="shared" si="81"/>
        <v>#REF!</v>
      </c>
      <c r="T86" s="645" t="e">
        <f t="shared" si="81"/>
        <v>#REF!</v>
      </c>
      <c r="U86" s="645" t="e">
        <f t="shared" si="81"/>
        <v>#REF!</v>
      </c>
      <c r="V86" s="645" t="e">
        <f t="shared" si="81"/>
        <v>#REF!</v>
      </c>
      <c r="W86" s="645" t="e">
        <f t="shared" si="81"/>
        <v>#REF!</v>
      </c>
      <c r="X86" s="645" t="e">
        <f t="shared" si="81"/>
        <v>#REF!</v>
      </c>
      <c r="Y86" s="758"/>
      <c r="Z86" s="758"/>
      <c r="AA86" s="783"/>
      <c r="AB86" s="776"/>
      <c r="AC86" s="776"/>
      <c r="AD86" s="11"/>
      <c r="AE86" s="11"/>
      <c r="AF86" s="11"/>
      <c r="AG86" s="11"/>
      <c r="AH86" s="11"/>
      <c r="AI86" s="11"/>
      <c r="AJ86" s="11"/>
      <c r="AK86" s="11"/>
      <c r="AL86" s="11"/>
      <c r="AM86" s="11"/>
      <c r="AN86" s="11"/>
      <c r="AO86" s="779"/>
      <c r="AP86" s="779"/>
      <c r="AQ86" s="779"/>
      <c r="AR86" s="779"/>
      <c r="AS86" s="779"/>
      <c r="AT86" s="779"/>
      <c r="AU86" s="779"/>
      <c r="AV86" s="779"/>
      <c r="AW86" s="779"/>
      <c r="AX86" s="779"/>
      <c r="AY86" s="779"/>
      <c r="AZ86" s="779"/>
      <c r="BA86" s="779"/>
      <c r="BB86" s="779"/>
      <c r="BC86" s="779"/>
      <c r="BD86" s="779"/>
      <c r="BE86" s="779"/>
      <c r="BF86" s="779"/>
      <c r="BG86" s="779"/>
      <c r="BH86" s="779"/>
      <c r="BI86" s="779"/>
      <c r="BJ86" s="779"/>
      <c r="BK86" s="779"/>
      <c r="BL86" s="779"/>
      <c r="BM86" s="779"/>
      <c r="BN86" s="779"/>
      <c r="BO86" s="779"/>
      <c r="BP86" s="779"/>
      <c r="BQ86" s="779"/>
      <c r="BR86" s="779"/>
      <c r="BS86" s="779"/>
      <c r="BT86" s="779"/>
      <c r="BU86" s="779"/>
      <c r="BV86" s="779"/>
      <c r="BW86" s="779"/>
      <c r="BX86" s="779"/>
      <c r="BY86" s="779"/>
      <c r="BZ86" s="779"/>
      <c r="CA86" s="779"/>
      <c r="CB86" s="779"/>
      <c r="CC86" s="779"/>
    </row>
    <row r="87" spans="1:81" ht="13.5" thickTop="1">
      <c r="A87" s="52">
        <v>2</v>
      </c>
      <c r="B87" s="776"/>
      <c r="C87" s="765" t="s">
        <v>1200</v>
      </c>
      <c r="D87" s="765"/>
      <c r="E87" s="766"/>
      <c r="F87" s="18"/>
      <c r="G87" s="18"/>
      <c r="H87" s="18"/>
      <c r="I87" s="18"/>
      <c r="J87" s="18"/>
      <c r="K87" s="18"/>
      <c r="L87" s="18"/>
      <c r="M87" s="18"/>
      <c r="N87" s="18"/>
      <c r="O87" s="18"/>
      <c r="P87" s="21"/>
      <c r="Q87" s="21"/>
      <c r="R87" s="21"/>
      <c r="S87" s="11"/>
      <c r="T87" s="13"/>
      <c r="U87" s="776"/>
      <c r="V87" s="776"/>
      <c r="W87" s="776"/>
      <c r="X87" s="776"/>
      <c r="Y87" s="776"/>
      <c r="Z87" s="776"/>
      <c r="AA87" s="13"/>
      <c r="AB87" s="776"/>
      <c r="AC87" s="776"/>
      <c r="AD87" s="11"/>
      <c r="AE87" s="11"/>
      <c r="AF87" s="11"/>
      <c r="AG87" s="11"/>
      <c r="AH87" s="11"/>
      <c r="AI87" s="11"/>
      <c r="AJ87" s="11"/>
      <c r="AK87" s="11"/>
      <c r="AL87" s="11"/>
      <c r="AM87" s="11"/>
      <c r="AN87" s="11"/>
      <c r="AO87" s="779"/>
      <c r="AP87" s="779"/>
      <c r="AQ87" s="779"/>
      <c r="AR87" s="779"/>
      <c r="AS87" s="779"/>
      <c r="AT87" s="779"/>
      <c r="AU87" s="779"/>
      <c r="AV87" s="779"/>
      <c r="AW87" s="779"/>
      <c r="AX87" s="779"/>
      <c r="AY87" s="779"/>
      <c r="AZ87" s="779"/>
      <c r="BA87" s="779"/>
      <c r="BB87" s="779"/>
      <c r="BC87" s="779"/>
      <c r="BD87" s="779"/>
      <c r="BE87" s="779"/>
      <c r="BF87" s="779"/>
      <c r="BG87" s="779"/>
      <c r="BH87" s="779"/>
      <c r="BI87" s="779"/>
      <c r="BJ87" s="779"/>
      <c r="BK87" s="779"/>
      <c r="BL87" s="779"/>
      <c r="BM87" s="779"/>
      <c r="BN87" s="779"/>
      <c r="BO87" s="779"/>
      <c r="BP87" s="779"/>
      <c r="BQ87" s="779"/>
      <c r="BR87" s="779"/>
      <c r="BS87" s="779"/>
      <c r="BT87" s="779"/>
      <c r="BU87" s="779"/>
      <c r="BV87" s="779"/>
      <c r="BW87" s="779"/>
      <c r="BX87" s="779"/>
      <c r="BY87" s="779"/>
      <c r="BZ87" s="779"/>
      <c r="CA87" s="779"/>
      <c r="CB87" s="779"/>
      <c r="CC87" s="779"/>
    </row>
    <row r="88" spans="1:81">
      <c r="A88" s="52"/>
      <c r="B88" s="776"/>
      <c r="C88" s="39" t="s">
        <v>460</v>
      </c>
      <c r="D88" s="39"/>
      <c r="E88" s="17"/>
      <c r="F88" s="18" t="e">
        <f t="shared" ref="F88:M88" si="82">F82</f>
        <v>#REF!</v>
      </c>
      <c r="G88" s="18" t="e">
        <f t="shared" si="82"/>
        <v>#REF!</v>
      </c>
      <c r="H88" s="18" t="e">
        <f t="shared" si="82"/>
        <v>#REF!</v>
      </c>
      <c r="I88" s="18" t="e">
        <f t="shared" si="82"/>
        <v>#REF!</v>
      </c>
      <c r="J88" s="18" t="e">
        <f t="shared" si="82"/>
        <v>#REF!</v>
      </c>
      <c r="K88" s="18" t="e">
        <f t="shared" si="82"/>
        <v>#REF!</v>
      </c>
      <c r="L88" s="18" t="e">
        <f t="shared" si="82"/>
        <v>#REF!</v>
      </c>
      <c r="M88" s="18" t="e">
        <f t="shared" si="82"/>
        <v>#REF!</v>
      </c>
      <c r="N88" s="18"/>
      <c r="O88" s="18" t="e">
        <f t="shared" ref="O88:X88" si="83">O82</f>
        <v>#REF!</v>
      </c>
      <c r="P88" s="21" t="e">
        <f t="shared" si="83"/>
        <v>#REF!</v>
      </c>
      <c r="Q88" s="21" t="e">
        <f t="shared" si="83"/>
        <v>#REF!</v>
      </c>
      <c r="R88" s="21" t="e">
        <f t="shared" si="83"/>
        <v>#REF!</v>
      </c>
      <c r="S88" s="21" t="e">
        <f t="shared" si="83"/>
        <v>#REF!</v>
      </c>
      <c r="T88" s="21" t="e">
        <f t="shared" si="83"/>
        <v>#REF!</v>
      </c>
      <c r="U88" s="21" t="e">
        <f t="shared" si="83"/>
        <v>#REF!</v>
      </c>
      <c r="V88" s="21" t="e">
        <f t="shared" si="83"/>
        <v>#REF!</v>
      </c>
      <c r="W88" s="21" t="e">
        <f t="shared" si="83"/>
        <v>#REF!</v>
      </c>
      <c r="X88" s="21" t="e">
        <f t="shared" si="83"/>
        <v>#REF!</v>
      </c>
      <c r="Y88" s="776"/>
      <c r="Z88" s="776"/>
      <c r="AA88" s="13"/>
      <c r="AB88" s="776"/>
      <c r="AC88" s="776"/>
      <c r="AD88" s="11"/>
      <c r="AE88" s="11"/>
      <c r="AF88" s="11"/>
      <c r="AG88" s="11"/>
      <c r="AH88" s="11"/>
      <c r="AI88" s="11"/>
      <c r="AJ88" s="11"/>
      <c r="AK88" s="11"/>
      <c r="AL88" s="11"/>
      <c r="AM88" s="11"/>
      <c r="AN88" s="11"/>
      <c r="AO88" s="779"/>
      <c r="AP88" s="779"/>
      <c r="AQ88" s="779"/>
      <c r="AR88" s="779"/>
      <c r="AS88" s="779"/>
      <c r="AT88" s="779"/>
      <c r="AU88" s="779"/>
      <c r="AV88" s="779"/>
      <c r="AW88" s="779"/>
      <c r="AX88" s="779"/>
      <c r="AY88" s="779"/>
      <c r="AZ88" s="779"/>
      <c r="BA88" s="779"/>
      <c r="BB88" s="779"/>
      <c r="BC88" s="779"/>
      <c r="BD88" s="779"/>
      <c r="BE88" s="779"/>
      <c r="BF88" s="779"/>
      <c r="BG88" s="779"/>
      <c r="BH88" s="779"/>
      <c r="BI88" s="779"/>
      <c r="BJ88" s="779"/>
      <c r="BK88" s="779"/>
      <c r="BL88" s="779"/>
      <c r="BM88" s="779"/>
      <c r="BN88" s="779"/>
      <c r="BO88" s="779"/>
      <c r="BP88" s="779"/>
      <c r="BQ88" s="779"/>
      <c r="BR88" s="779"/>
      <c r="BS88" s="779"/>
      <c r="BT88" s="779"/>
      <c r="BU88" s="779"/>
      <c r="BV88" s="779"/>
      <c r="BW88" s="779"/>
      <c r="BX88" s="779"/>
      <c r="BY88" s="779"/>
      <c r="BZ88" s="779"/>
      <c r="CA88" s="779"/>
      <c r="CB88" s="779"/>
      <c r="CC88" s="779"/>
    </row>
    <row r="89" spans="1:81">
      <c r="A89" s="52"/>
      <c r="B89" s="776"/>
      <c r="C89" s="39" t="s">
        <v>1073</v>
      </c>
      <c r="D89" s="39"/>
      <c r="E89" s="17"/>
      <c r="F89" s="18">
        <f t="shared" ref="F89:M89" si="84">F81</f>
        <v>-2552</v>
      </c>
      <c r="G89" s="18">
        <f t="shared" si="84"/>
        <v>-29974</v>
      </c>
      <c r="H89" s="18">
        <f t="shared" si="84"/>
        <v>-51540</v>
      </c>
      <c r="I89" s="18">
        <f t="shared" si="84"/>
        <v>77802</v>
      </c>
      <c r="J89" s="18">
        <f t="shared" si="84"/>
        <v>20105</v>
      </c>
      <c r="K89" s="18">
        <f t="shared" si="84"/>
        <v>-61835</v>
      </c>
      <c r="L89" s="767">
        <f t="shared" si="84"/>
        <v>-155990</v>
      </c>
      <c r="M89" s="767">
        <f t="shared" si="84"/>
        <v>-224959</v>
      </c>
      <c r="N89" s="767"/>
      <c r="O89" s="767" t="e">
        <f t="shared" ref="O89:X89" si="85">O81</f>
        <v>#REF!</v>
      </c>
      <c r="P89" s="767" t="e">
        <f t="shared" si="85"/>
        <v>#REF!</v>
      </c>
      <c r="Q89" s="767" t="e">
        <f t="shared" si="85"/>
        <v>#REF!</v>
      </c>
      <c r="R89" s="767" t="e">
        <f t="shared" si="85"/>
        <v>#REF!</v>
      </c>
      <c r="S89" s="767" t="e">
        <f t="shared" si="85"/>
        <v>#REF!</v>
      </c>
      <c r="T89" s="767" t="e">
        <f t="shared" si="85"/>
        <v>#REF!</v>
      </c>
      <c r="U89" s="767" t="e">
        <f t="shared" si="85"/>
        <v>#REF!</v>
      </c>
      <c r="V89" s="767" t="e">
        <f t="shared" si="85"/>
        <v>#REF!</v>
      </c>
      <c r="W89" s="767" t="e">
        <f t="shared" si="85"/>
        <v>#REF!</v>
      </c>
      <c r="X89" s="767" t="e">
        <f t="shared" si="85"/>
        <v>#REF!</v>
      </c>
      <c r="Y89" s="776"/>
      <c r="Z89" s="776"/>
      <c r="AA89" s="13"/>
      <c r="AB89" s="776"/>
      <c r="AC89" s="776"/>
      <c r="AD89" s="11"/>
      <c r="AE89" s="11"/>
      <c r="AF89" s="11"/>
      <c r="AG89" s="11"/>
      <c r="AH89" s="11"/>
      <c r="AI89" s="11"/>
      <c r="AJ89" s="11"/>
      <c r="AK89" s="11"/>
      <c r="AL89" s="11"/>
      <c r="AM89" s="11"/>
      <c r="AN89" s="11"/>
      <c r="AO89" s="779"/>
      <c r="AP89" s="779"/>
      <c r="AQ89" s="779"/>
      <c r="AR89" s="779"/>
      <c r="AS89" s="779"/>
      <c r="AT89" s="779"/>
      <c r="AU89" s="779"/>
      <c r="AV89" s="779"/>
      <c r="AW89" s="779"/>
      <c r="AX89" s="779"/>
      <c r="AY89" s="779"/>
      <c r="AZ89" s="779"/>
      <c r="BA89" s="779"/>
      <c r="BB89" s="779"/>
      <c r="BC89" s="779"/>
      <c r="BD89" s="779"/>
      <c r="BE89" s="779"/>
      <c r="BF89" s="779"/>
      <c r="BG89" s="779"/>
      <c r="BH89" s="779"/>
      <c r="BI89" s="779"/>
      <c r="BJ89" s="779"/>
      <c r="BK89" s="779"/>
      <c r="BL89" s="779"/>
      <c r="BM89" s="779"/>
      <c r="BN89" s="779"/>
      <c r="BO89" s="779"/>
      <c r="BP89" s="779"/>
      <c r="BQ89" s="779"/>
      <c r="BR89" s="779"/>
      <c r="BS89" s="779"/>
      <c r="BT89" s="779"/>
      <c r="BU89" s="779"/>
      <c r="BV89" s="779"/>
      <c r="BW89" s="779"/>
      <c r="BX89" s="779"/>
      <c r="BY89" s="779"/>
      <c r="BZ89" s="779"/>
      <c r="CA89" s="779"/>
      <c r="CB89" s="779"/>
      <c r="CC89" s="779"/>
    </row>
    <row r="90" spans="1:81">
      <c r="A90" s="52"/>
      <c r="B90" s="776"/>
      <c r="C90" s="39" t="s">
        <v>1090</v>
      </c>
      <c r="D90" s="39"/>
      <c r="E90" s="17"/>
      <c r="F90" s="18">
        <f t="shared" ref="F90:M90" si="86">-F89</f>
        <v>2552</v>
      </c>
      <c r="G90" s="18">
        <f t="shared" si="86"/>
        <v>29974</v>
      </c>
      <c r="H90" s="18">
        <f t="shared" si="86"/>
        <v>51540</v>
      </c>
      <c r="I90" s="18">
        <f t="shared" si="86"/>
        <v>-77802</v>
      </c>
      <c r="J90" s="18">
        <f t="shared" si="86"/>
        <v>-20105</v>
      </c>
      <c r="K90" s="18">
        <f t="shared" si="86"/>
        <v>61835</v>
      </c>
      <c r="L90" s="18">
        <f t="shared" si="86"/>
        <v>155990</v>
      </c>
      <c r="M90" s="18">
        <f t="shared" si="86"/>
        <v>224959</v>
      </c>
      <c r="N90" s="18"/>
      <c r="O90" s="18" t="e">
        <f t="shared" ref="O90:X90" si="87">-O89</f>
        <v>#REF!</v>
      </c>
      <c r="P90" s="21" t="e">
        <f t="shared" si="87"/>
        <v>#REF!</v>
      </c>
      <c r="Q90" s="21" t="e">
        <f t="shared" si="87"/>
        <v>#REF!</v>
      </c>
      <c r="R90" s="21" t="e">
        <f t="shared" si="87"/>
        <v>#REF!</v>
      </c>
      <c r="S90" s="21" t="e">
        <f t="shared" si="87"/>
        <v>#REF!</v>
      </c>
      <c r="T90" s="21" t="e">
        <f t="shared" si="87"/>
        <v>#REF!</v>
      </c>
      <c r="U90" s="21" t="e">
        <f t="shared" si="87"/>
        <v>#REF!</v>
      </c>
      <c r="V90" s="21" t="e">
        <f t="shared" si="87"/>
        <v>#REF!</v>
      </c>
      <c r="W90" s="21" t="e">
        <f t="shared" si="87"/>
        <v>#REF!</v>
      </c>
      <c r="X90" s="21" t="e">
        <f t="shared" si="87"/>
        <v>#REF!</v>
      </c>
      <c r="Y90" s="776"/>
      <c r="Z90" s="776"/>
      <c r="AA90" s="13"/>
      <c r="AB90" s="776"/>
      <c r="AC90" s="776"/>
      <c r="AD90" s="11"/>
      <c r="AE90" s="11"/>
      <c r="AF90" s="11"/>
      <c r="AG90" s="11"/>
      <c r="AH90" s="11"/>
      <c r="AI90" s="11"/>
      <c r="AJ90" s="11"/>
      <c r="AK90" s="11"/>
      <c r="AL90" s="11"/>
      <c r="AM90" s="11"/>
      <c r="AN90" s="11"/>
      <c r="AO90" s="779"/>
      <c r="AP90" s="779"/>
      <c r="AQ90" s="779"/>
      <c r="AR90" s="779"/>
      <c r="AS90" s="779"/>
      <c r="AT90" s="779"/>
      <c r="AU90" s="779"/>
      <c r="AV90" s="779"/>
      <c r="AW90" s="779"/>
      <c r="AX90" s="779"/>
      <c r="AY90" s="779"/>
      <c r="AZ90" s="779"/>
      <c r="BA90" s="779"/>
      <c r="BB90" s="779"/>
      <c r="BC90" s="779"/>
      <c r="BD90" s="779"/>
      <c r="BE90" s="779"/>
      <c r="BF90" s="779"/>
      <c r="BG90" s="779"/>
      <c r="BH90" s="779"/>
      <c r="BI90" s="779"/>
      <c r="BJ90" s="779"/>
      <c r="BK90" s="779"/>
      <c r="BL90" s="779"/>
      <c r="BM90" s="779"/>
      <c r="BN90" s="779"/>
      <c r="BO90" s="779"/>
      <c r="BP90" s="779"/>
      <c r="BQ90" s="779"/>
      <c r="BR90" s="779"/>
      <c r="BS90" s="779"/>
      <c r="BT90" s="779"/>
      <c r="BU90" s="779"/>
      <c r="BV90" s="779"/>
      <c r="BW90" s="779"/>
      <c r="BX90" s="779"/>
      <c r="BY90" s="779"/>
      <c r="BZ90" s="779"/>
      <c r="CA90" s="779"/>
      <c r="CB90" s="779"/>
      <c r="CC90" s="779"/>
    </row>
    <row r="91" spans="1:81">
      <c r="A91" s="52"/>
      <c r="B91" s="776"/>
      <c r="C91" s="39" t="s">
        <v>318</v>
      </c>
      <c r="D91" s="39"/>
      <c r="E91" s="776"/>
      <c r="F91" s="27" t="e">
        <f t="shared" ref="F91:M91" si="88">F83</f>
        <v>#REF!</v>
      </c>
      <c r="G91" s="27" t="e">
        <f t="shared" si="88"/>
        <v>#REF!</v>
      </c>
      <c r="H91" s="27" t="e">
        <f t="shared" si="88"/>
        <v>#REF!</v>
      </c>
      <c r="I91" s="27" t="e">
        <f t="shared" si="88"/>
        <v>#REF!</v>
      </c>
      <c r="J91" s="27" t="e">
        <f t="shared" si="88"/>
        <v>#REF!</v>
      </c>
      <c r="K91" s="27" t="e">
        <f t="shared" si="88"/>
        <v>#REF!</v>
      </c>
      <c r="L91" s="27" t="e">
        <f t="shared" si="88"/>
        <v>#REF!</v>
      </c>
      <c r="M91" s="27" t="e">
        <f t="shared" si="88"/>
        <v>#REF!</v>
      </c>
      <c r="N91" s="27"/>
      <c r="O91" s="27" t="e">
        <f t="shared" ref="O91:X91" si="89">O83</f>
        <v>#REF!</v>
      </c>
      <c r="P91" s="29" t="e">
        <f t="shared" si="89"/>
        <v>#REF!</v>
      </c>
      <c r="Q91" s="29" t="e">
        <f t="shared" si="89"/>
        <v>#REF!</v>
      </c>
      <c r="R91" s="29" t="e">
        <f t="shared" si="89"/>
        <v>#REF!</v>
      </c>
      <c r="S91" s="29" t="e">
        <f t="shared" si="89"/>
        <v>#REF!</v>
      </c>
      <c r="T91" s="29" t="e">
        <f t="shared" si="89"/>
        <v>#REF!</v>
      </c>
      <c r="U91" s="29" t="e">
        <f t="shared" si="89"/>
        <v>#REF!</v>
      </c>
      <c r="V91" s="29" t="e">
        <f t="shared" si="89"/>
        <v>#REF!</v>
      </c>
      <c r="W91" s="29" t="e">
        <f t="shared" si="89"/>
        <v>#REF!</v>
      </c>
      <c r="X91" s="29" t="e">
        <f t="shared" si="89"/>
        <v>#REF!</v>
      </c>
      <c r="Y91" s="4"/>
      <c r="Z91" s="4"/>
      <c r="AA91" s="22"/>
      <c r="AB91" s="776"/>
      <c r="AC91" s="776"/>
      <c r="AD91" s="11"/>
      <c r="AE91" s="11"/>
      <c r="AF91" s="11"/>
      <c r="AG91" s="11"/>
      <c r="AH91" s="11"/>
      <c r="AI91" s="11"/>
      <c r="AJ91" s="11"/>
      <c r="AK91" s="11"/>
      <c r="AL91" s="11"/>
      <c r="AM91" s="11"/>
      <c r="AN91" s="11"/>
      <c r="AO91" s="779"/>
      <c r="AP91" s="779"/>
      <c r="AQ91" s="779"/>
      <c r="AR91" s="779"/>
      <c r="AS91" s="779"/>
      <c r="AT91" s="779"/>
      <c r="AU91" s="779"/>
      <c r="AV91" s="779"/>
      <c r="AW91" s="779"/>
      <c r="AX91" s="779"/>
      <c r="AY91" s="779"/>
      <c r="AZ91" s="779"/>
      <c r="BA91" s="779"/>
      <c r="BB91" s="779"/>
      <c r="BC91" s="779"/>
      <c r="BD91" s="779"/>
      <c r="BE91" s="779"/>
      <c r="BF91" s="779"/>
      <c r="BG91" s="779"/>
      <c r="BH91" s="779"/>
      <c r="BI91" s="779"/>
      <c r="BJ91" s="779"/>
      <c r="BK91" s="779"/>
      <c r="BL91" s="779"/>
      <c r="BM91" s="779"/>
      <c r="BN91" s="779"/>
      <c r="BO91" s="779"/>
      <c r="BP91" s="779"/>
      <c r="BQ91" s="779"/>
      <c r="BR91" s="779"/>
      <c r="BS91" s="779"/>
      <c r="BT91" s="779"/>
      <c r="BU91" s="779"/>
      <c r="BV91" s="779"/>
      <c r="BW91" s="779"/>
      <c r="BX91" s="779"/>
      <c r="BY91" s="779"/>
      <c r="BZ91" s="779"/>
      <c r="CA91" s="779"/>
      <c r="CB91" s="779"/>
      <c r="CC91" s="779"/>
    </row>
    <row r="92" spans="1:81">
      <c r="A92" s="52"/>
      <c r="B92" s="776"/>
      <c r="C92" s="334" t="s">
        <v>317</v>
      </c>
      <c r="D92" s="334"/>
      <c r="E92" s="17"/>
      <c r="F92" s="18" t="e">
        <f t="shared" ref="F92:M92" si="90">SUM(F88:F91)</f>
        <v>#REF!</v>
      </c>
      <c r="G92" s="18" t="e">
        <f t="shared" si="90"/>
        <v>#REF!</v>
      </c>
      <c r="H92" s="18" t="e">
        <f t="shared" si="90"/>
        <v>#REF!</v>
      </c>
      <c r="I92" s="18" t="e">
        <f t="shared" si="90"/>
        <v>#REF!</v>
      </c>
      <c r="J92" s="18" t="e">
        <f t="shared" si="90"/>
        <v>#REF!</v>
      </c>
      <c r="K92" s="18" t="e">
        <f t="shared" si="90"/>
        <v>#REF!</v>
      </c>
      <c r="L92" s="18" t="e">
        <f t="shared" si="90"/>
        <v>#REF!</v>
      </c>
      <c r="M92" s="18" t="e">
        <f t="shared" si="90"/>
        <v>#REF!</v>
      </c>
      <c r="N92" s="18"/>
      <c r="O92" s="18" t="e">
        <f t="shared" ref="O92:X92" si="91">SUM(O88:O91)</f>
        <v>#REF!</v>
      </c>
      <c r="P92" s="21" t="e">
        <f t="shared" si="91"/>
        <v>#REF!</v>
      </c>
      <c r="Q92" s="21" t="e">
        <f t="shared" si="91"/>
        <v>#REF!</v>
      </c>
      <c r="R92" s="21" t="e">
        <f t="shared" si="91"/>
        <v>#REF!</v>
      </c>
      <c r="S92" s="21" t="e">
        <f t="shared" si="91"/>
        <v>#REF!</v>
      </c>
      <c r="T92" s="21" t="e">
        <f t="shared" si="91"/>
        <v>#REF!</v>
      </c>
      <c r="U92" s="21" t="e">
        <f t="shared" si="91"/>
        <v>#REF!</v>
      </c>
      <c r="V92" s="21" t="e">
        <f t="shared" si="91"/>
        <v>#REF!</v>
      </c>
      <c r="W92" s="21" t="e">
        <f t="shared" si="91"/>
        <v>#REF!</v>
      </c>
      <c r="X92" s="21" t="e">
        <f t="shared" si="91"/>
        <v>#REF!</v>
      </c>
      <c r="Y92" s="776"/>
      <c r="Z92" s="776"/>
      <c r="AA92" s="13"/>
      <c r="AB92" s="776"/>
      <c r="AC92" s="776"/>
      <c r="AD92" s="11"/>
      <c r="AE92" s="11"/>
      <c r="AF92" s="11"/>
      <c r="AG92" s="11"/>
      <c r="AH92" s="11"/>
      <c r="AI92" s="11"/>
      <c r="AJ92" s="11"/>
      <c r="AK92" s="11"/>
      <c r="AL92" s="11"/>
      <c r="AM92" s="11"/>
      <c r="AN92" s="11"/>
      <c r="AO92" s="779"/>
      <c r="AP92" s="779"/>
      <c r="AQ92" s="779"/>
      <c r="AR92" s="779"/>
      <c r="AS92" s="779"/>
      <c r="AT92" s="779"/>
      <c r="AU92" s="779"/>
      <c r="AV92" s="779"/>
      <c r="AW92" s="779"/>
      <c r="AX92" s="779"/>
      <c r="AY92" s="779"/>
      <c r="AZ92" s="779"/>
      <c r="BA92" s="779"/>
      <c r="BB92" s="779"/>
      <c r="BC92" s="779"/>
      <c r="BD92" s="779"/>
      <c r="BE92" s="779"/>
      <c r="BF92" s="779"/>
      <c r="BG92" s="779"/>
      <c r="BH92" s="779"/>
      <c r="BI92" s="779"/>
      <c r="BJ92" s="779"/>
      <c r="BK92" s="779"/>
      <c r="BL92" s="779"/>
      <c r="BM92" s="779"/>
      <c r="BN92" s="779"/>
      <c r="BO92" s="779"/>
      <c r="BP92" s="779"/>
      <c r="BQ92" s="779"/>
      <c r="BR92" s="779"/>
      <c r="BS92" s="779"/>
      <c r="BT92" s="779"/>
      <c r="BU92" s="779"/>
      <c r="BV92" s="779"/>
      <c r="BW92" s="779"/>
      <c r="BX92" s="779"/>
      <c r="BY92" s="779"/>
      <c r="BZ92" s="779"/>
      <c r="CA92" s="779"/>
      <c r="CB92" s="779"/>
      <c r="CC92" s="779"/>
    </row>
    <row r="93" spans="1:81">
      <c r="A93" s="52"/>
      <c r="B93" s="776"/>
      <c r="C93" s="39" t="s">
        <v>1091</v>
      </c>
      <c r="D93" s="39"/>
      <c r="E93" s="17"/>
      <c r="F93" s="18" t="e">
        <f t="shared" ref="F93:M93" si="92">F85</f>
        <v>#REF!</v>
      </c>
      <c r="G93" s="18" t="e">
        <f t="shared" si="92"/>
        <v>#REF!</v>
      </c>
      <c r="H93" s="18" t="e">
        <f t="shared" si="92"/>
        <v>#REF!</v>
      </c>
      <c r="I93" s="18" t="e">
        <f t="shared" si="92"/>
        <v>#REF!</v>
      </c>
      <c r="J93" s="18" t="e">
        <f t="shared" si="92"/>
        <v>#REF!</v>
      </c>
      <c r="K93" s="18" t="e">
        <f t="shared" si="92"/>
        <v>#REF!</v>
      </c>
      <c r="L93" s="18" t="e">
        <f t="shared" si="92"/>
        <v>#REF!</v>
      </c>
      <c r="M93" s="18" t="e">
        <f t="shared" si="92"/>
        <v>#REF!</v>
      </c>
      <c r="N93" s="18"/>
      <c r="O93" s="18" t="e">
        <f t="shared" ref="O93:X93" si="93">O85</f>
        <v>#REF!</v>
      </c>
      <c r="P93" s="21" t="e">
        <f t="shared" si="93"/>
        <v>#REF!</v>
      </c>
      <c r="Q93" s="21" t="e">
        <f t="shared" si="93"/>
        <v>#REF!</v>
      </c>
      <c r="R93" s="21" t="e">
        <f t="shared" si="93"/>
        <v>#REF!</v>
      </c>
      <c r="S93" s="21" t="e">
        <f t="shared" si="93"/>
        <v>#REF!</v>
      </c>
      <c r="T93" s="21" t="e">
        <f t="shared" si="93"/>
        <v>#REF!</v>
      </c>
      <c r="U93" s="21" t="e">
        <f t="shared" si="93"/>
        <v>#REF!</v>
      </c>
      <c r="V93" s="21" t="e">
        <f t="shared" si="93"/>
        <v>#REF!</v>
      </c>
      <c r="W93" s="21" t="e">
        <f t="shared" si="93"/>
        <v>#REF!</v>
      </c>
      <c r="X93" s="21" t="e">
        <f t="shared" si="93"/>
        <v>#REF!</v>
      </c>
      <c r="Y93" s="776"/>
      <c r="Z93" s="776"/>
      <c r="AA93" s="13"/>
      <c r="AB93" s="776"/>
      <c r="AC93" s="776"/>
      <c r="AD93" s="11">
        <f t="shared" ref="AD93:AN93" si="94">SUM(AD90:AD92)</f>
        <v>0</v>
      </c>
      <c r="AE93" s="11">
        <f t="shared" si="94"/>
        <v>0</v>
      </c>
      <c r="AF93" s="11">
        <f t="shared" si="94"/>
        <v>0</v>
      </c>
      <c r="AG93" s="11">
        <f t="shared" si="94"/>
        <v>0</v>
      </c>
      <c r="AH93" s="11">
        <f t="shared" si="94"/>
        <v>0</v>
      </c>
      <c r="AI93" s="11">
        <f t="shared" si="94"/>
        <v>0</v>
      </c>
      <c r="AJ93" s="11">
        <f t="shared" si="94"/>
        <v>0</v>
      </c>
      <c r="AK93" s="11">
        <f t="shared" si="94"/>
        <v>0</v>
      </c>
      <c r="AL93" s="11">
        <f t="shared" si="94"/>
        <v>0</v>
      </c>
      <c r="AM93" s="11">
        <f t="shared" si="94"/>
        <v>0</v>
      </c>
      <c r="AN93" s="11">
        <f t="shared" si="94"/>
        <v>0</v>
      </c>
      <c r="AO93" s="779"/>
      <c r="AP93" s="779"/>
      <c r="AQ93" s="779"/>
      <c r="AR93" s="779"/>
      <c r="AS93" s="779"/>
      <c r="AT93" s="779"/>
      <c r="AU93" s="779"/>
      <c r="AV93" s="779"/>
      <c r="AW93" s="779"/>
      <c r="AX93" s="779"/>
      <c r="AY93" s="779"/>
      <c r="AZ93" s="779"/>
      <c r="BA93" s="779"/>
      <c r="BB93" s="779"/>
      <c r="BC93" s="779"/>
      <c r="BD93" s="779"/>
      <c r="BE93" s="779"/>
      <c r="BF93" s="779"/>
      <c r="BG93" s="779"/>
      <c r="BH93" s="779"/>
      <c r="BI93" s="779"/>
      <c r="BJ93" s="779"/>
      <c r="BK93" s="779"/>
      <c r="BL93" s="779"/>
      <c r="BM93" s="779"/>
      <c r="BN93" s="779"/>
      <c r="BO93" s="779"/>
      <c r="BP93" s="779"/>
      <c r="BQ93" s="779"/>
      <c r="BR93" s="779"/>
      <c r="BS93" s="779"/>
      <c r="BT93" s="779"/>
      <c r="BU93" s="779"/>
      <c r="BV93" s="779"/>
      <c r="BW93" s="779"/>
      <c r="BX93" s="779"/>
      <c r="BY93" s="779"/>
      <c r="BZ93" s="779"/>
      <c r="CA93" s="779"/>
      <c r="CB93" s="779"/>
      <c r="CC93" s="779"/>
    </row>
    <row r="94" spans="1:81">
      <c r="A94" s="242"/>
      <c r="B94" s="13"/>
      <c r="C94" s="39" t="s">
        <v>1092</v>
      </c>
      <c r="D94" s="39"/>
      <c r="E94" s="17"/>
      <c r="F94" s="761">
        <f t="shared" ref="F94:M94" si="95">F101</f>
        <v>0</v>
      </c>
      <c r="G94" s="761" t="e">
        <f t="shared" si="95"/>
        <v>#REF!</v>
      </c>
      <c r="H94" s="761" t="e">
        <f t="shared" si="95"/>
        <v>#REF!</v>
      </c>
      <c r="I94" s="761" t="e">
        <f t="shared" si="95"/>
        <v>#REF!</v>
      </c>
      <c r="J94" s="761" t="e">
        <f t="shared" si="95"/>
        <v>#REF!</v>
      </c>
      <c r="K94" s="761" t="e">
        <f t="shared" si="95"/>
        <v>#REF!</v>
      </c>
      <c r="L94" s="761" t="e">
        <f t="shared" si="95"/>
        <v>#REF!</v>
      </c>
      <c r="M94" s="761" t="e">
        <f t="shared" si="95"/>
        <v>#REF!</v>
      </c>
      <c r="N94" s="761"/>
      <c r="O94" s="761" t="e">
        <f t="shared" ref="O94:X94" si="96">O101</f>
        <v>#REF!</v>
      </c>
      <c r="P94" s="29" t="e">
        <f t="shared" si="96"/>
        <v>#REF!</v>
      </c>
      <c r="Q94" s="29" t="e">
        <f t="shared" si="96"/>
        <v>#REF!</v>
      </c>
      <c r="R94" s="29" t="e">
        <f t="shared" si="96"/>
        <v>#REF!</v>
      </c>
      <c r="S94" s="29" t="e">
        <f t="shared" si="96"/>
        <v>#REF!</v>
      </c>
      <c r="T94" s="29" t="e">
        <f t="shared" si="96"/>
        <v>#REF!</v>
      </c>
      <c r="U94" s="29" t="e">
        <f t="shared" si="96"/>
        <v>#REF!</v>
      </c>
      <c r="V94" s="29" t="e">
        <f t="shared" si="96"/>
        <v>#REF!</v>
      </c>
      <c r="W94" s="29" t="e">
        <f t="shared" si="96"/>
        <v>#REF!</v>
      </c>
      <c r="X94" s="29" t="e">
        <f t="shared" si="96"/>
        <v>#REF!</v>
      </c>
      <c r="Y94" s="4"/>
      <c r="Z94" s="4"/>
      <c r="AA94" s="22"/>
      <c r="AB94" s="776"/>
      <c r="AC94" s="776"/>
      <c r="AD94" s="11"/>
      <c r="AE94" s="11"/>
      <c r="AF94" s="11"/>
      <c r="AG94" s="11"/>
      <c r="AH94" s="11"/>
      <c r="AI94" s="11"/>
      <c r="AJ94" s="11"/>
      <c r="AK94" s="11"/>
      <c r="AL94" s="11"/>
      <c r="AM94" s="11"/>
      <c r="AN94" s="11"/>
      <c r="AO94" s="779"/>
      <c r="AP94" s="779"/>
      <c r="AQ94" s="779"/>
      <c r="AR94" s="779"/>
      <c r="AS94" s="779"/>
      <c r="AT94" s="779"/>
      <c r="AU94" s="779"/>
      <c r="AV94" s="779"/>
      <c r="AW94" s="779"/>
      <c r="AX94" s="779"/>
      <c r="AY94" s="779"/>
      <c r="AZ94" s="779"/>
      <c r="BA94" s="779"/>
      <c r="BB94" s="779"/>
      <c r="BC94" s="779"/>
      <c r="BD94" s="779"/>
      <c r="BE94" s="779"/>
      <c r="BF94" s="779"/>
      <c r="BG94" s="779"/>
      <c r="BH94" s="779"/>
      <c r="BI94" s="779"/>
      <c r="BJ94" s="779"/>
      <c r="BK94" s="779"/>
      <c r="BL94" s="779"/>
      <c r="BM94" s="779"/>
      <c r="BN94" s="779"/>
      <c r="BO94" s="779"/>
      <c r="BP94" s="779"/>
      <c r="BQ94" s="779"/>
      <c r="BR94" s="779"/>
      <c r="BS94" s="779"/>
      <c r="BT94" s="779"/>
      <c r="BU94" s="779"/>
      <c r="BV94" s="779"/>
      <c r="BW94" s="779"/>
      <c r="BX94" s="779"/>
      <c r="BY94" s="779"/>
      <c r="BZ94" s="779"/>
      <c r="CA94" s="779"/>
      <c r="CB94" s="779"/>
      <c r="CC94" s="779"/>
    </row>
    <row r="95" spans="1:81">
      <c r="A95" s="52"/>
      <c r="B95" s="776"/>
      <c r="C95" s="39" t="s">
        <v>624</v>
      </c>
      <c r="D95" s="39"/>
      <c r="E95" s="17"/>
      <c r="F95" s="18" t="e">
        <f t="shared" ref="F95:M95" si="97">F93+F94</f>
        <v>#REF!</v>
      </c>
      <c r="G95" s="18" t="e">
        <f t="shared" si="97"/>
        <v>#REF!</v>
      </c>
      <c r="H95" s="18" t="e">
        <f t="shared" si="97"/>
        <v>#REF!</v>
      </c>
      <c r="I95" s="18" t="e">
        <f t="shared" si="97"/>
        <v>#REF!</v>
      </c>
      <c r="J95" s="18" t="e">
        <f t="shared" si="97"/>
        <v>#REF!</v>
      </c>
      <c r="K95" s="18" t="e">
        <f t="shared" si="97"/>
        <v>#REF!</v>
      </c>
      <c r="L95" s="18" t="e">
        <f t="shared" si="97"/>
        <v>#REF!</v>
      </c>
      <c r="M95" s="18" t="e">
        <f t="shared" si="97"/>
        <v>#REF!</v>
      </c>
      <c r="N95" s="18"/>
      <c r="O95" s="18" t="e">
        <f t="shared" ref="O95:X95" si="98">O93+O94</f>
        <v>#REF!</v>
      </c>
      <c r="P95" s="21" t="e">
        <f t="shared" si="98"/>
        <v>#REF!</v>
      </c>
      <c r="Q95" s="21" t="e">
        <f t="shared" si="98"/>
        <v>#REF!</v>
      </c>
      <c r="R95" s="21" t="e">
        <f t="shared" si="98"/>
        <v>#REF!</v>
      </c>
      <c r="S95" s="21" t="e">
        <f t="shared" si="98"/>
        <v>#REF!</v>
      </c>
      <c r="T95" s="21" t="e">
        <f t="shared" si="98"/>
        <v>#REF!</v>
      </c>
      <c r="U95" s="21" t="e">
        <f t="shared" si="98"/>
        <v>#REF!</v>
      </c>
      <c r="V95" s="21" t="e">
        <f t="shared" si="98"/>
        <v>#REF!</v>
      </c>
      <c r="W95" s="21" t="e">
        <f t="shared" si="98"/>
        <v>#REF!</v>
      </c>
      <c r="X95" s="21" t="e">
        <f t="shared" si="98"/>
        <v>#REF!</v>
      </c>
      <c r="Y95" s="776"/>
      <c r="Z95" s="776"/>
      <c r="AA95" s="13"/>
      <c r="AB95" s="776"/>
      <c r="AC95" s="776"/>
      <c r="AD95" s="11"/>
      <c r="AE95" s="11"/>
      <c r="AF95" s="11"/>
      <c r="AG95" s="11"/>
      <c r="AH95" s="11"/>
      <c r="AI95" s="11"/>
      <c r="AJ95" s="11"/>
      <c r="AK95" s="11"/>
      <c r="AL95" s="11"/>
      <c r="AM95" s="11"/>
      <c r="AN95" s="11"/>
      <c r="AO95" s="779"/>
      <c r="AP95" s="779"/>
      <c r="AQ95" s="779"/>
      <c r="AR95" s="779"/>
      <c r="AS95" s="779"/>
      <c r="AT95" s="779"/>
      <c r="AU95" s="779"/>
      <c r="AV95" s="779"/>
      <c r="AW95" s="779"/>
      <c r="AX95" s="779"/>
      <c r="AY95" s="779"/>
      <c r="AZ95" s="779"/>
      <c r="BA95" s="779"/>
      <c r="BB95" s="779"/>
      <c r="BC95" s="779"/>
      <c r="BD95" s="779"/>
      <c r="BE95" s="779"/>
      <c r="BF95" s="779"/>
      <c r="BG95" s="779"/>
      <c r="BH95" s="779"/>
      <c r="BI95" s="779"/>
      <c r="BJ95" s="779"/>
      <c r="BK95" s="779"/>
      <c r="BL95" s="779"/>
      <c r="BM95" s="779"/>
      <c r="BN95" s="779"/>
      <c r="BO95" s="779"/>
      <c r="BP95" s="779"/>
      <c r="BQ95" s="779"/>
      <c r="BR95" s="779"/>
      <c r="BS95" s="779"/>
      <c r="BT95" s="779"/>
      <c r="BU95" s="779"/>
      <c r="BV95" s="779"/>
      <c r="BW95" s="779"/>
      <c r="BX95" s="779"/>
      <c r="BY95" s="779"/>
      <c r="BZ95" s="779"/>
      <c r="CA95" s="779"/>
      <c r="CB95" s="779"/>
      <c r="CC95" s="779"/>
    </row>
    <row r="96" spans="1:81" ht="13.5" thickBot="1">
      <c r="A96" s="52"/>
      <c r="B96" s="776"/>
      <c r="C96" s="30" t="s">
        <v>1093</v>
      </c>
      <c r="D96" s="30"/>
      <c r="E96" s="17"/>
      <c r="F96" s="747" t="e">
        <f t="shared" ref="F96:M96" si="99">F92+F95</f>
        <v>#REF!</v>
      </c>
      <c r="G96" s="747" t="e">
        <f t="shared" si="99"/>
        <v>#REF!</v>
      </c>
      <c r="H96" s="747" t="e">
        <f t="shared" si="99"/>
        <v>#REF!</v>
      </c>
      <c r="I96" s="747" t="e">
        <f t="shared" si="99"/>
        <v>#REF!</v>
      </c>
      <c r="J96" s="747" t="e">
        <f t="shared" si="99"/>
        <v>#REF!</v>
      </c>
      <c r="K96" s="747" t="e">
        <f t="shared" si="99"/>
        <v>#REF!</v>
      </c>
      <c r="L96" s="747" t="e">
        <f t="shared" si="99"/>
        <v>#REF!</v>
      </c>
      <c r="M96" s="747" t="e">
        <f t="shared" si="99"/>
        <v>#REF!</v>
      </c>
      <c r="N96" s="747"/>
      <c r="O96" s="747" t="e">
        <f t="shared" ref="O96:X96" si="100">O92+O95</f>
        <v>#REF!</v>
      </c>
      <c r="P96" s="645" t="e">
        <f t="shared" si="100"/>
        <v>#REF!</v>
      </c>
      <c r="Q96" s="645" t="e">
        <f t="shared" si="100"/>
        <v>#REF!</v>
      </c>
      <c r="R96" s="645" t="e">
        <f t="shared" si="100"/>
        <v>#REF!</v>
      </c>
      <c r="S96" s="645" t="e">
        <f t="shared" si="100"/>
        <v>#REF!</v>
      </c>
      <c r="T96" s="645" t="e">
        <f t="shared" si="100"/>
        <v>#REF!</v>
      </c>
      <c r="U96" s="645" t="e">
        <f t="shared" si="100"/>
        <v>#REF!</v>
      </c>
      <c r="V96" s="645" t="e">
        <f t="shared" si="100"/>
        <v>#REF!</v>
      </c>
      <c r="W96" s="645" t="e">
        <f t="shared" si="100"/>
        <v>#REF!</v>
      </c>
      <c r="X96" s="645" t="e">
        <f t="shared" si="100"/>
        <v>#REF!</v>
      </c>
      <c r="Y96" s="758"/>
      <c r="Z96" s="758"/>
      <c r="AA96" s="783"/>
      <c r="AB96" s="776"/>
      <c r="AC96" s="776"/>
      <c r="AD96" s="11"/>
      <c r="AE96" s="11"/>
      <c r="AF96" s="11"/>
      <c r="AG96" s="11"/>
      <c r="AH96" s="11"/>
      <c r="AI96" s="11"/>
      <c r="AJ96" s="11"/>
      <c r="AK96" s="11"/>
      <c r="AL96" s="11"/>
      <c r="AM96" s="11"/>
      <c r="AN96" s="11"/>
      <c r="AO96" s="779"/>
      <c r="AP96" s="779"/>
      <c r="AQ96" s="779"/>
      <c r="AR96" s="779"/>
      <c r="AS96" s="779"/>
      <c r="AT96" s="779"/>
      <c r="AU96" s="779"/>
      <c r="AV96" s="779"/>
      <c r="AW96" s="779"/>
      <c r="AX96" s="779"/>
      <c r="AY96" s="779"/>
      <c r="AZ96" s="779"/>
      <c r="BA96" s="779"/>
      <c r="BB96" s="779"/>
      <c r="BC96" s="779"/>
      <c r="BD96" s="779"/>
      <c r="BE96" s="779"/>
      <c r="BF96" s="779"/>
      <c r="BG96" s="779"/>
      <c r="BH96" s="779"/>
      <c r="BI96" s="779"/>
      <c r="BJ96" s="779"/>
      <c r="BK96" s="779"/>
      <c r="BL96" s="779"/>
      <c r="BM96" s="779"/>
      <c r="BN96" s="779"/>
      <c r="BO96" s="779"/>
      <c r="BP96" s="779"/>
      <c r="BQ96" s="779"/>
      <c r="BR96" s="779"/>
      <c r="BS96" s="779"/>
      <c r="BT96" s="779"/>
      <c r="BU96" s="779"/>
      <c r="BV96" s="779"/>
      <c r="BW96" s="779"/>
      <c r="BX96" s="779"/>
      <c r="BY96" s="779"/>
      <c r="BZ96" s="779"/>
      <c r="CA96" s="779"/>
      <c r="CB96" s="779"/>
      <c r="CC96" s="779"/>
    </row>
    <row r="97" spans="1:81" ht="13.5" thickTop="1">
      <c r="A97" s="52">
        <v>3</v>
      </c>
      <c r="B97" s="776"/>
      <c r="C97" s="753" t="s">
        <v>537</v>
      </c>
      <c r="D97" s="753"/>
      <c r="E97" s="753"/>
      <c r="F97" s="11">
        <v>14452</v>
      </c>
      <c r="G97" s="11">
        <v>48891</v>
      </c>
      <c r="H97" s="11">
        <v>52172</v>
      </c>
      <c r="I97" s="11">
        <v>58584</v>
      </c>
      <c r="J97" s="11">
        <v>59686</v>
      </c>
      <c r="K97" s="11">
        <v>74545</v>
      </c>
      <c r="L97" s="11">
        <v>81309</v>
      </c>
      <c r="M97" s="11">
        <v>77436</v>
      </c>
      <c r="N97" s="11"/>
      <c r="O97" s="11">
        <v>139556</v>
      </c>
      <c r="P97" s="11">
        <v>149793</v>
      </c>
      <c r="Q97" s="11">
        <v>174318</v>
      </c>
      <c r="R97" s="11">
        <v>209283</v>
      </c>
      <c r="S97" s="11">
        <v>202903</v>
      </c>
      <c r="T97" s="11">
        <v>201200</v>
      </c>
      <c r="U97" s="11">
        <v>198600</v>
      </c>
      <c r="V97" s="11">
        <v>218000</v>
      </c>
      <c r="W97" s="11">
        <v>217000</v>
      </c>
      <c r="X97" s="11">
        <v>245000</v>
      </c>
      <c r="Y97" s="776"/>
      <c r="Z97" s="776"/>
      <c r="AA97" s="13"/>
      <c r="AB97" s="776"/>
      <c r="AC97" s="776"/>
      <c r="AD97" s="11"/>
      <c r="AE97" s="11"/>
      <c r="AF97" s="11"/>
      <c r="AG97" s="11"/>
      <c r="AH97" s="11"/>
      <c r="AI97" s="11"/>
      <c r="AJ97" s="11"/>
      <c r="AK97" s="11"/>
      <c r="AL97" s="11"/>
      <c r="AM97" s="11"/>
      <c r="AN97" s="11"/>
      <c r="AO97" s="779"/>
      <c r="AP97" s="779"/>
      <c r="AQ97" s="779"/>
      <c r="AR97" s="779"/>
      <c r="AS97" s="779"/>
      <c r="AT97" s="779"/>
      <c r="AU97" s="779"/>
      <c r="AV97" s="779"/>
      <c r="AW97" s="779"/>
      <c r="AX97" s="779"/>
      <c r="AY97" s="779"/>
      <c r="AZ97" s="779"/>
      <c r="BA97" s="779"/>
      <c r="BB97" s="779"/>
      <c r="BC97" s="779"/>
      <c r="BD97" s="779"/>
      <c r="BE97" s="779"/>
      <c r="BF97" s="779"/>
      <c r="BG97" s="779"/>
      <c r="BH97" s="779"/>
      <c r="BI97" s="779"/>
      <c r="BJ97" s="779"/>
      <c r="BK97" s="779"/>
      <c r="BL97" s="779"/>
      <c r="BM97" s="779"/>
      <c r="BN97" s="779"/>
      <c r="BO97" s="779"/>
      <c r="BP97" s="779"/>
      <c r="BQ97" s="779"/>
      <c r="BR97" s="779"/>
      <c r="BS97" s="779"/>
      <c r="BT97" s="779"/>
      <c r="BU97" s="779"/>
      <c r="BV97" s="779"/>
      <c r="BW97" s="779"/>
      <c r="BX97" s="779"/>
      <c r="BY97" s="779"/>
      <c r="BZ97" s="779"/>
      <c r="CA97" s="779"/>
      <c r="CB97" s="779"/>
      <c r="CC97" s="779"/>
    </row>
    <row r="98" spans="1:81">
      <c r="A98" s="52"/>
      <c r="B98" s="776"/>
      <c r="C98" s="39" t="s">
        <v>1094</v>
      </c>
      <c r="D98" s="39"/>
      <c r="E98" s="23"/>
      <c r="F98" s="23"/>
      <c r="G98" s="768" t="e">
        <f>#REF!</f>
        <v>#REF!</v>
      </c>
      <c r="H98" s="768">
        <f>H143</f>
        <v>0</v>
      </c>
      <c r="I98" s="768">
        <f>I148</f>
        <v>0</v>
      </c>
      <c r="J98" s="768">
        <f>J154</f>
        <v>0</v>
      </c>
      <c r="K98" s="769">
        <f>K161</f>
        <v>0</v>
      </c>
      <c r="L98" s="769">
        <f>L166</f>
        <v>0</v>
      </c>
      <c r="M98" s="769">
        <f>M172</f>
        <v>0</v>
      </c>
      <c r="N98" s="769"/>
      <c r="O98" s="776"/>
      <c r="P98" s="13"/>
      <c r="Q98" s="13"/>
      <c r="R98" s="13"/>
      <c r="S98" s="13"/>
      <c r="T98" s="13"/>
      <c r="U98" s="13"/>
      <c r="V98" s="13"/>
      <c r="W98" s="13"/>
      <c r="X98" s="13"/>
      <c r="Y98" s="776"/>
      <c r="Z98" s="776"/>
      <c r="AA98" s="13"/>
      <c r="AB98" s="776"/>
      <c r="AC98" s="776"/>
      <c r="AD98" s="11"/>
      <c r="AE98" s="11"/>
      <c r="AF98" s="11"/>
      <c r="AG98" s="11"/>
      <c r="AH98" s="11"/>
      <c r="AI98" s="11"/>
      <c r="AJ98" s="11"/>
      <c r="AK98" s="11"/>
      <c r="AL98" s="11"/>
      <c r="AM98" s="11"/>
      <c r="AN98" s="11"/>
      <c r="AO98" s="779"/>
      <c r="AP98" s="779"/>
      <c r="AQ98" s="779"/>
      <c r="AR98" s="779"/>
      <c r="AS98" s="779"/>
      <c r="AT98" s="779"/>
      <c r="AU98" s="779"/>
      <c r="AV98" s="779"/>
      <c r="AW98" s="779"/>
      <c r="AX98" s="779"/>
      <c r="AY98" s="779"/>
      <c r="AZ98" s="779"/>
      <c r="BA98" s="779"/>
      <c r="BB98" s="779"/>
      <c r="BC98" s="779"/>
      <c r="BD98" s="779"/>
      <c r="BE98" s="779"/>
      <c r="BF98" s="779"/>
      <c r="BG98" s="779"/>
      <c r="BH98" s="779"/>
      <c r="BI98" s="779"/>
      <c r="BJ98" s="779"/>
      <c r="BK98" s="779"/>
      <c r="BL98" s="779"/>
      <c r="BM98" s="779"/>
      <c r="BN98" s="779"/>
      <c r="BO98" s="779"/>
      <c r="BP98" s="779"/>
      <c r="BQ98" s="779"/>
      <c r="BR98" s="779"/>
      <c r="BS98" s="779"/>
      <c r="BT98" s="779"/>
      <c r="BU98" s="779"/>
      <c r="BV98" s="779"/>
      <c r="BW98" s="779"/>
      <c r="BX98" s="779"/>
      <c r="BY98" s="779"/>
      <c r="BZ98" s="779"/>
      <c r="CA98" s="779"/>
      <c r="CB98" s="779"/>
      <c r="CC98" s="779"/>
    </row>
    <row r="99" spans="1:81" ht="15">
      <c r="A99" s="52"/>
      <c r="B99" s="776"/>
      <c r="C99" s="39" t="s">
        <v>1201</v>
      </c>
      <c r="D99" s="39"/>
      <c r="E99" s="23"/>
      <c r="F99" s="22"/>
      <c r="G99" s="651"/>
      <c r="H99" s="29"/>
      <c r="I99" s="29"/>
      <c r="J99" s="29"/>
      <c r="K99" s="651"/>
      <c r="L99" s="651"/>
      <c r="M99" s="651"/>
      <c r="N99" s="651"/>
      <c r="O99" s="770">
        <f t="shared" ref="O99:X99" si="101">O97-O100</f>
        <v>69156</v>
      </c>
      <c r="P99" s="771">
        <f t="shared" si="101"/>
        <v>69793</v>
      </c>
      <c r="Q99" s="771">
        <f t="shared" si="101"/>
        <v>87818</v>
      </c>
      <c r="R99" s="771">
        <f t="shared" si="101"/>
        <v>130624.02125000001</v>
      </c>
      <c r="S99" s="771">
        <f t="shared" si="101"/>
        <v>126203</v>
      </c>
      <c r="T99" s="771">
        <f t="shared" si="101"/>
        <v>130591.72875000002</v>
      </c>
      <c r="U99" s="771">
        <f t="shared" si="101"/>
        <v>127990.72874999999</v>
      </c>
      <c r="V99" s="771">
        <f t="shared" si="101"/>
        <v>147389.72875000001</v>
      </c>
      <c r="W99" s="771">
        <f t="shared" si="101"/>
        <v>146388.72875000001</v>
      </c>
      <c r="X99" s="771">
        <f t="shared" si="101"/>
        <v>174387.72875000001</v>
      </c>
      <c r="Y99" s="4"/>
      <c r="Z99" s="4"/>
      <c r="AA99" s="22"/>
      <c r="AB99" s="776"/>
      <c r="AC99" s="776"/>
      <c r="AD99" s="11"/>
      <c r="AE99" s="11"/>
      <c r="AF99" s="11"/>
      <c r="AG99" s="11"/>
      <c r="AH99" s="11"/>
      <c r="AI99" s="11"/>
      <c r="AJ99" s="11"/>
      <c r="AK99" s="11"/>
      <c r="AL99" s="11"/>
      <c r="AM99" s="11"/>
      <c r="AN99" s="11"/>
      <c r="AO99" s="779"/>
      <c r="AP99" s="779"/>
      <c r="AQ99" s="779"/>
      <c r="AR99" s="779"/>
      <c r="AS99" s="779"/>
      <c r="AT99" s="779"/>
      <c r="AU99" s="779"/>
      <c r="AV99" s="779"/>
      <c r="AW99" s="779"/>
      <c r="AX99" s="779"/>
      <c r="AY99" s="779"/>
      <c r="AZ99" s="779"/>
      <c r="BA99" s="779"/>
      <c r="BB99" s="779"/>
      <c r="BC99" s="779"/>
      <c r="BD99" s="779"/>
      <c r="BE99" s="779"/>
      <c r="BF99" s="779"/>
      <c r="BG99" s="779"/>
      <c r="BH99" s="779"/>
      <c r="BI99" s="779"/>
      <c r="BJ99" s="779"/>
      <c r="BK99" s="779"/>
      <c r="BL99" s="779"/>
      <c r="BM99" s="779"/>
      <c r="BN99" s="779"/>
      <c r="BO99" s="779"/>
      <c r="BP99" s="779"/>
      <c r="BQ99" s="779"/>
      <c r="BR99" s="779"/>
      <c r="BS99" s="779"/>
      <c r="BT99" s="779"/>
      <c r="BU99" s="779"/>
      <c r="BV99" s="779"/>
      <c r="BW99" s="779"/>
      <c r="BX99" s="779"/>
      <c r="BY99" s="779"/>
      <c r="BZ99" s="779"/>
      <c r="CA99" s="779"/>
      <c r="CB99" s="779"/>
      <c r="CC99" s="779"/>
    </row>
    <row r="100" spans="1:81" ht="15">
      <c r="A100" s="52"/>
      <c r="B100" s="776"/>
      <c r="C100" s="39" t="s">
        <v>1096</v>
      </c>
      <c r="D100" s="39"/>
      <c r="E100" s="23"/>
      <c r="F100" s="21">
        <f t="shared" ref="F100:M100" si="102">F97-F98</f>
        <v>14452</v>
      </c>
      <c r="G100" s="21" t="e">
        <f t="shared" si="102"/>
        <v>#REF!</v>
      </c>
      <c r="H100" s="21">
        <f t="shared" si="102"/>
        <v>52172</v>
      </c>
      <c r="I100" s="21">
        <f t="shared" si="102"/>
        <v>58584</v>
      </c>
      <c r="J100" s="21">
        <f t="shared" si="102"/>
        <v>59686</v>
      </c>
      <c r="K100" s="21">
        <f t="shared" si="102"/>
        <v>74545</v>
      </c>
      <c r="L100" s="21">
        <f t="shared" si="102"/>
        <v>81309</v>
      </c>
      <c r="M100" s="21">
        <f t="shared" si="102"/>
        <v>77436</v>
      </c>
      <c r="N100" s="21"/>
      <c r="O100" s="772">
        <v>70400</v>
      </c>
      <c r="P100" s="773">
        <v>80000</v>
      </c>
      <c r="Q100" s="773">
        <v>86500</v>
      </c>
      <c r="R100" s="773">
        <v>78658.978749999995</v>
      </c>
      <c r="S100" s="773">
        <v>76700</v>
      </c>
      <c r="T100" s="773">
        <v>70608.271249999976</v>
      </c>
      <c r="U100" s="773">
        <v>70609.271250000005</v>
      </c>
      <c r="V100" s="773">
        <v>70610.271250000005</v>
      </c>
      <c r="W100" s="773">
        <v>70611.271250000005</v>
      </c>
      <c r="X100" s="773">
        <v>70612.271250000005</v>
      </c>
      <c r="Y100" s="776"/>
      <c r="Z100" s="776"/>
      <c r="AA100" s="13"/>
      <c r="AB100" s="776"/>
      <c r="AC100" s="776"/>
      <c r="AD100" s="11"/>
      <c r="AE100" s="11"/>
      <c r="AF100" s="11"/>
      <c r="AG100" s="11"/>
      <c r="AH100" s="11"/>
      <c r="AI100" s="11"/>
      <c r="AJ100" s="11"/>
      <c r="AK100" s="11"/>
      <c r="AL100" s="11"/>
      <c r="AM100" s="11"/>
      <c r="AN100" s="11"/>
      <c r="AO100" s="779"/>
      <c r="AP100" s="779"/>
      <c r="AQ100" s="779"/>
      <c r="AR100" s="779"/>
      <c r="AS100" s="779"/>
      <c r="AT100" s="779"/>
      <c r="AU100" s="779"/>
      <c r="AV100" s="779"/>
      <c r="AW100" s="779"/>
      <c r="AX100" s="779"/>
      <c r="AY100" s="779"/>
      <c r="AZ100" s="779"/>
      <c r="BA100" s="779"/>
      <c r="BB100" s="779"/>
      <c r="BC100" s="779"/>
      <c r="BD100" s="779"/>
      <c r="BE100" s="779"/>
      <c r="BF100" s="779"/>
      <c r="BG100" s="779"/>
      <c r="BH100" s="779"/>
      <c r="BI100" s="779"/>
      <c r="BJ100" s="779"/>
      <c r="BK100" s="779"/>
      <c r="BL100" s="779"/>
      <c r="BM100" s="779"/>
      <c r="BN100" s="779"/>
      <c r="BO100" s="779"/>
      <c r="BP100" s="779"/>
      <c r="BQ100" s="779"/>
      <c r="BR100" s="779"/>
      <c r="BS100" s="779"/>
      <c r="BT100" s="779"/>
      <c r="BU100" s="779"/>
      <c r="BV100" s="779"/>
      <c r="BW100" s="779"/>
      <c r="BX100" s="779"/>
      <c r="BY100" s="779"/>
      <c r="BZ100" s="779"/>
      <c r="CA100" s="779"/>
      <c r="CB100" s="779"/>
      <c r="CC100" s="779"/>
    </row>
    <row r="101" spans="1:81">
      <c r="A101" s="52"/>
      <c r="B101" s="776"/>
      <c r="C101" s="39" t="s">
        <v>1098</v>
      </c>
      <c r="D101" s="39"/>
      <c r="E101" s="23"/>
      <c r="F101" s="21">
        <f>F98</f>
        <v>0</v>
      </c>
      <c r="G101" s="768" t="e">
        <f t="shared" ref="G101:M101" si="103">F101+G98</f>
        <v>#REF!</v>
      </c>
      <c r="H101" s="768" t="e">
        <f t="shared" si="103"/>
        <v>#REF!</v>
      </c>
      <c r="I101" s="768" t="e">
        <f t="shared" si="103"/>
        <v>#REF!</v>
      </c>
      <c r="J101" s="768" t="e">
        <f t="shared" si="103"/>
        <v>#REF!</v>
      </c>
      <c r="K101" s="768" t="e">
        <f t="shared" si="103"/>
        <v>#REF!</v>
      </c>
      <c r="L101" s="768" t="e">
        <f t="shared" si="103"/>
        <v>#REF!</v>
      </c>
      <c r="M101" s="768" t="e">
        <f t="shared" si="103"/>
        <v>#REF!</v>
      </c>
      <c r="N101" s="768"/>
      <c r="O101" s="768" t="e">
        <f>#REF!+O99</f>
        <v>#REF!</v>
      </c>
      <c r="P101" s="21" t="e">
        <f t="shared" ref="P101:X101" si="104">O101+P99</f>
        <v>#REF!</v>
      </c>
      <c r="Q101" s="21" t="e">
        <f t="shared" si="104"/>
        <v>#REF!</v>
      </c>
      <c r="R101" s="21" t="e">
        <f t="shared" si="104"/>
        <v>#REF!</v>
      </c>
      <c r="S101" s="21" t="e">
        <f t="shared" si="104"/>
        <v>#REF!</v>
      </c>
      <c r="T101" s="21" t="e">
        <f t="shared" si="104"/>
        <v>#REF!</v>
      </c>
      <c r="U101" s="21" t="e">
        <f t="shared" si="104"/>
        <v>#REF!</v>
      </c>
      <c r="V101" s="21" t="e">
        <f t="shared" si="104"/>
        <v>#REF!</v>
      </c>
      <c r="W101" s="21" t="e">
        <f t="shared" si="104"/>
        <v>#REF!</v>
      </c>
      <c r="X101" s="21" t="e">
        <f t="shared" si="104"/>
        <v>#REF!</v>
      </c>
      <c r="Y101" s="776"/>
      <c r="Z101" s="776"/>
      <c r="AA101" s="13"/>
      <c r="AB101" s="776"/>
      <c r="AC101" s="776"/>
      <c r="AD101" s="11"/>
      <c r="AE101" s="11"/>
      <c r="AF101" s="11"/>
      <c r="AG101" s="11"/>
      <c r="AH101" s="11"/>
      <c r="AI101" s="11"/>
      <c r="AJ101" s="11"/>
      <c r="AK101" s="11"/>
      <c r="AL101" s="11"/>
      <c r="AM101" s="11"/>
      <c r="AN101" s="11"/>
      <c r="AO101" s="779"/>
      <c r="AP101" s="779"/>
      <c r="AQ101" s="779"/>
      <c r="AR101" s="779"/>
      <c r="AS101" s="779"/>
      <c r="AT101" s="779"/>
      <c r="AU101" s="779"/>
      <c r="AV101" s="779"/>
      <c r="AW101" s="779"/>
      <c r="AX101" s="779"/>
      <c r="AY101" s="779"/>
      <c r="AZ101" s="779"/>
      <c r="BA101" s="779"/>
      <c r="BB101" s="779"/>
      <c r="BC101" s="779"/>
      <c r="BD101" s="779"/>
      <c r="BE101" s="779"/>
      <c r="BF101" s="779"/>
      <c r="BG101" s="779"/>
      <c r="BH101" s="779"/>
      <c r="BI101" s="779"/>
      <c r="BJ101" s="779"/>
      <c r="BK101" s="779"/>
      <c r="BL101" s="779"/>
      <c r="BM101" s="779"/>
      <c r="BN101" s="779"/>
      <c r="BO101" s="779"/>
      <c r="BP101" s="779"/>
      <c r="BQ101" s="779"/>
      <c r="BR101" s="779"/>
      <c r="BS101" s="779"/>
      <c r="BT101" s="779"/>
      <c r="BU101" s="779"/>
      <c r="BV101" s="779"/>
      <c r="BW101" s="779"/>
      <c r="BX101" s="779"/>
      <c r="BY101" s="779"/>
      <c r="BZ101" s="779"/>
      <c r="CA101" s="779"/>
      <c r="CB101" s="779"/>
      <c r="CC101" s="779"/>
    </row>
    <row r="102" spans="1:81">
      <c r="A102" s="52"/>
      <c r="B102" s="776"/>
      <c r="C102" s="39" t="s">
        <v>1099</v>
      </c>
      <c r="D102" s="39"/>
      <c r="E102" s="23"/>
      <c r="F102" s="21" t="e">
        <f t="shared" ref="F102:M102" si="105">F92</f>
        <v>#REF!</v>
      </c>
      <c r="G102" s="21" t="e">
        <f t="shared" si="105"/>
        <v>#REF!</v>
      </c>
      <c r="H102" s="21" t="e">
        <f t="shared" si="105"/>
        <v>#REF!</v>
      </c>
      <c r="I102" s="21" t="e">
        <f t="shared" si="105"/>
        <v>#REF!</v>
      </c>
      <c r="J102" s="21" t="e">
        <f t="shared" si="105"/>
        <v>#REF!</v>
      </c>
      <c r="K102" s="21" t="e">
        <f t="shared" si="105"/>
        <v>#REF!</v>
      </c>
      <c r="L102" s="21" t="e">
        <f t="shared" si="105"/>
        <v>#REF!</v>
      </c>
      <c r="M102" s="21" t="e">
        <f t="shared" si="105"/>
        <v>#REF!</v>
      </c>
      <c r="N102" s="21"/>
      <c r="O102" s="21" t="e">
        <f t="shared" ref="O102:X102" si="106">O92</f>
        <v>#REF!</v>
      </c>
      <c r="P102" s="21" t="e">
        <f t="shared" si="106"/>
        <v>#REF!</v>
      </c>
      <c r="Q102" s="21" t="e">
        <f t="shared" si="106"/>
        <v>#REF!</v>
      </c>
      <c r="R102" s="21" t="e">
        <f t="shared" si="106"/>
        <v>#REF!</v>
      </c>
      <c r="S102" s="21" t="e">
        <f t="shared" si="106"/>
        <v>#REF!</v>
      </c>
      <c r="T102" s="21" t="e">
        <f t="shared" si="106"/>
        <v>#REF!</v>
      </c>
      <c r="U102" s="21" t="e">
        <f t="shared" si="106"/>
        <v>#REF!</v>
      </c>
      <c r="V102" s="21" t="e">
        <f t="shared" si="106"/>
        <v>#REF!</v>
      </c>
      <c r="W102" s="21" t="e">
        <f t="shared" si="106"/>
        <v>#REF!</v>
      </c>
      <c r="X102" s="21" t="e">
        <f t="shared" si="106"/>
        <v>#REF!</v>
      </c>
      <c r="Y102" s="776"/>
      <c r="Z102" s="776"/>
      <c r="AA102" s="13"/>
      <c r="AB102" s="776"/>
      <c r="AC102" s="776"/>
      <c r="AD102" s="11">
        <f t="shared" ref="AD102:AN102" si="107">SUM(AD98:AD100)</f>
        <v>0</v>
      </c>
      <c r="AE102" s="11">
        <f t="shared" si="107"/>
        <v>0</v>
      </c>
      <c r="AF102" s="11">
        <f t="shared" si="107"/>
        <v>0</v>
      </c>
      <c r="AG102" s="11">
        <f t="shared" si="107"/>
        <v>0</v>
      </c>
      <c r="AH102" s="11">
        <f t="shared" si="107"/>
        <v>0</v>
      </c>
      <c r="AI102" s="11">
        <f t="shared" si="107"/>
        <v>0</v>
      </c>
      <c r="AJ102" s="11">
        <f t="shared" si="107"/>
        <v>0</v>
      </c>
      <c r="AK102" s="11">
        <f t="shared" si="107"/>
        <v>0</v>
      </c>
      <c r="AL102" s="11">
        <f t="shared" si="107"/>
        <v>0</v>
      </c>
      <c r="AM102" s="11">
        <f t="shared" si="107"/>
        <v>0</v>
      </c>
      <c r="AN102" s="11">
        <f t="shared" si="107"/>
        <v>0</v>
      </c>
      <c r="AO102" s="779"/>
      <c r="AP102" s="779"/>
      <c r="AQ102" s="779"/>
      <c r="AR102" s="779"/>
      <c r="AS102" s="779"/>
      <c r="AT102" s="779"/>
      <c r="AU102" s="779"/>
      <c r="AV102" s="779"/>
      <c r="AW102" s="779"/>
      <c r="AX102" s="779"/>
      <c r="AY102" s="779"/>
      <c r="AZ102" s="779"/>
      <c r="BA102" s="779"/>
      <c r="BB102" s="779"/>
      <c r="BC102" s="779"/>
      <c r="BD102" s="779"/>
      <c r="BE102" s="779"/>
      <c r="BF102" s="779"/>
      <c r="BG102" s="779"/>
      <c r="BH102" s="779"/>
      <c r="BI102" s="779"/>
      <c r="BJ102" s="779"/>
      <c r="BK102" s="779"/>
      <c r="BL102" s="779"/>
      <c r="BM102" s="779"/>
      <c r="BN102" s="779"/>
      <c r="BO102" s="779"/>
      <c r="BP102" s="779"/>
      <c r="BQ102" s="779"/>
      <c r="BR102" s="779"/>
      <c r="BS102" s="779"/>
      <c r="BT102" s="779"/>
      <c r="BU102" s="779"/>
      <c r="BV102" s="779"/>
      <c r="BW102" s="779"/>
      <c r="BX102" s="779"/>
      <c r="BY102" s="779"/>
      <c r="BZ102" s="779"/>
      <c r="CA102" s="779"/>
      <c r="CB102" s="779"/>
      <c r="CC102" s="779"/>
    </row>
    <row r="103" spans="1:81">
      <c r="A103" s="52"/>
      <c r="B103" s="776"/>
      <c r="C103" s="39" t="s">
        <v>1100</v>
      </c>
      <c r="D103" s="39"/>
      <c r="E103" s="23"/>
      <c r="F103" s="21"/>
      <c r="G103" s="180" t="e">
        <f t="shared" ref="G103:M103" si="108">G100/((G102+F102)/2)</f>
        <v>#REF!</v>
      </c>
      <c r="H103" s="180" t="e">
        <f t="shared" si="108"/>
        <v>#REF!</v>
      </c>
      <c r="I103" s="180" t="e">
        <f t="shared" si="108"/>
        <v>#REF!</v>
      </c>
      <c r="J103" s="180" t="e">
        <f t="shared" si="108"/>
        <v>#REF!</v>
      </c>
      <c r="K103" s="180" t="e">
        <f t="shared" si="108"/>
        <v>#REF!</v>
      </c>
      <c r="L103" s="180" t="e">
        <f t="shared" si="108"/>
        <v>#REF!</v>
      </c>
      <c r="M103" s="180" t="e">
        <f t="shared" si="108"/>
        <v>#REF!</v>
      </c>
      <c r="N103" s="180"/>
      <c r="O103" s="13"/>
      <c r="P103" s="13"/>
      <c r="Q103" s="13"/>
      <c r="R103" s="13"/>
      <c r="S103" s="13"/>
      <c r="T103" s="13"/>
      <c r="U103" s="13"/>
      <c r="V103" s="13"/>
      <c r="W103" s="13"/>
      <c r="X103" s="13"/>
      <c r="Y103" s="776"/>
      <c r="Z103" s="776"/>
      <c r="AA103" s="13"/>
      <c r="AB103" s="776"/>
      <c r="AC103" s="776"/>
      <c r="AD103" s="11"/>
      <c r="AE103" s="11"/>
      <c r="AF103" s="11"/>
      <c r="AG103" s="11"/>
      <c r="AH103" s="11"/>
      <c r="AI103" s="11"/>
      <c r="AJ103" s="11"/>
      <c r="AK103" s="11"/>
      <c r="AL103" s="11"/>
      <c r="AM103" s="11"/>
      <c r="AN103" s="11"/>
      <c r="AO103" s="779"/>
      <c r="AP103" s="779"/>
      <c r="AQ103" s="779"/>
      <c r="AR103" s="779"/>
      <c r="AS103" s="779"/>
      <c r="AT103" s="779"/>
      <c r="AU103" s="779"/>
      <c r="AV103" s="779"/>
      <c r="AW103" s="779"/>
      <c r="AX103" s="779"/>
      <c r="AY103" s="779"/>
      <c r="AZ103" s="779"/>
      <c r="BA103" s="779"/>
      <c r="BB103" s="779"/>
      <c r="BC103" s="779"/>
      <c r="BD103" s="779"/>
      <c r="BE103" s="779"/>
      <c r="BF103" s="779"/>
      <c r="BG103" s="779"/>
      <c r="BH103" s="779"/>
      <c r="BI103" s="779"/>
      <c r="BJ103" s="779"/>
      <c r="BK103" s="779"/>
      <c r="BL103" s="779"/>
      <c r="BM103" s="779"/>
      <c r="BN103" s="779"/>
      <c r="BO103" s="779"/>
      <c r="BP103" s="779"/>
      <c r="BQ103" s="779"/>
      <c r="BR103" s="779"/>
      <c r="BS103" s="779"/>
      <c r="BT103" s="779"/>
      <c r="BU103" s="779"/>
      <c r="BV103" s="779"/>
      <c r="BW103" s="779"/>
      <c r="BX103" s="779"/>
      <c r="BY103" s="779"/>
      <c r="BZ103" s="779"/>
      <c r="CA103" s="779"/>
      <c r="CB103" s="779"/>
      <c r="CC103" s="779"/>
    </row>
    <row r="104" spans="1:81">
      <c r="A104" s="52"/>
      <c r="B104" s="776"/>
      <c r="C104" s="39" t="s">
        <v>1100</v>
      </c>
      <c r="D104" s="39"/>
      <c r="E104" s="17"/>
      <c r="F104" s="27"/>
      <c r="G104" s="27"/>
      <c r="H104" s="27"/>
      <c r="I104" s="27"/>
      <c r="J104" s="27"/>
      <c r="K104" s="27"/>
      <c r="L104" s="27"/>
      <c r="M104" s="27"/>
      <c r="N104" s="27"/>
      <c r="O104" s="774" t="e">
        <f>O100/((O102+#REF!)/2)</f>
        <v>#REF!</v>
      </c>
      <c r="P104" s="774" t="e">
        <f t="shared" ref="P104:X104" si="109">P100/((P102+O102)/2)</f>
        <v>#REF!</v>
      </c>
      <c r="Q104" s="775" t="e">
        <f t="shared" si="109"/>
        <v>#REF!</v>
      </c>
      <c r="R104" s="775" t="e">
        <f t="shared" si="109"/>
        <v>#REF!</v>
      </c>
      <c r="S104" s="775" t="e">
        <f t="shared" si="109"/>
        <v>#REF!</v>
      </c>
      <c r="T104" s="775" t="e">
        <f t="shared" si="109"/>
        <v>#REF!</v>
      </c>
      <c r="U104" s="775" t="e">
        <f t="shared" si="109"/>
        <v>#REF!</v>
      </c>
      <c r="V104" s="775" t="e">
        <f t="shared" si="109"/>
        <v>#REF!</v>
      </c>
      <c r="W104" s="775" t="e">
        <f t="shared" si="109"/>
        <v>#REF!</v>
      </c>
      <c r="X104" s="775" t="e">
        <f t="shared" si="109"/>
        <v>#REF!</v>
      </c>
      <c r="Y104" s="4"/>
      <c r="Z104" s="4"/>
      <c r="AA104" s="22"/>
      <c r="AB104" s="776"/>
      <c r="AC104" s="776"/>
      <c r="AD104" s="11"/>
      <c r="AE104" s="11"/>
      <c r="AF104" s="11"/>
      <c r="AG104" s="11"/>
      <c r="AH104" s="11"/>
      <c r="AI104" s="11"/>
      <c r="AJ104" s="11"/>
      <c r="AK104" s="11"/>
      <c r="AL104" s="11"/>
      <c r="AM104" s="11"/>
      <c r="AN104" s="11"/>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79"/>
      <c r="BO104" s="779"/>
      <c r="BP104" s="779"/>
      <c r="BQ104" s="779"/>
      <c r="BR104" s="779"/>
      <c r="BS104" s="779"/>
      <c r="BT104" s="779"/>
      <c r="BU104" s="779"/>
      <c r="BV104" s="779"/>
      <c r="BW104" s="779"/>
      <c r="BX104" s="779"/>
      <c r="BY104" s="779"/>
      <c r="BZ104" s="779"/>
      <c r="CA104" s="779"/>
      <c r="CB104" s="779"/>
      <c r="CC104" s="779"/>
    </row>
    <row r="105" spans="1:81">
      <c r="A105" s="52">
        <v>4</v>
      </c>
      <c r="B105" s="776"/>
      <c r="C105" s="765" t="s">
        <v>1101</v>
      </c>
      <c r="D105" s="765"/>
      <c r="E105" s="133"/>
      <c r="F105" s="776"/>
      <c r="G105" s="31"/>
      <c r="H105" s="31"/>
      <c r="I105" s="31"/>
      <c r="J105" s="31"/>
      <c r="K105" s="31"/>
      <c r="L105" s="31"/>
      <c r="M105" s="31"/>
      <c r="N105" s="31"/>
      <c r="O105" s="31"/>
      <c r="P105" s="31"/>
      <c r="Q105" s="181"/>
      <c r="R105" s="11"/>
      <c r="S105" s="11"/>
      <c r="T105" s="13"/>
      <c r="U105" s="776"/>
      <c r="V105" s="776"/>
      <c r="W105" s="776"/>
      <c r="X105" s="776"/>
      <c r="Y105" s="776"/>
      <c r="Z105" s="776"/>
      <c r="AA105" s="13"/>
      <c r="AB105" s="776"/>
      <c r="AC105" s="776"/>
      <c r="AD105" s="11"/>
      <c r="AE105" s="11"/>
      <c r="AF105" s="11"/>
      <c r="AG105" s="11"/>
      <c r="AH105" s="11"/>
      <c r="AI105" s="11"/>
      <c r="AJ105" s="11"/>
      <c r="AK105" s="11"/>
      <c r="AL105" s="11"/>
      <c r="AM105" s="11"/>
      <c r="AN105" s="11"/>
      <c r="AO105" s="779"/>
      <c r="AP105" s="779"/>
      <c r="AQ105" s="779"/>
      <c r="AR105" s="779"/>
      <c r="AS105" s="779"/>
      <c r="AT105" s="779"/>
      <c r="AU105" s="779"/>
      <c r="AV105" s="779"/>
      <c r="AW105" s="779"/>
      <c r="AX105" s="779"/>
      <c r="AY105" s="779"/>
      <c r="AZ105" s="779"/>
      <c r="BA105" s="779"/>
      <c r="BB105" s="779"/>
      <c r="BC105" s="779"/>
      <c r="BD105" s="779"/>
      <c r="BE105" s="779"/>
      <c r="BF105" s="779"/>
      <c r="BG105" s="779"/>
      <c r="BH105" s="779"/>
      <c r="BI105" s="779"/>
      <c r="BJ105" s="779"/>
      <c r="BK105" s="779"/>
      <c r="BL105" s="779"/>
      <c r="BM105" s="779"/>
      <c r="BN105" s="779"/>
      <c r="BO105" s="779"/>
      <c r="BP105" s="779"/>
      <c r="BQ105" s="779"/>
      <c r="BR105" s="779"/>
      <c r="BS105" s="779"/>
      <c r="BT105" s="779"/>
      <c r="BU105" s="779"/>
      <c r="BV105" s="779"/>
      <c r="BW105" s="779"/>
      <c r="BX105" s="779"/>
      <c r="BY105" s="779"/>
      <c r="BZ105" s="779"/>
      <c r="CA105" s="779"/>
      <c r="CB105" s="779"/>
      <c r="CC105" s="779"/>
    </row>
    <row r="106" spans="1:81">
      <c r="A106" s="52"/>
      <c r="B106" s="776"/>
      <c r="C106" s="776"/>
      <c r="E106" s="776"/>
      <c r="F106" s="776"/>
      <c r="G106" s="776"/>
      <c r="H106" s="776"/>
      <c r="I106" s="776"/>
      <c r="J106" s="776"/>
      <c r="K106" s="776"/>
      <c r="L106" s="776"/>
      <c r="M106" s="776"/>
      <c r="N106" s="776"/>
      <c r="O106" s="776"/>
      <c r="P106" s="776"/>
      <c r="Q106" s="776"/>
      <c r="R106" s="776"/>
      <c r="S106" s="776"/>
      <c r="T106" s="776"/>
      <c r="U106" s="776"/>
      <c r="V106" s="776"/>
      <c r="W106" s="776"/>
      <c r="X106" s="776"/>
      <c r="Y106" s="776"/>
      <c r="Z106" s="17"/>
      <c r="AA106" s="17"/>
      <c r="AB106" s="776"/>
      <c r="AC106" s="776"/>
      <c r="AD106" s="11">
        <f t="shared" ref="AD106:AN106" si="110">AD93+AD95+AD102+AD103+AD104+AD105</f>
        <v>0</v>
      </c>
      <c r="AE106" s="11">
        <f t="shared" si="110"/>
        <v>0</v>
      </c>
      <c r="AF106" s="11">
        <f t="shared" si="110"/>
        <v>0</v>
      </c>
      <c r="AG106" s="11">
        <f t="shared" si="110"/>
        <v>0</v>
      </c>
      <c r="AH106" s="11">
        <f t="shared" si="110"/>
        <v>0</v>
      </c>
      <c r="AI106" s="11">
        <f t="shared" si="110"/>
        <v>0</v>
      </c>
      <c r="AJ106" s="11">
        <f t="shared" si="110"/>
        <v>0</v>
      </c>
      <c r="AK106" s="11">
        <f t="shared" si="110"/>
        <v>0</v>
      </c>
      <c r="AL106" s="11">
        <f t="shared" si="110"/>
        <v>0</v>
      </c>
      <c r="AM106" s="11">
        <f t="shared" si="110"/>
        <v>0</v>
      </c>
      <c r="AN106" s="11">
        <f t="shared" si="110"/>
        <v>0</v>
      </c>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79"/>
      <c r="BO106" s="779"/>
      <c r="BP106" s="779"/>
      <c r="BQ106" s="779"/>
      <c r="BR106" s="779"/>
      <c r="BS106" s="779"/>
      <c r="BT106" s="779"/>
      <c r="BU106" s="779"/>
      <c r="BV106" s="779"/>
      <c r="BW106" s="779"/>
      <c r="BX106" s="779"/>
      <c r="BY106" s="779"/>
      <c r="BZ106" s="779"/>
      <c r="CA106" s="779"/>
      <c r="CB106" s="779"/>
      <c r="CC106" s="779"/>
    </row>
    <row r="107" spans="1:81">
      <c r="A107" s="52">
        <v>5</v>
      </c>
      <c r="B107" s="776"/>
      <c r="C107" s="765" t="s">
        <v>10</v>
      </c>
      <c r="D107" s="765"/>
      <c r="E107" s="133"/>
      <c r="F107" s="776"/>
      <c r="G107" s="776"/>
      <c r="H107" s="776"/>
      <c r="I107" s="776"/>
      <c r="J107" s="776"/>
      <c r="K107" s="776"/>
      <c r="L107" s="776"/>
      <c r="M107" s="776"/>
      <c r="N107" s="776"/>
      <c r="O107" s="776"/>
      <c r="P107" s="776"/>
      <c r="Q107" s="776"/>
      <c r="R107" s="776"/>
      <c r="S107" s="776"/>
      <c r="T107" s="776"/>
      <c r="U107" s="776"/>
      <c r="V107" s="776"/>
      <c r="W107" s="776"/>
      <c r="X107" s="776"/>
      <c r="Y107" s="776"/>
      <c r="Z107" s="17"/>
      <c r="AA107" s="17"/>
      <c r="AB107" s="776"/>
      <c r="AC107" s="776"/>
      <c r="AD107" s="11"/>
      <c r="AE107" s="11"/>
      <c r="AF107" s="11"/>
      <c r="AG107" s="11"/>
      <c r="AH107" s="11"/>
      <c r="AI107" s="11"/>
      <c r="AJ107" s="11"/>
      <c r="AK107" s="11"/>
      <c r="AL107" s="11"/>
      <c r="AM107" s="11"/>
      <c r="AN107" s="11"/>
      <c r="AO107" s="779"/>
      <c r="AP107" s="779"/>
      <c r="AQ107" s="779"/>
      <c r="AR107" s="779"/>
      <c r="AS107" s="779"/>
      <c r="AT107" s="779"/>
      <c r="AU107" s="779"/>
      <c r="AV107" s="779"/>
      <c r="AW107" s="779"/>
      <c r="AX107" s="779"/>
      <c r="AY107" s="779"/>
      <c r="AZ107" s="779"/>
      <c r="BA107" s="779"/>
      <c r="BB107" s="779"/>
      <c r="BC107" s="779"/>
      <c r="BD107" s="779"/>
      <c r="BE107" s="779"/>
      <c r="BF107" s="779"/>
      <c r="BG107" s="779"/>
      <c r="BH107" s="779"/>
      <c r="BI107" s="779"/>
      <c r="BJ107" s="779"/>
      <c r="BK107" s="779"/>
      <c r="BL107" s="779"/>
      <c r="BM107" s="779"/>
      <c r="BN107" s="779"/>
      <c r="BO107" s="779"/>
      <c r="BP107" s="779"/>
      <c r="BQ107" s="779"/>
      <c r="BR107" s="779"/>
      <c r="BS107" s="779"/>
      <c r="BT107" s="779"/>
      <c r="BU107" s="779"/>
      <c r="BV107" s="779"/>
      <c r="BW107" s="779"/>
      <c r="BX107" s="779"/>
      <c r="BY107" s="779"/>
      <c r="BZ107" s="779"/>
      <c r="CA107" s="779"/>
      <c r="CB107" s="779"/>
      <c r="CC107" s="779"/>
    </row>
    <row r="108" spans="1:81">
      <c r="A108" s="52"/>
      <c r="B108" s="776"/>
      <c r="C108" s="4" t="s">
        <v>466</v>
      </c>
      <c r="D108" s="4"/>
      <c r="E108" s="4"/>
      <c r="F108" s="17" t="e">
        <f>'3_Fin-Stat'!#REF!</f>
        <v>#REF!</v>
      </c>
      <c r="G108" s="17" t="e">
        <f>'3_Fin-Stat'!#REF!</f>
        <v>#REF!</v>
      </c>
      <c r="H108" s="17" t="e">
        <f>'3_Fin-Stat'!#REF!</f>
        <v>#REF!</v>
      </c>
      <c r="I108" s="17" t="e">
        <f>'3_Fin-Stat'!#REF!</f>
        <v>#REF!</v>
      </c>
      <c r="J108" s="17" t="e">
        <f>'3_Fin-Stat'!#REF!</f>
        <v>#REF!</v>
      </c>
      <c r="K108" s="17" t="e">
        <f>'3_Fin-Stat'!#REF!</f>
        <v>#REF!</v>
      </c>
      <c r="L108" s="17" t="e">
        <f>'3_Fin-Stat'!#REF!</f>
        <v>#REF!</v>
      </c>
      <c r="M108" s="17" t="e">
        <f>'3_Fin-Stat'!#REF!</f>
        <v>#REF!</v>
      </c>
      <c r="N108" s="17"/>
      <c r="O108" s="17" t="e">
        <f>'3_Fin-Stat'!#REF!</f>
        <v>#REF!</v>
      </c>
      <c r="P108" s="17" t="e">
        <f>'3_Fin-Stat'!#REF!</f>
        <v>#REF!</v>
      </c>
      <c r="Q108" s="17" t="e">
        <f>'3_Fin-Stat'!#REF!</f>
        <v>#REF!</v>
      </c>
      <c r="R108" s="17" t="e">
        <f>'3_Fin-Stat'!#REF!</f>
        <v>#REF!</v>
      </c>
      <c r="S108" s="17" t="e">
        <f>'3_Fin-Stat'!#REF!</f>
        <v>#REF!</v>
      </c>
      <c r="T108" s="17" t="e">
        <f>'3_Fin-Stat'!#REF!</f>
        <v>#REF!</v>
      </c>
      <c r="U108" s="17" t="e">
        <f>'3_Fin-Stat'!#REF!</f>
        <v>#REF!</v>
      </c>
      <c r="V108" s="17" t="e">
        <f>'3_Fin-Stat'!#REF!</f>
        <v>#REF!</v>
      </c>
      <c r="W108" s="17" t="e">
        <f>'3_Fin-Stat'!#REF!</f>
        <v>#REF!</v>
      </c>
      <c r="X108" s="17" t="e">
        <f>'3_Fin-Stat'!#REF!</f>
        <v>#REF!</v>
      </c>
      <c r="Y108" s="17" t="e">
        <f>'3_Fin-Stat'!#REF!</f>
        <v>#REF!</v>
      </c>
      <c r="Z108" s="17"/>
      <c r="AA108" s="17"/>
      <c r="AB108" s="776"/>
      <c r="AC108" s="776"/>
      <c r="AD108" s="11"/>
      <c r="AE108" s="11"/>
      <c r="AF108" s="11"/>
      <c r="AG108" s="11"/>
      <c r="AH108" s="11"/>
      <c r="AI108" s="11"/>
      <c r="AJ108" s="11"/>
      <c r="AK108" s="11"/>
      <c r="AL108" s="11"/>
      <c r="AM108" s="11"/>
      <c r="AN108" s="11"/>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79"/>
      <c r="BO108" s="779"/>
      <c r="BP108" s="779"/>
      <c r="BQ108" s="779"/>
      <c r="BR108" s="779"/>
      <c r="BS108" s="779"/>
      <c r="BT108" s="779"/>
      <c r="BU108" s="779"/>
      <c r="BV108" s="779"/>
      <c r="BW108" s="779"/>
      <c r="BX108" s="779"/>
      <c r="BY108" s="779"/>
      <c r="BZ108" s="779"/>
      <c r="CA108" s="779"/>
      <c r="CB108" s="779"/>
      <c r="CC108" s="779"/>
    </row>
    <row r="109" spans="1:81">
      <c r="A109" s="52"/>
      <c r="B109" s="776"/>
      <c r="C109" s="776"/>
      <c r="E109" s="776"/>
      <c r="F109" s="17"/>
      <c r="G109" s="17"/>
      <c r="H109" s="17"/>
      <c r="I109" s="17"/>
      <c r="J109" s="17"/>
      <c r="K109" s="17"/>
      <c r="L109" s="17"/>
      <c r="M109" s="17"/>
      <c r="N109" s="17"/>
      <c r="O109" s="17"/>
      <c r="P109" s="17"/>
      <c r="Q109" s="17"/>
      <c r="R109" s="17"/>
      <c r="S109" s="17"/>
      <c r="T109" s="17"/>
      <c r="U109" s="17"/>
      <c r="V109" s="17"/>
      <c r="W109" s="17"/>
      <c r="X109" s="17"/>
      <c r="Y109" s="17"/>
      <c r="Z109" s="17"/>
      <c r="AA109" s="17"/>
      <c r="AB109" s="776"/>
      <c r="AC109" s="776"/>
      <c r="AD109" s="11"/>
      <c r="AE109" s="11"/>
      <c r="AF109" s="11"/>
      <c r="AG109" s="11"/>
      <c r="AH109" s="11"/>
      <c r="AI109" s="11"/>
      <c r="AJ109" s="11"/>
      <c r="AK109" s="11"/>
      <c r="AL109" s="11"/>
      <c r="AM109" s="11"/>
      <c r="AN109" s="11"/>
      <c r="AO109" s="779"/>
      <c r="AP109" s="779"/>
      <c r="AQ109" s="779"/>
      <c r="AR109" s="779"/>
      <c r="AS109" s="779"/>
      <c r="AT109" s="779"/>
      <c r="AU109" s="779"/>
      <c r="AV109" s="779"/>
      <c r="AW109" s="779"/>
      <c r="AX109" s="779"/>
      <c r="AY109" s="779"/>
      <c r="AZ109" s="779"/>
      <c r="BA109" s="779"/>
      <c r="BB109" s="779"/>
      <c r="BC109" s="779"/>
      <c r="BD109" s="779"/>
      <c r="BE109" s="779"/>
      <c r="BF109" s="779"/>
      <c r="BG109" s="779"/>
      <c r="BH109" s="779"/>
      <c r="BI109" s="779"/>
      <c r="BJ109" s="779"/>
      <c r="BK109" s="779"/>
      <c r="BL109" s="779"/>
      <c r="BM109" s="779"/>
      <c r="BN109" s="779"/>
      <c r="BO109" s="779"/>
      <c r="BP109" s="779"/>
      <c r="BQ109" s="779"/>
      <c r="BR109" s="779"/>
      <c r="BS109" s="779"/>
      <c r="BT109" s="779"/>
      <c r="BU109" s="779"/>
      <c r="BV109" s="779"/>
      <c r="BW109" s="779"/>
      <c r="BX109" s="779"/>
      <c r="BY109" s="779"/>
      <c r="BZ109" s="779"/>
      <c r="CA109" s="779"/>
      <c r="CB109" s="779"/>
      <c r="CC109" s="779"/>
    </row>
    <row r="110" spans="1:81">
      <c r="A110" s="52"/>
      <c r="B110" s="776"/>
      <c r="C110" s="776" t="s">
        <v>1202</v>
      </c>
      <c r="E110" s="776"/>
      <c r="F110" s="17"/>
      <c r="G110" s="17"/>
      <c r="H110" s="17"/>
      <c r="I110" s="17"/>
      <c r="J110" s="17"/>
      <c r="K110" s="17"/>
      <c r="L110" s="17"/>
      <c r="M110" s="17"/>
      <c r="N110" s="17"/>
      <c r="O110" s="17"/>
      <c r="P110" s="17"/>
      <c r="Q110" s="17"/>
      <c r="R110" s="17"/>
      <c r="S110" s="17"/>
      <c r="T110" s="17"/>
      <c r="U110" s="17"/>
      <c r="V110" s="17"/>
      <c r="W110" s="17"/>
      <c r="X110" s="17">
        <v>43000</v>
      </c>
      <c r="Y110" s="17">
        <v>46000</v>
      </c>
      <c r="Z110" s="17"/>
      <c r="AA110" s="17"/>
      <c r="AB110" s="776"/>
      <c r="AC110" s="776"/>
      <c r="AD110" s="11">
        <f t="shared" ref="AD110:AN110" si="111">SUM(AD108:AD109)</f>
        <v>0</v>
      </c>
      <c r="AE110" s="11">
        <f t="shared" si="111"/>
        <v>0</v>
      </c>
      <c r="AF110" s="11">
        <f t="shared" si="111"/>
        <v>0</v>
      </c>
      <c r="AG110" s="11">
        <f t="shared" si="111"/>
        <v>0</v>
      </c>
      <c r="AH110" s="11">
        <f t="shared" si="111"/>
        <v>0</v>
      </c>
      <c r="AI110" s="11">
        <f t="shared" si="111"/>
        <v>0</v>
      </c>
      <c r="AJ110" s="11">
        <f t="shared" si="111"/>
        <v>0</v>
      </c>
      <c r="AK110" s="11">
        <f t="shared" si="111"/>
        <v>0</v>
      </c>
      <c r="AL110" s="11">
        <f t="shared" si="111"/>
        <v>0</v>
      </c>
      <c r="AM110" s="11">
        <f t="shared" si="111"/>
        <v>0</v>
      </c>
      <c r="AN110" s="11">
        <f t="shared" si="111"/>
        <v>0</v>
      </c>
      <c r="AO110" s="779"/>
      <c r="AP110" s="779"/>
      <c r="AQ110" s="779"/>
      <c r="AR110" s="779"/>
      <c r="AS110" s="779"/>
      <c r="AT110" s="779"/>
      <c r="AU110" s="779"/>
      <c r="AV110" s="779"/>
      <c r="AW110" s="779"/>
      <c r="AX110" s="779"/>
      <c r="AY110" s="779"/>
      <c r="AZ110" s="779"/>
      <c r="BA110" s="779"/>
      <c r="BB110" s="779"/>
      <c r="BC110" s="779"/>
      <c r="BD110" s="779"/>
      <c r="BE110" s="779"/>
      <c r="BF110" s="779"/>
      <c r="BG110" s="779"/>
      <c r="BH110" s="779"/>
      <c r="BI110" s="779"/>
      <c r="BJ110" s="779"/>
      <c r="BK110" s="779"/>
      <c r="BL110" s="779"/>
      <c r="BM110" s="779"/>
      <c r="BN110" s="779"/>
      <c r="BO110" s="779"/>
      <c r="BP110" s="779"/>
      <c r="BQ110" s="779"/>
      <c r="BR110" s="779"/>
      <c r="BS110" s="779"/>
      <c r="BT110" s="779"/>
      <c r="BU110" s="779"/>
      <c r="BV110" s="779"/>
      <c r="BW110" s="779"/>
      <c r="BX110" s="779"/>
      <c r="BY110" s="779"/>
      <c r="BZ110" s="779"/>
      <c r="CA110" s="779"/>
      <c r="CB110" s="779"/>
      <c r="CC110" s="779"/>
    </row>
    <row r="111" spans="1:81">
      <c r="A111" s="52"/>
      <c r="B111" s="776"/>
      <c r="C111" s="776"/>
      <c r="E111" s="776"/>
      <c r="F111" s="17"/>
      <c r="G111" s="17"/>
      <c r="H111" s="17"/>
      <c r="I111" s="17"/>
      <c r="J111" s="17"/>
      <c r="K111" s="17"/>
      <c r="L111" s="17"/>
      <c r="M111" s="17"/>
      <c r="N111" s="17"/>
      <c r="O111" s="17"/>
      <c r="P111" s="17"/>
      <c r="Q111" s="17"/>
      <c r="R111" s="17"/>
      <c r="S111" s="17"/>
      <c r="T111" s="17"/>
      <c r="U111" s="17"/>
      <c r="V111" s="17"/>
      <c r="W111" s="17"/>
      <c r="X111" s="17"/>
      <c r="Y111" s="17"/>
      <c r="Z111" s="17"/>
      <c r="AA111" s="17"/>
      <c r="AB111" s="776"/>
      <c r="AC111" s="776"/>
      <c r="AD111" s="11"/>
      <c r="AE111" s="11"/>
      <c r="AF111" s="11"/>
      <c r="AG111" s="11"/>
      <c r="AH111" s="11"/>
      <c r="AI111" s="11"/>
      <c r="AJ111" s="11"/>
      <c r="AK111" s="11"/>
      <c r="AL111" s="11"/>
      <c r="AM111" s="11"/>
      <c r="AN111" s="11"/>
      <c r="AO111" s="779"/>
      <c r="AP111" s="779"/>
      <c r="AQ111" s="779"/>
      <c r="AR111" s="779"/>
      <c r="AS111" s="779"/>
      <c r="AT111" s="779"/>
      <c r="AU111" s="779"/>
      <c r="AV111" s="779"/>
      <c r="AW111" s="779"/>
      <c r="AX111" s="779"/>
      <c r="AY111" s="779"/>
      <c r="AZ111" s="779"/>
      <c r="BA111" s="779"/>
      <c r="BB111" s="779"/>
      <c r="BC111" s="779"/>
      <c r="BD111" s="779"/>
      <c r="BE111" s="779"/>
      <c r="BF111" s="779"/>
      <c r="BG111" s="779"/>
      <c r="BH111" s="779"/>
      <c r="BI111" s="779"/>
      <c r="BJ111" s="779"/>
      <c r="BK111" s="779"/>
      <c r="BL111" s="779"/>
      <c r="BM111" s="779"/>
      <c r="BN111" s="779"/>
      <c r="BO111" s="779"/>
      <c r="BP111" s="779"/>
      <c r="BQ111" s="779"/>
      <c r="BR111" s="779"/>
      <c r="BS111" s="779"/>
      <c r="BT111" s="779"/>
      <c r="BU111" s="779"/>
      <c r="BV111" s="779"/>
      <c r="BW111" s="779"/>
      <c r="BX111" s="779"/>
      <c r="BY111" s="779"/>
      <c r="BZ111" s="779"/>
      <c r="CA111" s="779"/>
      <c r="CB111" s="779"/>
      <c r="CC111" s="779"/>
    </row>
    <row r="112" spans="1:81">
      <c r="A112" s="52"/>
      <c r="B112" s="776"/>
      <c r="C112" s="4" t="s">
        <v>1203</v>
      </c>
      <c r="D112" s="4"/>
      <c r="E112" s="4"/>
      <c r="F112" s="17" t="e">
        <f>'3_Fin-Stat'!#REF!</f>
        <v>#REF!</v>
      </c>
      <c r="G112" s="17" t="e">
        <f>'3_Fin-Stat'!#REF!</f>
        <v>#REF!</v>
      </c>
      <c r="H112" s="17" t="e">
        <f>'3_Fin-Stat'!#REF!</f>
        <v>#REF!</v>
      </c>
      <c r="I112" s="17" t="e">
        <f>'3_Fin-Stat'!#REF!</f>
        <v>#REF!</v>
      </c>
      <c r="J112" s="17" t="e">
        <f>'3_Fin-Stat'!#REF!</f>
        <v>#REF!</v>
      </c>
      <c r="K112" s="17" t="e">
        <f>'3_Fin-Stat'!#REF!</f>
        <v>#REF!</v>
      </c>
      <c r="L112" s="17" t="e">
        <f>'3_Fin-Stat'!#REF!</f>
        <v>#REF!</v>
      </c>
      <c r="M112" s="17" t="e">
        <f>'3_Fin-Stat'!#REF!</f>
        <v>#REF!</v>
      </c>
      <c r="N112" s="17"/>
      <c r="O112" s="17" t="e">
        <f>'3_Fin-Stat'!#REF!</f>
        <v>#REF!</v>
      </c>
      <c r="P112" s="17" t="e">
        <f>'3_Fin-Stat'!#REF!</f>
        <v>#REF!</v>
      </c>
      <c r="Q112" s="17" t="e">
        <f>'3_Fin-Stat'!#REF!</f>
        <v>#REF!</v>
      </c>
      <c r="R112" s="17" t="e">
        <f>'3_Fin-Stat'!#REF!</f>
        <v>#REF!</v>
      </c>
      <c r="S112" s="17" t="e">
        <f>'3_Fin-Stat'!#REF!</f>
        <v>#REF!</v>
      </c>
      <c r="T112" s="17" t="e">
        <f>'3_Fin-Stat'!#REF!</f>
        <v>#REF!</v>
      </c>
      <c r="U112" s="17" t="e">
        <f>'3_Fin-Stat'!#REF!</f>
        <v>#REF!</v>
      </c>
      <c r="V112" s="17" t="e">
        <f>'3_Fin-Stat'!#REF!</f>
        <v>#REF!</v>
      </c>
      <c r="W112" s="17" t="e">
        <f>'3_Fin-Stat'!#REF!</f>
        <v>#REF!</v>
      </c>
      <c r="X112" s="17" t="e">
        <f>'3_Fin-Stat'!#REF!</f>
        <v>#REF!</v>
      </c>
      <c r="Y112" s="17" t="e">
        <f>'3_Fin-Stat'!#REF!</f>
        <v>#REF!</v>
      </c>
      <c r="Z112" s="17"/>
      <c r="AA112" s="17"/>
      <c r="AB112" s="776"/>
      <c r="AC112" s="776"/>
      <c r="AD112" s="11"/>
      <c r="AE112" s="11"/>
      <c r="AF112" s="11"/>
      <c r="AG112" s="11"/>
      <c r="AH112" s="11"/>
      <c r="AI112" s="11"/>
      <c r="AJ112" s="11"/>
      <c r="AK112" s="11"/>
      <c r="AL112" s="11"/>
      <c r="AM112" s="11"/>
      <c r="AN112" s="11"/>
      <c r="AO112" s="779"/>
      <c r="AP112" s="779"/>
      <c r="AQ112" s="779"/>
      <c r="AR112" s="779"/>
      <c r="AS112" s="779"/>
      <c r="AT112" s="779"/>
      <c r="AU112" s="779"/>
      <c r="AV112" s="779"/>
      <c r="AW112" s="779"/>
      <c r="AX112" s="779"/>
      <c r="AY112" s="779"/>
      <c r="AZ112" s="779"/>
      <c r="BA112" s="779"/>
      <c r="BB112" s="779"/>
      <c r="BC112" s="779"/>
      <c r="BD112" s="779"/>
      <c r="BE112" s="779"/>
      <c r="BF112" s="779"/>
      <c r="BG112" s="779"/>
      <c r="BH112" s="779"/>
      <c r="BI112" s="779"/>
      <c r="BJ112" s="779"/>
      <c r="BK112" s="779"/>
      <c r="BL112" s="779"/>
      <c r="BM112" s="779"/>
      <c r="BN112" s="779"/>
      <c r="BO112" s="779"/>
      <c r="BP112" s="779"/>
      <c r="BQ112" s="779"/>
      <c r="BR112" s="779"/>
      <c r="BS112" s="779"/>
      <c r="BT112" s="779"/>
      <c r="BU112" s="779"/>
      <c r="BV112" s="779"/>
      <c r="BW112" s="779"/>
      <c r="BX112" s="779"/>
      <c r="BY112" s="779"/>
      <c r="BZ112" s="779"/>
      <c r="CA112" s="779"/>
      <c r="CB112" s="779"/>
      <c r="CC112" s="779"/>
    </row>
    <row r="113" spans="1:81">
      <c r="A113" s="52"/>
      <c r="B113" s="776"/>
      <c r="C113" s="776"/>
      <c r="E113" s="776"/>
      <c r="F113" s="17"/>
      <c r="G113" s="17"/>
      <c r="H113" s="17"/>
      <c r="I113" s="17"/>
      <c r="J113" s="17"/>
      <c r="K113" s="17"/>
      <c r="L113" s="17"/>
      <c r="M113" s="17"/>
      <c r="N113" s="17"/>
      <c r="O113" s="17"/>
      <c r="P113" s="17"/>
      <c r="Q113" s="17"/>
      <c r="R113" s="17"/>
      <c r="S113" s="17"/>
      <c r="T113" s="17"/>
      <c r="U113" s="17"/>
      <c r="V113" s="17"/>
      <c r="W113" s="17"/>
      <c r="X113" s="17"/>
      <c r="Y113" s="17"/>
      <c r="Z113" s="17"/>
      <c r="AA113" s="17"/>
      <c r="AB113" s="776"/>
      <c r="AC113" s="776"/>
      <c r="AD113" s="11"/>
      <c r="AE113" s="11"/>
      <c r="AF113" s="11"/>
      <c r="AG113" s="11"/>
      <c r="AH113" s="11"/>
      <c r="AI113" s="11"/>
      <c r="AJ113" s="11"/>
      <c r="AK113" s="11"/>
      <c r="AL113" s="11"/>
      <c r="AM113" s="11"/>
      <c r="AN113" s="11"/>
      <c r="AO113" s="779"/>
      <c r="AP113" s="779"/>
      <c r="AQ113" s="779"/>
      <c r="AR113" s="779"/>
      <c r="AS113" s="779"/>
      <c r="AT113" s="779"/>
      <c r="AU113" s="779"/>
      <c r="AV113" s="779"/>
      <c r="AW113" s="779"/>
      <c r="AX113" s="779"/>
      <c r="AY113" s="779"/>
      <c r="AZ113" s="779"/>
      <c r="BA113" s="779"/>
      <c r="BB113" s="779"/>
      <c r="BC113" s="779"/>
      <c r="BD113" s="779"/>
      <c r="BE113" s="779"/>
      <c r="BF113" s="779"/>
      <c r="BG113" s="779"/>
      <c r="BH113" s="779"/>
      <c r="BI113" s="779"/>
      <c r="BJ113" s="779"/>
      <c r="BK113" s="779"/>
      <c r="BL113" s="779"/>
      <c r="BM113" s="779"/>
      <c r="BN113" s="779"/>
      <c r="BO113" s="779"/>
      <c r="BP113" s="779"/>
      <c r="BQ113" s="779"/>
      <c r="BR113" s="779"/>
      <c r="BS113" s="779"/>
      <c r="BT113" s="779"/>
      <c r="BU113" s="779"/>
      <c r="BV113" s="779"/>
      <c r="BW113" s="779"/>
      <c r="BX113" s="779"/>
      <c r="BY113" s="779"/>
      <c r="BZ113" s="779"/>
      <c r="CA113" s="779"/>
      <c r="CB113" s="779"/>
      <c r="CC113" s="779"/>
    </row>
    <row r="114" spans="1:81">
      <c r="A114" s="52"/>
      <c r="B114" s="776"/>
      <c r="C114" s="776" t="s">
        <v>471</v>
      </c>
      <c r="E114" s="776"/>
      <c r="F114" s="17"/>
      <c r="G114" s="17"/>
      <c r="H114" s="17"/>
      <c r="I114" s="17"/>
      <c r="J114" s="17"/>
      <c r="K114" s="17"/>
      <c r="L114" s="17"/>
      <c r="M114" s="17"/>
      <c r="N114" s="17"/>
      <c r="O114" s="17"/>
      <c r="P114" s="17"/>
      <c r="Q114" s="17"/>
      <c r="R114" s="17"/>
      <c r="S114" s="17"/>
      <c r="T114" s="17"/>
      <c r="U114" s="17"/>
      <c r="V114" s="17"/>
      <c r="W114" s="17"/>
      <c r="X114" s="17"/>
      <c r="Y114" s="17"/>
      <c r="Z114" s="17"/>
      <c r="AA114" s="17"/>
      <c r="AB114" s="776"/>
      <c r="AC114" s="776"/>
      <c r="AD114" s="11">
        <f>SUM(AD112:AD113)</f>
        <v>0</v>
      </c>
      <c r="AE114" s="11"/>
      <c r="AF114" s="11"/>
      <c r="AG114" s="11"/>
      <c r="AH114" s="11"/>
      <c r="AI114" s="11"/>
      <c r="AJ114" s="11"/>
      <c r="AK114" s="11"/>
      <c r="AL114" s="11"/>
      <c r="AM114" s="11"/>
      <c r="AN114" s="11"/>
      <c r="AO114" s="779"/>
      <c r="AP114" s="779"/>
      <c r="AQ114" s="779"/>
      <c r="AR114" s="779"/>
      <c r="AS114" s="779"/>
      <c r="AT114" s="779"/>
      <c r="AU114" s="779"/>
      <c r="AV114" s="779"/>
      <c r="AW114" s="779"/>
      <c r="AX114" s="779"/>
      <c r="AY114" s="779"/>
      <c r="AZ114" s="779"/>
      <c r="BA114" s="779"/>
      <c r="BB114" s="779"/>
      <c r="BC114" s="779"/>
      <c r="BD114" s="779"/>
      <c r="BE114" s="779"/>
      <c r="BF114" s="779"/>
      <c r="BG114" s="779"/>
      <c r="BH114" s="779"/>
      <c r="BI114" s="779"/>
      <c r="BJ114" s="779"/>
      <c r="BK114" s="779"/>
      <c r="BL114" s="779"/>
      <c r="BM114" s="779"/>
      <c r="BN114" s="779"/>
      <c r="BO114" s="779"/>
      <c r="BP114" s="779"/>
      <c r="BQ114" s="779"/>
      <c r="BR114" s="779"/>
      <c r="BS114" s="779"/>
      <c r="BT114" s="779"/>
      <c r="BU114" s="779"/>
      <c r="BV114" s="779"/>
      <c r="BW114" s="779"/>
      <c r="BX114" s="779"/>
      <c r="BY114" s="779"/>
      <c r="BZ114" s="779"/>
      <c r="CA114" s="779"/>
      <c r="CB114" s="779"/>
      <c r="CC114" s="779"/>
    </row>
    <row r="115" spans="1:81">
      <c r="A115" s="52"/>
      <c r="B115" s="776"/>
      <c r="C115" s="776" t="s">
        <v>1204</v>
      </c>
      <c r="E115" s="776"/>
      <c r="F115" s="17"/>
      <c r="G115" s="17"/>
      <c r="H115" s="17"/>
      <c r="I115" s="17"/>
      <c r="J115" s="17"/>
      <c r="K115" s="17"/>
      <c r="L115" s="17"/>
      <c r="M115" s="17"/>
      <c r="N115" s="17"/>
      <c r="O115" s="17"/>
      <c r="P115" s="17"/>
      <c r="Q115" s="17"/>
      <c r="R115" s="17"/>
      <c r="S115" s="17"/>
      <c r="T115" s="17"/>
      <c r="U115" s="17"/>
      <c r="V115" s="17"/>
      <c r="W115" s="17"/>
      <c r="X115" s="17">
        <v>-25000</v>
      </c>
      <c r="Y115" s="17">
        <v>-31000</v>
      </c>
      <c r="Z115" s="17"/>
      <c r="AA115" s="17"/>
      <c r="AB115" s="776"/>
      <c r="AC115" s="776"/>
      <c r="AD115" s="11"/>
      <c r="AE115" s="11"/>
      <c r="AF115" s="11"/>
      <c r="AG115" s="11"/>
      <c r="AH115" s="11"/>
      <c r="AI115" s="11"/>
      <c r="AJ115" s="11"/>
      <c r="AK115" s="11"/>
      <c r="AL115" s="11"/>
      <c r="AM115" s="11"/>
      <c r="AN115" s="11"/>
      <c r="AO115" s="779"/>
      <c r="AP115" s="779"/>
      <c r="AQ115" s="779"/>
      <c r="AR115" s="779"/>
      <c r="AS115" s="779"/>
      <c r="AT115" s="779"/>
      <c r="AU115" s="779"/>
      <c r="AV115" s="779"/>
      <c r="AW115" s="779"/>
      <c r="AX115" s="779"/>
      <c r="AY115" s="779"/>
      <c r="AZ115" s="779"/>
      <c r="BA115" s="779"/>
      <c r="BB115" s="779"/>
      <c r="BC115" s="779"/>
      <c r="BD115" s="779"/>
      <c r="BE115" s="779"/>
      <c r="BF115" s="779"/>
      <c r="BG115" s="779"/>
      <c r="BH115" s="779"/>
      <c r="BI115" s="779"/>
      <c r="BJ115" s="779"/>
      <c r="BK115" s="779"/>
      <c r="BL115" s="779"/>
      <c r="BM115" s="779"/>
      <c r="BN115" s="779"/>
      <c r="BO115" s="779"/>
      <c r="BP115" s="779"/>
      <c r="BQ115" s="779"/>
      <c r="BR115" s="779"/>
      <c r="BS115" s="779"/>
      <c r="BT115" s="779"/>
      <c r="BU115" s="779"/>
      <c r="BV115" s="779"/>
      <c r="BW115" s="779"/>
      <c r="BX115" s="779"/>
      <c r="BY115" s="779"/>
      <c r="BZ115" s="779"/>
      <c r="CA115" s="779"/>
      <c r="CB115" s="779"/>
      <c r="CC115" s="779"/>
    </row>
    <row r="116" spans="1:81">
      <c r="A116" s="52"/>
      <c r="B116" s="776"/>
      <c r="C116" s="776" t="s">
        <v>339</v>
      </c>
      <c r="E116" s="776"/>
      <c r="F116" s="17"/>
      <c r="G116" s="17"/>
      <c r="H116" s="17"/>
      <c r="I116" s="17"/>
      <c r="J116" s="17"/>
      <c r="K116" s="17"/>
      <c r="L116" s="17"/>
      <c r="M116" s="17"/>
      <c r="N116" s="17"/>
      <c r="O116" s="17"/>
      <c r="P116" s="17"/>
      <c r="Q116" s="17"/>
      <c r="R116" s="17"/>
      <c r="S116" s="17"/>
      <c r="T116" s="17"/>
      <c r="U116" s="17"/>
      <c r="V116" s="17"/>
      <c r="W116" s="17"/>
      <c r="X116" s="17">
        <v>4000</v>
      </c>
      <c r="Y116" s="17">
        <v>2000</v>
      </c>
      <c r="Z116" s="17"/>
      <c r="AA116" s="17"/>
      <c r="AB116" s="776"/>
      <c r="AC116" s="776"/>
      <c r="AD116" s="11"/>
      <c r="AE116" s="11"/>
      <c r="AF116" s="11"/>
      <c r="AG116" s="11"/>
      <c r="AH116" s="11"/>
      <c r="AI116" s="11"/>
      <c r="AJ116" s="11"/>
      <c r="AK116" s="11"/>
      <c r="AL116" s="11"/>
      <c r="AM116" s="11"/>
      <c r="AN116" s="11"/>
      <c r="AO116" s="779"/>
      <c r="AP116" s="779"/>
      <c r="AQ116" s="779"/>
      <c r="AR116" s="779"/>
      <c r="AS116" s="779"/>
      <c r="AT116" s="779"/>
      <c r="AU116" s="779"/>
      <c r="AV116" s="779"/>
      <c r="AW116" s="779"/>
      <c r="AX116" s="779"/>
      <c r="AY116" s="779"/>
      <c r="AZ116" s="779"/>
      <c r="BA116" s="779"/>
      <c r="BB116" s="779"/>
      <c r="BC116" s="779"/>
      <c r="BD116" s="779"/>
      <c r="BE116" s="779"/>
      <c r="BF116" s="779"/>
      <c r="BG116" s="779"/>
      <c r="BH116" s="779"/>
      <c r="BI116" s="779"/>
      <c r="BJ116" s="779"/>
      <c r="BK116" s="779"/>
      <c r="BL116" s="779"/>
      <c r="BM116" s="779"/>
      <c r="BN116" s="779"/>
      <c r="BO116" s="779"/>
      <c r="BP116" s="779"/>
      <c r="BQ116" s="779"/>
      <c r="BR116" s="779"/>
      <c r="BS116" s="779"/>
      <c r="BT116" s="779"/>
      <c r="BU116" s="779"/>
      <c r="BV116" s="779"/>
      <c r="BW116" s="779"/>
      <c r="BX116" s="779"/>
      <c r="BY116" s="779"/>
      <c r="BZ116" s="779"/>
      <c r="CA116" s="779"/>
      <c r="CB116" s="779"/>
      <c r="CC116" s="779"/>
    </row>
    <row r="117" spans="1:81">
      <c r="A117" s="52"/>
      <c r="B117" s="776"/>
      <c r="C117" s="776" t="s">
        <v>463</v>
      </c>
      <c r="E117" s="776"/>
      <c r="F117" s="17"/>
      <c r="G117" s="17"/>
      <c r="H117" s="17"/>
      <c r="I117" s="17"/>
      <c r="J117" s="17"/>
      <c r="K117" s="17"/>
      <c r="L117" s="17"/>
      <c r="M117" s="17"/>
      <c r="N117" s="17"/>
      <c r="O117" s="17"/>
      <c r="P117" s="17"/>
      <c r="Q117" s="17"/>
      <c r="R117" s="17"/>
      <c r="S117" s="17"/>
      <c r="T117" s="17"/>
      <c r="U117" s="17"/>
      <c r="V117" s="17"/>
      <c r="W117" s="17"/>
      <c r="X117" s="17">
        <v>-5000</v>
      </c>
      <c r="Y117" s="17">
        <v>-6000</v>
      </c>
      <c r="Z117" s="17"/>
      <c r="AA117" s="17"/>
      <c r="AB117" s="776"/>
      <c r="AC117" s="776"/>
      <c r="AD117" s="11"/>
      <c r="AE117" s="11"/>
      <c r="AF117" s="11"/>
      <c r="AG117" s="11"/>
      <c r="AH117" s="11"/>
      <c r="AI117" s="11"/>
      <c r="AJ117" s="11"/>
      <c r="AK117" s="11"/>
      <c r="AL117" s="11"/>
      <c r="AM117" s="11"/>
      <c r="AN117" s="11"/>
      <c r="AO117" s="779"/>
      <c r="AP117" s="779"/>
      <c r="AQ117" s="779"/>
      <c r="AR117" s="779"/>
      <c r="AS117" s="779"/>
      <c r="AT117" s="779"/>
      <c r="AU117" s="779"/>
      <c r="AV117" s="779"/>
      <c r="AW117" s="779"/>
      <c r="AX117" s="779"/>
      <c r="AY117" s="779"/>
      <c r="AZ117" s="779"/>
      <c r="BA117" s="779"/>
      <c r="BB117" s="779"/>
      <c r="BC117" s="779"/>
      <c r="BD117" s="779"/>
      <c r="BE117" s="779"/>
      <c r="BF117" s="779"/>
      <c r="BG117" s="779"/>
      <c r="BH117" s="779"/>
      <c r="BI117" s="779"/>
      <c r="BJ117" s="779"/>
      <c r="BK117" s="779"/>
      <c r="BL117" s="779"/>
      <c r="BM117" s="779"/>
      <c r="BN117" s="779"/>
      <c r="BO117" s="779"/>
      <c r="BP117" s="779"/>
      <c r="BQ117" s="779"/>
      <c r="BR117" s="779"/>
      <c r="BS117" s="779"/>
      <c r="BT117" s="779"/>
      <c r="BU117" s="779"/>
      <c r="BV117" s="779"/>
      <c r="BW117" s="779"/>
      <c r="BX117" s="779"/>
      <c r="BY117" s="779"/>
      <c r="BZ117" s="779"/>
      <c r="CA117" s="779"/>
      <c r="CB117" s="779"/>
      <c r="CC117" s="779"/>
    </row>
    <row r="118" spans="1:81">
      <c r="A118" s="52"/>
      <c r="B118" s="776"/>
      <c r="C118" s="776" t="s">
        <v>1202</v>
      </c>
      <c r="E118" s="776"/>
      <c r="F118" s="17"/>
      <c r="G118" s="17"/>
      <c r="H118" s="17"/>
      <c r="I118" s="17"/>
      <c r="J118" s="17"/>
      <c r="K118" s="17"/>
      <c r="L118" s="17"/>
      <c r="M118" s="17"/>
      <c r="N118" s="17"/>
      <c r="O118" s="17"/>
      <c r="P118" s="17"/>
      <c r="Q118" s="17"/>
      <c r="R118" s="17"/>
      <c r="S118" s="17"/>
      <c r="T118" s="17"/>
      <c r="U118" s="17"/>
      <c r="V118" s="17"/>
      <c r="W118" s="17"/>
      <c r="X118" s="17">
        <v>-3000</v>
      </c>
      <c r="Y118" s="17">
        <v>0</v>
      </c>
      <c r="Z118" s="17"/>
      <c r="AA118" s="17"/>
      <c r="AB118" s="776"/>
      <c r="AC118" s="776"/>
      <c r="AD118" s="11">
        <f>SUM(AD116:AD117)</f>
        <v>0</v>
      </c>
      <c r="AE118" s="11"/>
      <c r="AF118" s="11"/>
      <c r="AG118" s="11"/>
      <c r="AH118" s="11"/>
      <c r="AI118" s="11"/>
      <c r="AJ118" s="11"/>
      <c r="AK118" s="11"/>
      <c r="AL118" s="11"/>
      <c r="AM118" s="11"/>
      <c r="AN118" s="11"/>
      <c r="AO118" s="779"/>
      <c r="AP118" s="779"/>
      <c r="AQ118" s="779"/>
      <c r="AR118" s="779"/>
      <c r="AS118" s="779"/>
      <c r="AT118" s="779"/>
      <c r="AU118" s="779"/>
      <c r="AV118" s="779"/>
      <c r="AW118" s="779"/>
      <c r="AX118" s="779"/>
      <c r="AY118" s="779"/>
      <c r="AZ118" s="779"/>
      <c r="BA118" s="779"/>
      <c r="BB118" s="779"/>
      <c r="BC118" s="779"/>
      <c r="BD118" s="779"/>
      <c r="BE118" s="779"/>
      <c r="BF118" s="779"/>
      <c r="BG118" s="779"/>
      <c r="BH118" s="779"/>
      <c r="BI118" s="779"/>
      <c r="BJ118" s="779"/>
      <c r="BK118" s="779"/>
      <c r="BL118" s="779"/>
      <c r="BM118" s="779"/>
      <c r="BN118" s="779"/>
      <c r="BO118" s="779"/>
      <c r="BP118" s="779"/>
      <c r="BQ118" s="779"/>
      <c r="BR118" s="779"/>
      <c r="BS118" s="779"/>
      <c r="BT118" s="779"/>
      <c r="BU118" s="779"/>
      <c r="BV118" s="779"/>
      <c r="BW118" s="779"/>
      <c r="BX118" s="779"/>
      <c r="BY118" s="779"/>
      <c r="BZ118" s="779"/>
      <c r="CA118" s="779"/>
      <c r="CB118" s="779"/>
      <c r="CC118" s="779"/>
    </row>
    <row r="119" spans="1:81">
      <c r="A119" s="52"/>
      <c r="B119" s="776"/>
      <c r="C119" s="776" t="s">
        <v>298</v>
      </c>
      <c r="E119" s="776"/>
      <c r="F119" s="17"/>
      <c r="G119" s="17"/>
      <c r="H119" s="17"/>
      <c r="I119" s="17"/>
      <c r="J119" s="17"/>
      <c r="K119" s="17"/>
      <c r="L119" s="17"/>
      <c r="M119" s="17"/>
      <c r="N119" s="17"/>
      <c r="O119" s="17"/>
      <c r="P119" s="17"/>
      <c r="Q119" s="17"/>
      <c r="R119" s="17"/>
      <c r="S119" s="17"/>
      <c r="T119" s="17"/>
      <c r="U119" s="17"/>
      <c r="V119" s="17"/>
      <c r="W119" s="17"/>
      <c r="X119" s="17">
        <v>1000</v>
      </c>
      <c r="Y119" s="17">
        <v>1000</v>
      </c>
      <c r="Z119" s="17"/>
      <c r="AA119" s="17"/>
      <c r="AB119" s="776"/>
      <c r="AC119" s="776"/>
      <c r="AD119" s="11"/>
      <c r="AE119" s="11"/>
      <c r="AF119" s="11"/>
      <c r="AG119" s="11"/>
      <c r="AH119" s="11"/>
      <c r="AI119" s="11"/>
      <c r="AJ119" s="11"/>
      <c r="AK119" s="11"/>
      <c r="AL119" s="11"/>
      <c r="AM119" s="11"/>
      <c r="AN119" s="11"/>
      <c r="AO119" s="779"/>
      <c r="AP119" s="779"/>
      <c r="AQ119" s="779"/>
      <c r="AR119" s="779"/>
      <c r="AS119" s="779"/>
      <c r="AT119" s="779"/>
      <c r="AU119" s="779"/>
      <c r="AV119" s="779"/>
      <c r="AW119" s="779"/>
      <c r="AX119" s="779"/>
      <c r="AY119" s="779"/>
      <c r="AZ119" s="779"/>
      <c r="BA119" s="779"/>
      <c r="BB119" s="779"/>
      <c r="BC119" s="779"/>
      <c r="BD119" s="779"/>
      <c r="BE119" s="779"/>
      <c r="BF119" s="779"/>
      <c r="BG119" s="779"/>
      <c r="BH119" s="779"/>
      <c r="BI119" s="779"/>
      <c r="BJ119" s="779"/>
      <c r="BK119" s="779"/>
      <c r="BL119" s="779"/>
      <c r="BM119" s="779"/>
      <c r="BN119" s="779"/>
      <c r="BO119" s="779"/>
      <c r="BP119" s="779"/>
      <c r="BQ119" s="779"/>
      <c r="BR119" s="779"/>
      <c r="BS119" s="779"/>
      <c r="BT119" s="779"/>
      <c r="BU119" s="779"/>
      <c r="BV119" s="779"/>
      <c r="BW119" s="779"/>
      <c r="BX119" s="779"/>
      <c r="BY119" s="779"/>
      <c r="BZ119" s="779"/>
      <c r="CA119" s="779"/>
      <c r="CB119" s="779"/>
      <c r="CC119" s="779"/>
    </row>
    <row r="120" spans="1:81">
      <c r="A120" s="52"/>
      <c r="B120" s="776"/>
      <c r="C120" s="776" t="s">
        <v>1205</v>
      </c>
      <c r="E120" s="776"/>
      <c r="F120" s="27"/>
      <c r="G120" s="27"/>
      <c r="H120" s="27"/>
      <c r="I120" s="27"/>
      <c r="J120" s="27"/>
      <c r="K120" s="27"/>
      <c r="L120" s="27"/>
      <c r="M120" s="27"/>
      <c r="N120" s="27"/>
      <c r="O120" s="27"/>
      <c r="P120" s="27"/>
      <c r="Q120" s="27"/>
      <c r="R120" s="27"/>
      <c r="S120" s="27"/>
      <c r="T120" s="27"/>
      <c r="U120" s="27"/>
      <c r="V120" s="27"/>
      <c r="W120" s="27"/>
      <c r="X120" s="27">
        <v>-1000</v>
      </c>
      <c r="Y120" s="27">
        <v>-1000</v>
      </c>
      <c r="Z120" s="17"/>
      <c r="AA120" s="17"/>
      <c r="AB120" s="776"/>
      <c r="AC120" s="776"/>
      <c r="AD120" s="11"/>
      <c r="AE120" s="11"/>
      <c r="AF120" s="11"/>
      <c r="AG120" s="11"/>
      <c r="AH120" s="11"/>
      <c r="AI120" s="11"/>
      <c r="AJ120" s="11"/>
      <c r="AK120" s="11"/>
      <c r="AL120" s="11"/>
      <c r="AM120" s="11"/>
      <c r="AN120" s="11"/>
      <c r="AO120" s="779"/>
      <c r="AP120" s="779"/>
      <c r="AQ120" s="779"/>
      <c r="AR120" s="779"/>
      <c r="AS120" s="779"/>
      <c r="AT120" s="779"/>
      <c r="AU120" s="779"/>
      <c r="AV120" s="779"/>
      <c r="AW120" s="779"/>
      <c r="AX120" s="779"/>
      <c r="AY120" s="779"/>
      <c r="AZ120" s="779"/>
      <c r="BA120" s="779"/>
      <c r="BB120" s="779"/>
      <c r="BC120" s="779"/>
      <c r="BD120" s="779"/>
      <c r="BE120" s="779"/>
      <c r="BF120" s="779"/>
      <c r="BG120" s="779"/>
      <c r="BH120" s="779"/>
      <c r="BI120" s="779"/>
      <c r="BJ120" s="779"/>
      <c r="BK120" s="779"/>
      <c r="BL120" s="779"/>
      <c r="BM120" s="779"/>
      <c r="BN120" s="779"/>
      <c r="BO120" s="779"/>
      <c r="BP120" s="779"/>
      <c r="BQ120" s="779"/>
      <c r="BR120" s="779"/>
      <c r="BS120" s="779"/>
      <c r="BT120" s="779"/>
      <c r="BU120" s="779"/>
      <c r="BV120" s="779"/>
      <c r="BW120" s="779"/>
      <c r="BX120" s="779"/>
      <c r="BY120" s="779"/>
      <c r="BZ120" s="779"/>
      <c r="CA120" s="779"/>
      <c r="CB120" s="779"/>
      <c r="CC120" s="779"/>
    </row>
    <row r="121" spans="1:81">
      <c r="A121" s="52"/>
      <c r="B121" s="776"/>
      <c r="C121" s="776"/>
      <c r="E121" s="776"/>
      <c r="F121" s="17"/>
      <c r="G121" s="17"/>
      <c r="H121" s="17"/>
      <c r="I121" s="17"/>
      <c r="J121" s="17"/>
      <c r="K121" s="17"/>
      <c r="L121" s="17"/>
      <c r="M121" s="17"/>
      <c r="N121" s="17"/>
      <c r="O121" s="17"/>
      <c r="P121" s="17"/>
      <c r="Q121" s="17"/>
      <c r="R121" s="17"/>
      <c r="S121" s="17"/>
      <c r="T121" s="17"/>
      <c r="U121" s="17"/>
      <c r="V121" s="17"/>
      <c r="W121" s="17"/>
      <c r="X121" s="17">
        <f>SUM(X115:X120)</f>
        <v>-29000</v>
      </c>
      <c r="Y121" s="17">
        <f>SUM(Y115:Y120)</f>
        <v>-35000</v>
      </c>
      <c r="Z121" s="17"/>
      <c r="AA121" s="17"/>
      <c r="AB121" s="776"/>
      <c r="AC121" s="776"/>
      <c r="AD121" s="11"/>
      <c r="AE121" s="11"/>
      <c r="AF121" s="11"/>
      <c r="AG121" s="11"/>
      <c r="AH121" s="11"/>
      <c r="AI121" s="11"/>
      <c r="AJ121" s="11"/>
      <c r="AK121" s="11"/>
      <c r="AL121" s="11"/>
      <c r="AM121" s="11"/>
      <c r="AN121" s="11"/>
      <c r="AO121" s="779"/>
      <c r="AP121" s="779"/>
      <c r="AQ121" s="779"/>
      <c r="AR121" s="779"/>
      <c r="AS121" s="779"/>
      <c r="AT121" s="779"/>
      <c r="AU121" s="779"/>
      <c r="AV121" s="779"/>
      <c r="AW121" s="779"/>
      <c r="AX121" s="779"/>
      <c r="AY121" s="779"/>
      <c r="AZ121" s="779"/>
      <c r="BA121" s="779"/>
      <c r="BB121" s="779"/>
      <c r="BC121" s="779"/>
      <c r="BD121" s="779"/>
      <c r="BE121" s="779"/>
      <c r="BF121" s="779"/>
      <c r="BG121" s="779"/>
      <c r="BH121" s="779"/>
      <c r="BI121" s="779"/>
      <c r="BJ121" s="779"/>
      <c r="BK121" s="779"/>
      <c r="BL121" s="779"/>
      <c r="BM121" s="779"/>
      <c r="BN121" s="779"/>
      <c r="BO121" s="779"/>
      <c r="BP121" s="779"/>
      <c r="BQ121" s="779"/>
      <c r="BR121" s="779"/>
      <c r="BS121" s="779"/>
      <c r="BT121" s="779"/>
      <c r="BU121" s="779"/>
      <c r="BV121" s="779"/>
      <c r="BW121" s="779"/>
      <c r="BX121" s="779"/>
      <c r="BY121" s="779"/>
      <c r="BZ121" s="779"/>
      <c r="CA121" s="779"/>
      <c r="CB121" s="779"/>
      <c r="CC121" s="779"/>
    </row>
    <row r="122" spans="1:81">
      <c r="A122" s="52"/>
      <c r="B122" s="776"/>
      <c r="C122" s="776" t="s">
        <v>1206</v>
      </c>
      <c r="E122" s="776"/>
      <c r="F122" s="27"/>
      <c r="G122" s="27"/>
      <c r="H122" s="27"/>
      <c r="I122" s="27"/>
      <c r="J122" s="27"/>
      <c r="K122" s="27"/>
      <c r="L122" s="27"/>
      <c r="M122" s="27"/>
      <c r="N122" s="27"/>
      <c r="O122" s="27"/>
      <c r="P122" s="27"/>
      <c r="Q122" s="27"/>
      <c r="R122" s="27"/>
      <c r="S122" s="27"/>
      <c r="T122" s="27"/>
      <c r="U122" s="27"/>
      <c r="V122" s="27"/>
      <c r="W122" s="27"/>
      <c r="X122" s="27">
        <v>120000</v>
      </c>
      <c r="Y122" s="27">
        <v>0</v>
      </c>
      <c r="Z122" s="17"/>
      <c r="AA122" s="17"/>
      <c r="AB122" s="776"/>
      <c r="AC122" s="776"/>
      <c r="AD122" s="11">
        <f t="shared" ref="AD122:AN122" si="112">SUM(AD120:AD121)</f>
        <v>0</v>
      </c>
      <c r="AE122" s="11">
        <f t="shared" si="112"/>
        <v>0</v>
      </c>
      <c r="AF122" s="11">
        <f t="shared" si="112"/>
        <v>0</v>
      </c>
      <c r="AG122" s="11">
        <f t="shared" si="112"/>
        <v>0</v>
      </c>
      <c r="AH122" s="11">
        <f t="shared" si="112"/>
        <v>0</v>
      </c>
      <c r="AI122" s="11">
        <f t="shared" si="112"/>
        <v>0</v>
      </c>
      <c r="AJ122" s="11">
        <f t="shared" si="112"/>
        <v>0</v>
      </c>
      <c r="AK122" s="11">
        <f t="shared" si="112"/>
        <v>0</v>
      </c>
      <c r="AL122" s="11">
        <f t="shared" si="112"/>
        <v>0</v>
      </c>
      <c r="AM122" s="11">
        <f t="shared" si="112"/>
        <v>0</v>
      </c>
      <c r="AN122" s="11">
        <f t="shared" si="112"/>
        <v>0</v>
      </c>
      <c r="AO122" s="779"/>
      <c r="AP122" s="779"/>
      <c r="AQ122" s="779"/>
      <c r="AR122" s="779"/>
      <c r="AS122" s="779"/>
      <c r="AT122" s="779"/>
      <c r="AU122" s="779"/>
      <c r="AV122" s="779"/>
      <c r="AW122" s="779"/>
      <c r="AX122" s="779"/>
      <c r="AY122" s="779"/>
      <c r="AZ122" s="779"/>
      <c r="BA122" s="779"/>
      <c r="BB122" s="779"/>
      <c r="BC122" s="779"/>
      <c r="BD122" s="779"/>
      <c r="BE122" s="779"/>
      <c r="BF122" s="779"/>
      <c r="BG122" s="779"/>
      <c r="BH122" s="779"/>
      <c r="BI122" s="779"/>
      <c r="BJ122" s="779"/>
      <c r="BK122" s="779"/>
      <c r="BL122" s="779"/>
      <c r="BM122" s="779"/>
      <c r="BN122" s="779"/>
      <c r="BO122" s="779"/>
      <c r="BP122" s="779"/>
      <c r="BQ122" s="779"/>
      <c r="BR122" s="779"/>
      <c r="BS122" s="779"/>
      <c r="BT122" s="779"/>
      <c r="BU122" s="779"/>
      <c r="BV122" s="779"/>
      <c r="BW122" s="779"/>
      <c r="BX122" s="779"/>
      <c r="BY122" s="779"/>
      <c r="BZ122" s="779"/>
      <c r="CA122" s="779"/>
      <c r="CB122" s="779"/>
      <c r="CC122" s="779"/>
    </row>
    <row r="123" spans="1:81">
      <c r="A123" s="52"/>
      <c r="B123" s="776"/>
      <c r="C123" s="776"/>
      <c r="E123" s="776"/>
      <c r="F123" s="17"/>
      <c r="G123" s="17"/>
      <c r="H123" s="17"/>
      <c r="I123" s="17"/>
      <c r="J123" s="17"/>
      <c r="K123" s="17"/>
      <c r="L123" s="17"/>
      <c r="M123" s="17"/>
      <c r="N123" s="17"/>
      <c r="O123" s="17"/>
      <c r="P123" s="17"/>
      <c r="Q123" s="17"/>
      <c r="R123" s="17"/>
      <c r="S123" s="17"/>
      <c r="T123" s="17"/>
      <c r="U123" s="17"/>
      <c r="V123" s="17"/>
      <c r="W123" s="17"/>
      <c r="X123" s="17">
        <v>1581000</v>
      </c>
      <c r="Y123" s="17">
        <f>X123+X121+X122</f>
        <v>1672000</v>
      </c>
      <c r="Z123" s="17"/>
      <c r="AA123" s="17"/>
      <c r="AB123" s="776"/>
      <c r="AC123" s="776"/>
      <c r="AD123" s="11"/>
      <c r="AE123" s="11"/>
      <c r="AF123" s="11"/>
      <c r="AG123" s="11"/>
      <c r="AH123" s="11"/>
      <c r="AI123" s="11"/>
      <c r="AJ123" s="11"/>
      <c r="AK123" s="11"/>
      <c r="AL123" s="11"/>
      <c r="AM123" s="11"/>
      <c r="AN123" s="11"/>
      <c r="AO123" s="779"/>
      <c r="AP123" s="779"/>
      <c r="AQ123" s="779"/>
      <c r="AR123" s="779"/>
      <c r="AS123" s="779"/>
      <c r="AT123" s="779"/>
      <c r="AU123" s="779"/>
      <c r="AV123" s="779"/>
      <c r="AW123" s="779"/>
      <c r="AX123" s="779"/>
      <c r="AY123" s="779"/>
      <c r="AZ123" s="779"/>
      <c r="BA123" s="779"/>
      <c r="BB123" s="779"/>
      <c r="BC123" s="779"/>
      <c r="BD123" s="779"/>
      <c r="BE123" s="779"/>
      <c r="BF123" s="779"/>
      <c r="BG123" s="779"/>
      <c r="BH123" s="779"/>
      <c r="BI123" s="779"/>
      <c r="BJ123" s="779"/>
      <c r="BK123" s="779"/>
      <c r="BL123" s="779"/>
      <c r="BM123" s="779"/>
      <c r="BN123" s="779"/>
      <c r="BO123" s="779"/>
      <c r="BP123" s="779"/>
      <c r="BQ123" s="779"/>
      <c r="BR123" s="779"/>
      <c r="BS123" s="779"/>
      <c r="BT123" s="779"/>
      <c r="BU123" s="779"/>
      <c r="BV123" s="779"/>
      <c r="BW123" s="779"/>
      <c r="BX123" s="779"/>
      <c r="BY123" s="779"/>
      <c r="BZ123" s="779"/>
      <c r="CA123" s="779"/>
      <c r="CB123" s="779"/>
      <c r="CC123" s="779"/>
    </row>
    <row r="124" spans="1:81">
      <c r="A124" s="52"/>
      <c r="B124" s="776"/>
      <c r="C124" s="776"/>
      <c r="E124" s="776"/>
      <c r="F124" s="17"/>
      <c r="G124" s="17"/>
      <c r="H124" s="17"/>
      <c r="I124" s="17"/>
      <c r="J124" s="17"/>
      <c r="K124" s="17"/>
      <c r="L124" s="17"/>
      <c r="M124" s="17"/>
      <c r="N124" s="17"/>
      <c r="O124" s="17"/>
      <c r="P124" s="17"/>
      <c r="Q124" s="17"/>
      <c r="R124" s="17"/>
      <c r="S124" s="17"/>
      <c r="T124" s="17"/>
      <c r="U124" s="17"/>
      <c r="V124" s="17"/>
      <c r="W124" s="17"/>
      <c r="X124" s="17"/>
      <c r="Y124" s="17"/>
      <c r="Z124" s="17"/>
      <c r="AA124" s="17"/>
      <c r="AB124" s="776"/>
      <c r="AC124" s="776"/>
      <c r="AD124" s="11"/>
      <c r="AE124" s="11"/>
      <c r="AF124" s="11"/>
      <c r="AG124" s="11"/>
      <c r="AH124" s="11"/>
      <c r="AI124" s="11"/>
      <c r="AJ124" s="11"/>
      <c r="AK124" s="11"/>
      <c r="AL124" s="11"/>
      <c r="AM124" s="11"/>
      <c r="AN124" s="11"/>
      <c r="AO124" s="779"/>
      <c r="AP124" s="779"/>
      <c r="AQ124" s="779"/>
      <c r="AR124" s="779"/>
      <c r="AS124" s="779"/>
      <c r="AT124" s="779"/>
      <c r="AU124" s="779"/>
      <c r="AV124" s="779"/>
      <c r="AW124" s="779"/>
      <c r="AX124" s="779"/>
      <c r="AY124" s="779"/>
      <c r="AZ124" s="779"/>
      <c r="BA124" s="779"/>
      <c r="BB124" s="779"/>
      <c r="BC124" s="779"/>
      <c r="BD124" s="779"/>
      <c r="BE124" s="779"/>
      <c r="BF124" s="779"/>
      <c r="BG124" s="779"/>
      <c r="BH124" s="779"/>
      <c r="BI124" s="779"/>
      <c r="BJ124" s="779"/>
      <c r="BK124" s="779"/>
      <c r="BL124" s="779"/>
      <c r="BM124" s="779"/>
      <c r="BN124" s="779"/>
      <c r="BO124" s="779"/>
      <c r="BP124" s="779"/>
      <c r="BQ124" s="779"/>
      <c r="BR124" s="779"/>
      <c r="BS124" s="779"/>
      <c r="BT124" s="779"/>
      <c r="BU124" s="779"/>
      <c r="BV124" s="779"/>
      <c r="BW124" s="779"/>
      <c r="BX124" s="779"/>
      <c r="BY124" s="779"/>
      <c r="BZ124" s="779"/>
      <c r="CA124" s="779"/>
      <c r="CB124" s="779"/>
      <c r="CC124" s="779"/>
    </row>
    <row r="125" spans="1:81">
      <c r="A125" s="52"/>
      <c r="B125" s="776"/>
      <c r="C125" s="776" t="s">
        <v>1202</v>
      </c>
      <c r="E125" s="776"/>
      <c r="F125" s="17"/>
      <c r="G125" s="17"/>
      <c r="H125" s="17"/>
      <c r="I125" s="17"/>
      <c r="J125" s="17"/>
      <c r="K125" s="17"/>
      <c r="L125" s="17"/>
      <c r="M125" s="17"/>
      <c r="N125" s="17"/>
      <c r="O125" s="17"/>
      <c r="P125" s="17"/>
      <c r="Q125" s="17"/>
      <c r="R125" s="17"/>
      <c r="S125" s="17"/>
      <c r="T125" s="17"/>
      <c r="U125" s="17"/>
      <c r="V125" s="17"/>
      <c r="W125" s="17"/>
      <c r="X125" s="17">
        <v>-43000</v>
      </c>
      <c r="Y125" s="17">
        <v>-46000</v>
      </c>
      <c r="Z125" s="17"/>
      <c r="AA125" s="17"/>
      <c r="AB125" s="776"/>
      <c r="AC125" s="776"/>
      <c r="AD125" s="11"/>
      <c r="AE125" s="11"/>
      <c r="AF125" s="11"/>
      <c r="AG125" s="11"/>
      <c r="AH125" s="11"/>
      <c r="AI125" s="11"/>
      <c r="AJ125" s="11"/>
      <c r="AK125" s="11"/>
      <c r="AL125" s="11"/>
      <c r="AM125" s="11"/>
      <c r="AN125" s="11"/>
      <c r="AO125" s="779"/>
      <c r="AP125" s="779"/>
      <c r="AQ125" s="779"/>
      <c r="AR125" s="779"/>
      <c r="AS125" s="779"/>
      <c r="AT125" s="779"/>
      <c r="AU125" s="779"/>
      <c r="AV125" s="779"/>
      <c r="AW125" s="779"/>
      <c r="AX125" s="779"/>
      <c r="AY125" s="779"/>
      <c r="AZ125" s="779"/>
      <c r="BA125" s="779"/>
      <c r="BB125" s="779"/>
      <c r="BC125" s="779"/>
      <c r="BD125" s="779"/>
      <c r="BE125" s="779"/>
      <c r="BF125" s="779"/>
      <c r="BG125" s="779"/>
      <c r="BH125" s="779"/>
      <c r="BI125" s="779"/>
      <c r="BJ125" s="779"/>
      <c r="BK125" s="779"/>
      <c r="BL125" s="779"/>
      <c r="BM125" s="779"/>
      <c r="BN125" s="779"/>
      <c r="BO125" s="779"/>
      <c r="BP125" s="779"/>
      <c r="BQ125" s="779"/>
      <c r="BR125" s="779"/>
      <c r="BS125" s="779"/>
      <c r="BT125" s="779"/>
      <c r="BU125" s="779"/>
      <c r="BV125" s="779"/>
      <c r="BW125" s="779"/>
      <c r="BX125" s="779"/>
      <c r="BY125" s="779"/>
      <c r="BZ125" s="779"/>
      <c r="CA125" s="779"/>
      <c r="CB125" s="779"/>
      <c r="CC125" s="779"/>
    </row>
    <row r="126" spans="1:81">
      <c r="A126" s="52"/>
      <c r="B126" s="776"/>
      <c r="C126" s="776"/>
      <c r="E126" s="776"/>
      <c r="F126" s="17"/>
      <c r="G126" s="17"/>
      <c r="H126" s="17"/>
      <c r="I126" s="17"/>
      <c r="J126" s="17"/>
      <c r="K126" s="17"/>
      <c r="L126" s="17"/>
      <c r="M126" s="17"/>
      <c r="N126" s="17"/>
      <c r="O126" s="17"/>
      <c r="P126" s="17"/>
      <c r="Q126" s="17"/>
      <c r="R126" s="17"/>
      <c r="S126" s="17"/>
      <c r="T126" s="17"/>
      <c r="U126" s="17"/>
      <c r="V126" s="17"/>
      <c r="W126" s="17"/>
      <c r="X126" s="17">
        <f>SUM(X123:X125)</f>
        <v>1538000</v>
      </c>
      <c r="Y126" s="17">
        <f>SUM(Y123:Y125)</f>
        <v>1626000</v>
      </c>
      <c r="Z126" s="17"/>
      <c r="AA126" s="17"/>
      <c r="AB126" s="776"/>
      <c r="AC126" s="776"/>
      <c r="AD126" s="11"/>
      <c r="AE126" s="11"/>
      <c r="AF126" s="11"/>
      <c r="AG126" s="11"/>
      <c r="AH126" s="11"/>
      <c r="AI126" s="11"/>
      <c r="AJ126" s="11"/>
      <c r="AK126" s="11"/>
      <c r="AL126" s="11"/>
      <c r="AM126" s="11"/>
      <c r="AN126" s="11"/>
      <c r="AO126" s="779"/>
      <c r="AP126" s="779"/>
      <c r="AQ126" s="779"/>
      <c r="AR126" s="779"/>
      <c r="AS126" s="779"/>
      <c r="AT126" s="779"/>
      <c r="AU126" s="779"/>
      <c r="AV126" s="779"/>
      <c r="AW126" s="779"/>
      <c r="AX126" s="779"/>
      <c r="AY126" s="779"/>
      <c r="AZ126" s="779"/>
      <c r="BA126" s="779"/>
      <c r="BB126" s="779"/>
      <c r="BC126" s="779"/>
      <c r="BD126" s="779"/>
      <c r="BE126" s="779"/>
      <c r="BF126" s="779"/>
      <c r="BG126" s="779"/>
      <c r="BH126" s="779"/>
      <c r="BI126" s="779"/>
      <c r="BJ126" s="779"/>
      <c r="BK126" s="779"/>
      <c r="BL126" s="779"/>
      <c r="BM126" s="779"/>
      <c r="BN126" s="779"/>
      <c r="BO126" s="779"/>
      <c r="BP126" s="779"/>
      <c r="BQ126" s="779"/>
      <c r="BR126" s="779"/>
      <c r="BS126" s="779"/>
      <c r="BT126" s="779"/>
      <c r="BU126" s="779"/>
      <c r="BV126" s="779"/>
      <c r="BW126" s="779"/>
      <c r="BX126" s="779"/>
      <c r="BY126" s="779"/>
      <c r="BZ126" s="779"/>
      <c r="CA126" s="779"/>
      <c r="CB126" s="779"/>
      <c r="CC126" s="779"/>
    </row>
    <row r="127" spans="1:81">
      <c r="A127" s="52"/>
      <c r="B127" s="776"/>
      <c r="C127" s="776"/>
      <c r="E127" s="776"/>
      <c r="F127" s="17"/>
      <c r="G127" s="17"/>
      <c r="H127" s="17"/>
      <c r="I127" s="17"/>
      <c r="J127" s="17"/>
      <c r="K127" s="17"/>
      <c r="L127" s="17"/>
      <c r="M127" s="17"/>
      <c r="N127" s="17"/>
      <c r="O127" s="17"/>
      <c r="P127" s="17"/>
      <c r="Q127" s="17"/>
      <c r="R127" s="17"/>
      <c r="S127" s="17"/>
      <c r="T127" s="17"/>
      <c r="U127" s="17"/>
      <c r="V127" s="17"/>
      <c r="W127" s="17"/>
      <c r="X127" s="17"/>
      <c r="Y127" s="17"/>
      <c r="Z127" s="17"/>
      <c r="AA127" s="17"/>
      <c r="AB127" s="776"/>
      <c r="AC127" s="776"/>
      <c r="AD127" s="11"/>
      <c r="AE127" s="11"/>
      <c r="AF127" s="11"/>
      <c r="AG127" s="11"/>
      <c r="AH127" s="11"/>
      <c r="AI127" s="11"/>
      <c r="AJ127" s="11"/>
      <c r="AK127" s="11"/>
      <c r="AL127" s="11"/>
      <c r="AM127" s="11"/>
      <c r="AN127" s="11"/>
      <c r="AO127" s="779"/>
      <c r="AP127" s="779"/>
      <c r="AQ127" s="779"/>
      <c r="AR127" s="779"/>
      <c r="AS127" s="779"/>
      <c r="AT127" s="779"/>
      <c r="AU127" s="779"/>
      <c r="AV127" s="779"/>
      <c r="AW127" s="779"/>
      <c r="AX127" s="779"/>
      <c r="AY127" s="779"/>
      <c r="AZ127" s="779"/>
      <c r="BA127" s="779"/>
      <c r="BB127" s="779"/>
      <c r="BC127" s="779"/>
      <c r="BD127" s="779"/>
      <c r="BE127" s="779"/>
      <c r="BF127" s="779"/>
      <c r="BG127" s="779"/>
      <c r="BH127" s="779"/>
      <c r="BI127" s="779"/>
      <c r="BJ127" s="779"/>
      <c r="BK127" s="779"/>
      <c r="BL127" s="779"/>
      <c r="BM127" s="779"/>
      <c r="BN127" s="779"/>
      <c r="BO127" s="779"/>
      <c r="BP127" s="779"/>
      <c r="BQ127" s="779"/>
      <c r="BR127" s="779"/>
      <c r="BS127" s="779"/>
      <c r="BT127" s="779"/>
      <c r="BU127" s="779"/>
      <c r="BV127" s="779"/>
      <c r="BW127" s="779"/>
      <c r="BX127" s="779"/>
      <c r="BY127" s="779"/>
      <c r="BZ127" s="779"/>
      <c r="CA127" s="779"/>
      <c r="CB127" s="779"/>
      <c r="CC127" s="779"/>
    </row>
    <row r="128" spans="1:81">
      <c r="A128" s="52"/>
      <c r="B128" s="776"/>
      <c r="C128" s="776"/>
      <c r="E128" s="776"/>
      <c r="F128" s="17"/>
      <c r="G128" s="17"/>
      <c r="H128" s="17"/>
      <c r="I128" s="17"/>
      <c r="J128" s="17"/>
      <c r="K128" s="17"/>
      <c r="L128" s="17"/>
      <c r="M128" s="17"/>
      <c r="N128" s="17"/>
      <c r="O128" s="17"/>
      <c r="P128" s="17"/>
      <c r="Q128" s="17"/>
      <c r="R128" s="17"/>
      <c r="S128" s="17"/>
      <c r="T128" s="17"/>
      <c r="U128" s="17"/>
      <c r="V128" s="17"/>
      <c r="W128" s="17"/>
      <c r="X128" s="17"/>
      <c r="Y128" s="17"/>
      <c r="Z128" s="17"/>
      <c r="AA128" s="17"/>
      <c r="AB128" s="776"/>
      <c r="AC128" s="776"/>
      <c r="AD128" s="11"/>
      <c r="AE128" s="11"/>
      <c r="AF128" s="11"/>
      <c r="AG128" s="11"/>
      <c r="AH128" s="11"/>
      <c r="AI128" s="11"/>
      <c r="AJ128" s="11"/>
      <c r="AK128" s="11"/>
      <c r="AL128" s="11"/>
      <c r="AM128" s="11"/>
      <c r="AN128" s="11"/>
      <c r="AO128" s="779"/>
      <c r="AP128" s="779"/>
      <c r="AQ128" s="779"/>
      <c r="AR128" s="779"/>
      <c r="AS128" s="779"/>
      <c r="AT128" s="779"/>
      <c r="AU128" s="779"/>
      <c r="AV128" s="779"/>
      <c r="AW128" s="779"/>
      <c r="AX128" s="779"/>
      <c r="AY128" s="779"/>
      <c r="AZ128" s="779"/>
      <c r="BA128" s="779"/>
      <c r="BB128" s="779"/>
      <c r="BC128" s="779"/>
      <c r="BD128" s="779"/>
      <c r="BE128" s="779"/>
      <c r="BF128" s="779"/>
      <c r="BG128" s="779"/>
      <c r="BH128" s="779"/>
      <c r="BI128" s="779"/>
      <c r="BJ128" s="779"/>
      <c r="BK128" s="779"/>
      <c r="BL128" s="779"/>
      <c r="BM128" s="779"/>
      <c r="BN128" s="779"/>
      <c r="BO128" s="779"/>
      <c r="BP128" s="779"/>
      <c r="BQ128" s="779"/>
      <c r="BR128" s="779"/>
      <c r="BS128" s="779"/>
      <c r="BT128" s="779"/>
      <c r="BU128" s="779"/>
      <c r="BV128" s="779"/>
      <c r="BW128" s="779"/>
      <c r="BX128" s="779"/>
      <c r="BY128" s="779"/>
      <c r="BZ128" s="779"/>
      <c r="CA128" s="779"/>
      <c r="CB128" s="779"/>
      <c r="CC128" s="779"/>
    </row>
    <row r="129" spans="1:81">
      <c r="A129" s="52"/>
      <c r="B129" s="776"/>
      <c r="C129" s="776" t="s">
        <v>466</v>
      </c>
      <c r="E129" s="776"/>
      <c r="F129" s="17">
        <v>0</v>
      </c>
      <c r="G129" s="17">
        <v>0</v>
      </c>
      <c r="H129" s="17">
        <v>0</v>
      </c>
      <c r="I129" s="17">
        <v>0</v>
      </c>
      <c r="J129" s="17">
        <v>0</v>
      </c>
      <c r="K129" s="17">
        <v>0</v>
      </c>
      <c r="L129" s="17">
        <v>0</v>
      </c>
      <c r="M129" s="17">
        <v>132</v>
      </c>
      <c r="N129" s="17"/>
      <c r="O129" s="17">
        <v>1122</v>
      </c>
      <c r="P129" s="17">
        <v>449</v>
      </c>
      <c r="Q129" s="17">
        <v>3399</v>
      </c>
      <c r="R129" s="17">
        <v>7947</v>
      </c>
      <c r="S129" s="17">
        <v>8437</v>
      </c>
      <c r="T129" s="17">
        <v>12700</v>
      </c>
      <c r="U129" s="17">
        <v>20400</v>
      </c>
      <c r="V129" s="17">
        <v>36000</v>
      </c>
      <c r="W129" s="17">
        <v>40000</v>
      </c>
      <c r="X129" s="17">
        <v>43000</v>
      </c>
      <c r="Y129" s="17">
        <v>46000</v>
      </c>
      <c r="Z129" s="17"/>
      <c r="AA129" s="17"/>
      <c r="AB129" s="776"/>
      <c r="AC129" s="776"/>
      <c r="AD129" s="11"/>
      <c r="AE129" s="11"/>
      <c r="AF129" s="11"/>
      <c r="AG129" s="11"/>
      <c r="AH129" s="11"/>
      <c r="AI129" s="11"/>
      <c r="AJ129" s="11"/>
      <c r="AK129" s="11"/>
      <c r="AL129" s="11"/>
      <c r="AM129" s="11"/>
      <c r="AN129" s="11"/>
      <c r="AO129" s="779"/>
      <c r="AP129" s="779"/>
      <c r="AQ129" s="779"/>
      <c r="AR129" s="779"/>
      <c r="AS129" s="779"/>
      <c r="AT129" s="779"/>
      <c r="AU129" s="779"/>
      <c r="AV129" s="779"/>
      <c r="AW129" s="779"/>
      <c r="AX129" s="779"/>
      <c r="AY129" s="779"/>
      <c r="AZ129" s="779"/>
      <c r="BA129" s="779"/>
      <c r="BB129" s="779"/>
      <c r="BC129" s="779"/>
      <c r="BD129" s="779"/>
      <c r="BE129" s="779"/>
      <c r="BF129" s="779"/>
      <c r="BG129" s="779"/>
      <c r="BH129" s="779"/>
      <c r="BI129" s="779"/>
      <c r="BJ129" s="779"/>
      <c r="BK129" s="779"/>
      <c r="BL129" s="779"/>
      <c r="BM129" s="779"/>
      <c r="BN129" s="779"/>
      <c r="BO129" s="779"/>
      <c r="BP129" s="779"/>
      <c r="BQ129" s="779"/>
      <c r="BR129" s="779"/>
      <c r="BS129" s="779"/>
      <c r="BT129" s="779"/>
      <c r="BU129" s="779"/>
      <c r="BV129" s="779"/>
      <c r="BW129" s="779"/>
      <c r="BX129" s="779"/>
      <c r="BY129" s="779"/>
      <c r="BZ129" s="779"/>
      <c r="CA129" s="779"/>
      <c r="CB129" s="779"/>
      <c r="CC129" s="779"/>
    </row>
    <row r="130" spans="1:81">
      <c r="A130" s="52"/>
      <c r="B130" s="776"/>
      <c r="C130" s="776" t="s">
        <v>1203</v>
      </c>
      <c r="E130" s="776"/>
      <c r="F130" s="27">
        <v>5014</v>
      </c>
      <c r="G130" s="27">
        <v>28728</v>
      </c>
      <c r="H130" s="27">
        <v>66401</v>
      </c>
      <c r="I130" s="27">
        <v>92031</v>
      </c>
      <c r="J130" s="27">
        <v>138871</v>
      </c>
      <c r="K130" s="27">
        <v>145260</v>
      </c>
      <c r="L130" s="27">
        <v>179168</v>
      </c>
      <c r="M130" s="27">
        <v>970959</v>
      </c>
      <c r="N130" s="27"/>
      <c r="O130" s="27">
        <v>1329478</v>
      </c>
      <c r="P130" s="27">
        <v>1301231</v>
      </c>
      <c r="Q130" s="27">
        <v>1559507</v>
      </c>
      <c r="R130" s="27">
        <v>1412330</v>
      </c>
      <c r="S130" s="27">
        <v>1444221</v>
      </c>
      <c r="T130" s="27">
        <v>1364200</v>
      </c>
      <c r="U130" s="27">
        <v>1349700</v>
      </c>
      <c r="V130" s="27">
        <v>1400000</v>
      </c>
      <c r="W130" s="27">
        <v>1617000</v>
      </c>
      <c r="X130" s="27">
        <v>1715000</v>
      </c>
      <c r="Y130" s="27">
        <v>1683000</v>
      </c>
      <c r="Z130" s="17"/>
      <c r="AA130" s="17"/>
      <c r="AB130" s="776"/>
      <c r="AC130" s="776"/>
      <c r="AD130" s="11"/>
      <c r="AE130" s="11"/>
      <c r="AF130" s="11"/>
      <c r="AG130" s="11"/>
      <c r="AH130" s="11"/>
      <c r="AI130" s="11"/>
      <c r="AJ130" s="11"/>
      <c r="AK130" s="11"/>
      <c r="AL130" s="11"/>
      <c r="AM130" s="11"/>
      <c r="AN130" s="11"/>
      <c r="AO130" s="779"/>
      <c r="AP130" s="779"/>
      <c r="AQ130" s="779"/>
      <c r="AR130" s="779"/>
      <c r="AS130" s="779"/>
      <c r="AT130" s="779"/>
      <c r="AU130" s="779"/>
      <c r="AV130" s="779"/>
      <c r="AW130" s="779"/>
      <c r="AX130" s="779"/>
      <c r="AY130" s="779"/>
      <c r="AZ130" s="779"/>
      <c r="BA130" s="779"/>
      <c r="BB130" s="779"/>
      <c r="BC130" s="779"/>
      <c r="BD130" s="779"/>
      <c r="BE130" s="779"/>
      <c r="BF130" s="779"/>
      <c r="BG130" s="779"/>
      <c r="BH130" s="779"/>
      <c r="BI130" s="779"/>
      <c r="BJ130" s="779"/>
      <c r="BK130" s="779"/>
      <c r="BL130" s="779"/>
      <c r="BM130" s="779"/>
      <c r="BN130" s="779"/>
      <c r="BO130" s="779"/>
      <c r="BP130" s="779"/>
      <c r="BQ130" s="779"/>
      <c r="BR130" s="779"/>
      <c r="BS130" s="779"/>
      <c r="BT130" s="779"/>
      <c r="BU130" s="779"/>
      <c r="BV130" s="779"/>
      <c r="BW130" s="779"/>
      <c r="BX130" s="779"/>
      <c r="BY130" s="779"/>
      <c r="BZ130" s="779"/>
      <c r="CA130" s="779"/>
      <c r="CB130" s="779"/>
      <c r="CC130" s="779"/>
    </row>
    <row r="131" spans="1:81">
      <c r="A131" s="52"/>
      <c r="B131" s="776"/>
      <c r="C131" s="776" t="s">
        <v>11</v>
      </c>
      <c r="E131" s="776"/>
      <c r="F131" s="17">
        <f t="shared" ref="F131:M131" si="113">F130-F129</f>
        <v>5014</v>
      </c>
      <c r="G131" s="17">
        <f t="shared" si="113"/>
        <v>28728</v>
      </c>
      <c r="H131" s="17">
        <f t="shared" si="113"/>
        <v>66401</v>
      </c>
      <c r="I131" s="17">
        <f t="shared" si="113"/>
        <v>92031</v>
      </c>
      <c r="J131" s="17">
        <f t="shared" si="113"/>
        <v>138871</v>
      </c>
      <c r="K131" s="17">
        <f t="shared" si="113"/>
        <v>145260</v>
      </c>
      <c r="L131" s="17">
        <f t="shared" si="113"/>
        <v>179168</v>
      </c>
      <c r="M131" s="17">
        <f t="shared" si="113"/>
        <v>970827</v>
      </c>
      <c r="N131" s="17"/>
      <c r="O131" s="17">
        <f t="shared" ref="O131:Y131" si="114">O130-O129</f>
        <v>1328356</v>
      </c>
      <c r="P131" s="17">
        <f t="shared" si="114"/>
        <v>1300782</v>
      </c>
      <c r="Q131" s="17">
        <f t="shared" si="114"/>
        <v>1556108</v>
      </c>
      <c r="R131" s="17">
        <f t="shared" si="114"/>
        <v>1404383</v>
      </c>
      <c r="S131" s="17">
        <f t="shared" si="114"/>
        <v>1435784</v>
      </c>
      <c r="T131" s="17">
        <f t="shared" si="114"/>
        <v>1351500</v>
      </c>
      <c r="U131" s="17">
        <f t="shared" si="114"/>
        <v>1329300</v>
      </c>
      <c r="V131" s="17">
        <f t="shared" si="114"/>
        <v>1364000</v>
      </c>
      <c r="W131" s="17">
        <f t="shared" si="114"/>
        <v>1577000</v>
      </c>
      <c r="X131" s="17">
        <f t="shared" si="114"/>
        <v>1672000</v>
      </c>
      <c r="Y131" s="17">
        <f t="shared" si="114"/>
        <v>1637000</v>
      </c>
      <c r="Z131" s="17"/>
      <c r="AA131" s="17"/>
      <c r="AB131" s="776"/>
      <c r="AC131" s="776"/>
      <c r="AD131" s="2"/>
      <c r="AE131" s="2"/>
      <c r="AF131" s="2"/>
      <c r="AG131" s="2"/>
      <c r="AH131" s="2"/>
      <c r="AI131" s="2"/>
      <c r="AJ131" s="2"/>
      <c r="AK131" s="2"/>
      <c r="AL131" s="2"/>
      <c r="AM131" s="2"/>
      <c r="AN131" s="2"/>
      <c r="AO131" s="779"/>
      <c r="AP131" s="779"/>
      <c r="AQ131" s="779"/>
      <c r="AR131" s="779"/>
      <c r="AS131" s="779"/>
      <c r="AT131" s="779"/>
      <c r="AU131" s="779"/>
      <c r="AV131" s="779"/>
      <c r="AW131" s="779"/>
      <c r="AX131" s="779"/>
      <c r="AY131" s="779"/>
      <c r="AZ131" s="779"/>
      <c r="BA131" s="779"/>
      <c r="BB131" s="779"/>
      <c r="BC131" s="779"/>
      <c r="BD131" s="779"/>
      <c r="BE131" s="779"/>
      <c r="BF131" s="779"/>
      <c r="BG131" s="779"/>
      <c r="BH131" s="779"/>
      <c r="BI131" s="779"/>
      <c r="BJ131" s="779"/>
      <c r="BK131" s="779"/>
      <c r="BL131" s="779"/>
      <c r="BM131" s="779"/>
      <c r="BN131" s="779"/>
      <c r="BO131" s="779"/>
      <c r="BP131" s="779"/>
      <c r="BQ131" s="779"/>
      <c r="BR131" s="779"/>
      <c r="BS131" s="779"/>
      <c r="BT131" s="779"/>
      <c r="BU131" s="779"/>
      <c r="BV131" s="779"/>
      <c r="BW131" s="779"/>
      <c r="BX131" s="779"/>
      <c r="BY131" s="779"/>
      <c r="BZ131" s="779"/>
      <c r="CA131" s="779"/>
      <c r="CB131" s="779"/>
      <c r="CC131" s="779"/>
    </row>
    <row r="132" spans="1:81">
      <c r="A132" s="52"/>
      <c r="B132" s="776"/>
      <c r="C132" s="776"/>
      <c r="E132" s="776"/>
      <c r="F132" s="17"/>
      <c r="G132" s="17"/>
      <c r="H132" s="17"/>
      <c r="I132" s="17"/>
      <c r="J132" s="17"/>
      <c r="K132" s="17"/>
      <c r="L132" s="17"/>
      <c r="M132" s="17"/>
      <c r="N132" s="17"/>
      <c r="O132" s="17"/>
      <c r="P132" s="17"/>
      <c r="Q132" s="17"/>
      <c r="R132" s="17"/>
      <c r="S132" s="17"/>
      <c r="T132" s="17"/>
      <c r="U132" s="17"/>
      <c r="V132" s="17"/>
      <c r="W132" s="17"/>
      <c r="X132" s="17"/>
      <c r="Y132" s="17"/>
      <c r="Z132" s="17"/>
      <c r="AA132" s="17"/>
      <c r="AB132" s="776"/>
      <c r="AC132" s="776"/>
      <c r="AD132" s="2"/>
      <c r="AE132" s="2"/>
      <c r="AF132" s="2"/>
      <c r="AG132" s="2"/>
      <c r="AH132" s="2"/>
      <c r="AI132" s="2"/>
      <c r="AJ132" s="2"/>
      <c r="AK132" s="2"/>
      <c r="AL132" s="2"/>
      <c r="AM132" s="2"/>
      <c r="AN132" s="2"/>
      <c r="AO132" s="779"/>
      <c r="AP132" s="779"/>
      <c r="AQ132" s="779"/>
      <c r="AR132" s="779"/>
      <c r="AS132" s="779"/>
      <c r="AT132" s="779"/>
      <c r="AU132" s="779"/>
      <c r="AV132" s="779"/>
      <c r="AW132" s="779"/>
      <c r="AX132" s="779"/>
      <c r="AY132" s="779"/>
      <c r="AZ132" s="779"/>
      <c r="BA132" s="779"/>
      <c r="BB132" s="779"/>
      <c r="BC132" s="779"/>
      <c r="BD132" s="779"/>
      <c r="BE132" s="779"/>
      <c r="BF132" s="779"/>
      <c r="BG132" s="779"/>
      <c r="BH132" s="779"/>
      <c r="BI132" s="779"/>
      <c r="BJ132" s="779"/>
      <c r="BK132" s="779"/>
      <c r="BL132" s="779"/>
      <c r="BM132" s="779"/>
      <c r="BN132" s="779"/>
      <c r="BO132" s="779"/>
      <c r="BP132" s="779"/>
      <c r="BQ132" s="779"/>
      <c r="BR132" s="779"/>
      <c r="BS132" s="779"/>
      <c r="BT132" s="779"/>
      <c r="BU132" s="779"/>
      <c r="BV132" s="779"/>
      <c r="BW132" s="779"/>
      <c r="BX132" s="779"/>
      <c r="BY132" s="779"/>
      <c r="BZ132" s="779"/>
      <c r="CA132" s="779"/>
      <c r="CB132" s="779"/>
      <c r="CC132" s="779"/>
    </row>
    <row r="133" spans="1:81">
      <c r="A133" s="52"/>
      <c r="B133" s="776"/>
      <c r="C133" s="4" t="s">
        <v>1207</v>
      </c>
      <c r="D133" s="4"/>
      <c r="E133" s="4"/>
      <c r="F133" s="17"/>
      <c r="G133" s="17"/>
      <c r="H133" s="17"/>
      <c r="I133" s="17"/>
      <c r="J133" s="17"/>
      <c r="K133" s="17"/>
      <c r="L133" s="17"/>
      <c r="M133" s="17"/>
      <c r="N133" s="17"/>
      <c r="O133" s="17"/>
      <c r="P133" s="17"/>
      <c r="Q133" s="17"/>
      <c r="R133" s="17"/>
      <c r="S133" s="17"/>
      <c r="T133" s="17"/>
      <c r="U133" s="17"/>
      <c r="V133" s="17"/>
      <c r="W133" s="17"/>
      <c r="X133" s="776"/>
      <c r="Y133" s="17"/>
      <c r="Z133" s="17"/>
      <c r="AA133" s="17"/>
      <c r="AB133" s="776"/>
      <c r="AC133" s="776"/>
      <c r="AD133" s="2"/>
      <c r="AE133" s="2"/>
      <c r="AF133" s="2"/>
      <c r="AG133" s="2"/>
      <c r="AH133" s="2"/>
      <c r="AI133" s="2"/>
      <c r="AJ133" s="2"/>
      <c r="AK133" s="2"/>
      <c r="AL133" s="2"/>
      <c r="AM133" s="2"/>
      <c r="AN133" s="2"/>
      <c r="AO133" s="779"/>
      <c r="AP133" s="779"/>
      <c r="AQ133" s="779"/>
      <c r="AR133" s="779"/>
      <c r="AS133" s="779"/>
      <c r="AT133" s="779"/>
      <c r="AU133" s="779"/>
      <c r="AV133" s="779"/>
      <c r="AW133" s="779"/>
      <c r="AX133" s="779"/>
      <c r="AY133" s="779"/>
      <c r="AZ133" s="779"/>
      <c r="BA133" s="779"/>
      <c r="BB133" s="779"/>
      <c r="BC133" s="779"/>
      <c r="BD133" s="779"/>
      <c r="BE133" s="779"/>
      <c r="BF133" s="779"/>
      <c r="BG133" s="779"/>
      <c r="BH133" s="779"/>
      <c r="BI133" s="779"/>
      <c r="BJ133" s="779"/>
      <c r="BK133" s="779"/>
      <c r="BL133" s="779"/>
      <c r="BM133" s="779"/>
      <c r="BN133" s="779"/>
      <c r="BO133" s="779"/>
      <c r="BP133" s="779"/>
      <c r="BQ133" s="779"/>
      <c r="BR133" s="779"/>
      <c r="BS133" s="779"/>
      <c r="BT133" s="779"/>
      <c r="BU133" s="779"/>
      <c r="BV133" s="779"/>
      <c r="BW133" s="779"/>
      <c r="BX133" s="779"/>
      <c r="BY133" s="779"/>
      <c r="BZ133" s="779"/>
      <c r="CA133" s="779"/>
      <c r="CB133" s="779"/>
      <c r="CC133" s="779"/>
    </row>
    <row r="134" spans="1:81">
      <c r="A134" s="52"/>
      <c r="B134" s="776"/>
      <c r="C134" s="776" t="s">
        <v>460</v>
      </c>
      <c r="E134" s="776"/>
      <c r="F134" s="17"/>
      <c r="G134" s="17"/>
      <c r="H134" s="17"/>
      <c r="I134" s="17"/>
      <c r="J134" s="17"/>
      <c r="K134" s="17"/>
      <c r="L134" s="17"/>
      <c r="M134" s="17"/>
      <c r="N134" s="17"/>
      <c r="O134" s="17"/>
      <c r="P134" s="17"/>
      <c r="Q134" s="17"/>
      <c r="R134" s="17"/>
      <c r="S134" s="17"/>
      <c r="T134" s="17"/>
      <c r="U134" s="17"/>
      <c r="V134" s="17"/>
      <c r="W134" s="17"/>
      <c r="X134" s="17">
        <v>1760000</v>
      </c>
      <c r="Y134" s="17">
        <v>1731000</v>
      </c>
      <c r="Z134" s="17"/>
      <c r="AA134" s="17"/>
      <c r="AB134" s="776"/>
      <c r="AC134" s="776"/>
      <c r="AD134" s="2"/>
      <c r="AE134" s="2"/>
      <c r="AF134" s="2"/>
      <c r="AG134" s="2"/>
      <c r="AH134" s="2"/>
      <c r="AI134" s="2"/>
      <c r="AJ134" s="2"/>
      <c r="AK134" s="2"/>
      <c r="AL134" s="2"/>
      <c r="AM134" s="2"/>
      <c r="AN134" s="2"/>
      <c r="AO134" s="779"/>
      <c r="AP134" s="779"/>
      <c r="AQ134" s="779"/>
      <c r="AR134" s="779"/>
      <c r="AS134" s="779"/>
      <c r="AT134" s="779"/>
      <c r="AU134" s="779"/>
      <c r="AV134" s="779"/>
      <c r="AW134" s="779"/>
      <c r="AX134" s="779"/>
      <c r="AY134" s="779"/>
      <c r="AZ134" s="779"/>
      <c r="BA134" s="779"/>
      <c r="BB134" s="779"/>
      <c r="BC134" s="779"/>
      <c r="BD134" s="779"/>
      <c r="BE134" s="779"/>
      <c r="BF134" s="779"/>
      <c r="BG134" s="779"/>
      <c r="BH134" s="779"/>
      <c r="BI134" s="779"/>
      <c r="BJ134" s="779"/>
      <c r="BK134" s="779"/>
      <c r="BL134" s="779"/>
      <c r="BM134" s="779"/>
      <c r="BN134" s="779"/>
      <c r="BO134" s="779"/>
      <c r="BP134" s="779"/>
      <c r="BQ134" s="779"/>
      <c r="BR134" s="779"/>
      <c r="BS134" s="779"/>
      <c r="BT134" s="779"/>
      <c r="BU134" s="779"/>
      <c r="BV134" s="779"/>
      <c r="BW134" s="779"/>
      <c r="BX134" s="779"/>
      <c r="BY134" s="779"/>
      <c r="BZ134" s="779"/>
      <c r="CA134" s="779"/>
      <c r="CB134" s="779"/>
      <c r="CC134" s="779"/>
    </row>
    <row r="135" spans="1:81">
      <c r="A135" s="52"/>
      <c r="B135" s="776"/>
      <c r="C135" s="776" t="s">
        <v>339</v>
      </c>
      <c r="E135" s="776"/>
      <c r="F135" s="17"/>
      <c r="G135" s="17"/>
      <c r="H135" s="17"/>
      <c r="I135" s="17"/>
      <c r="J135" s="17"/>
      <c r="K135" s="17"/>
      <c r="L135" s="17"/>
      <c r="M135" s="17"/>
      <c r="N135" s="17"/>
      <c r="O135" s="17"/>
      <c r="P135" s="17"/>
      <c r="Q135" s="17"/>
      <c r="R135" s="17"/>
      <c r="S135" s="17"/>
      <c r="T135" s="17"/>
      <c r="U135" s="17"/>
      <c r="V135" s="17"/>
      <c r="W135" s="17"/>
      <c r="X135" s="17">
        <v>-39000</v>
      </c>
      <c r="Y135" s="17">
        <v>-37000</v>
      </c>
      <c r="Z135" s="17"/>
      <c r="AA135" s="17"/>
      <c r="AB135" s="776"/>
      <c r="AC135" s="776"/>
      <c r="AD135" s="2"/>
      <c r="AE135" s="2"/>
      <c r="AF135" s="2"/>
      <c r="AG135" s="2"/>
      <c r="AH135" s="2"/>
      <c r="AI135" s="2"/>
      <c r="AJ135" s="2"/>
      <c r="AK135" s="2"/>
      <c r="AL135" s="2"/>
      <c r="AM135" s="2"/>
      <c r="AN135" s="2"/>
      <c r="AO135" s="779"/>
      <c r="AP135" s="779"/>
      <c r="AQ135" s="779"/>
      <c r="AR135" s="779"/>
      <c r="AS135" s="779"/>
      <c r="AT135" s="779"/>
      <c r="AU135" s="779"/>
      <c r="AV135" s="779"/>
      <c r="AW135" s="779"/>
      <c r="AX135" s="779"/>
      <c r="AY135" s="779"/>
      <c r="AZ135" s="779"/>
      <c r="BA135" s="779"/>
      <c r="BB135" s="779"/>
      <c r="BC135" s="779"/>
      <c r="BD135" s="779"/>
      <c r="BE135" s="779"/>
      <c r="BF135" s="779"/>
      <c r="BG135" s="779"/>
      <c r="BH135" s="779"/>
      <c r="BI135" s="779"/>
      <c r="BJ135" s="779"/>
      <c r="BK135" s="779"/>
      <c r="BL135" s="779"/>
      <c r="BM135" s="779"/>
      <c r="BN135" s="779"/>
      <c r="BO135" s="779"/>
      <c r="BP135" s="779"/>
      <c r="BQ135" s="779"/>
      <c r="BR135" s="779"/>
      <c r="BS135" s="779"/>
      <c r="BT135" s="779"/>
      <c r="BU135" s="779"/>
      <c r="BV135" s="779"/>
      <c r="BW135" s="779"/>
      <c r="BX135" s="779"/>
      <c r="BY135" s="779"/>
      <c r="BZ135" s="779"/>
      <c r="CA135" s="779"/>
      <c r="CB135" s="779"/>
      <c r="CC135" s="779"/>
    </row>
    <row r="136" spans="1:81">
      <c r="A136" s="52"/>
      <c r="B136" s="776"/>
      <c r="C136" s="776" t="s">
        <v>463</v>
      </c>
      <c r="E136" s="776"/>
      <c r="F136" s="17"/>
      <c r="G136" s="17"/>
      <c r="H136" s="17"/>
      <c r="I136" s="17"/>
      <c r="J136" s="17"/>
      <c r="K136" s="17"/>
      <c r="L136" s="17"/>
      <c r="M136" s="17"/>
      <c r="N136" s="17"/>
      <c r="O136" s="17"/>
      <c r="P136" s="17"/>
      <c r="Q136" s="17"/>
      <c r="R136" s="17"/>
      <c r="S136" s="17"/>
      <c r="T136" s="17"/>
      <c r="U136" s="17"/>
      <c r="V136" s="17"/>
      <c r="W136" s="17"/>
      <c r="X136" s="17">
        <v>-12000</v>
      </c>
      <c r="Y136" s="17">
        <v>-18000</v>
      </c>
      <c r="Z136" s="17"/>
      <c r="AA136" s="17"/>
      <c r="AB136" s="776"/>
      <c r="AC136" s="776"/>
      <c r="AD136" s="2"/>
      <c r="AE136" s="2"/>
      <c r="AF136" s="2"/>
      <c r="AG136" s="2"/>
      <c r="AH136" s="2"/>
      <c r="AI136" s="2"/>
      <c r="AJ136" s="2"/>
      <c r="AK136" s="2"/>
      <c r="AL136" s="2"/>
      <c r="AM136" s="2"/>
      <c r="AN136" s="2"/>
      <c r="AO136" s="779"/>
      <c r="AP136" s="779"/>
      <c r="AQ136" s="779"/>
      <c r="AR136" s="779"/>
      <c r="AS136" s="779"/>
      <c r="AT136" s="779"/>
      <c r="AU136" s="779"/>
      <c r="AV136" s="779"/>
      <c r="AW136" s="779"/>
      <c r="AX136" s="779"/>
      <c r="AY136" s="779"/>
      <c r="AZ136" s="779"/>
      <c r="BA136" s="779"/>
      <c r="BB136" s="779"/>
      <c r="BC136" s="779"/>
      <c r="BD136" s="779"/>
      <c r="BE136" s="779"/>
      <c r="BF136" s="779"/>
      <c r="BG136" s="779"/>
      <c r="BH136" s="779"/>
      <c r="BI136" s="779"/>
      <c r="BJ136" s="779"/>
      <c r="BK136" s="779"/>
      <c r="BL136" s="779"/>
      <c r="BM136" s="779"/>
      <c r="BN136" s="779"/>
      <c r="BO136" s="779"/>
      <c r="BP136" s="779"/>
      <c r="BQ136" s="779"/>
      <c r="BR136" s="779"/>
      <c r="BS136" s="779"/>
      <c r="BT136" s="779"/>
      <c r="BU136" s="779"/>
      <c r="BV136" s="779"/>
      <c r="BW136" s="779"/>
      <c r="BX136" s="779"/>
      <c r="BY136" s="779"/>
      <c r="BZ136" s="779"/>
      <c r="CA136" s="779"/>
      <c r="CB136" s="779"/>
      <c r="CC136" s="779"/>
    </row>
    <row r="137" spans="1:81">
      <c r="A137" s="52"/>
      <c r="B137" s="776"/>
      <c r="C137" s="776" t="s">
        <v>298</v>
      </c>
      <c r="E137" s="776"/>
      <c r="F137" s="17"/>
      <c r="G137" s="17"/>
      <c r="H137" s="17"/>
      <c r="I137" s="17"/>
      <c r="J137" s="17"/>
      <c r="K137" s="17"/>
      <c r="L137" s="17"/>
      <c r="M137" s="17"/>
      <c r="N137" s="17"/>
      <c r="O137" s="17"/>
      <c r="P137" s="17"/>
      <c r="Q137" s="17"/>
      <c r="R137" s="17"/>
      <c r="S137" s="17"/>
      <c r="T137" s="17"/>
      <c r="U137" s="17"/>
      <c r="V137" s="17"/>
      <c r="W137" s="17"/>
      <c r="X137" s="17">
        <v>5000</v>
      </c>
      <c r="Y137" s="17">
        <v>6000</v>
      </c>
      <c r="Z137" s="17"/>
      <c r="AA137" s="17"/>
      <c r="AB137" s="776"/>
      <c r="AC137" s="776"/>
      <c r="AD137" s="2"/>
      <c r="AE137" s="2"/>
      <c r="AF137" s="2"/>
      <c r="AG137" s="2"/>
      <c r="AH137" s="2"/>
      <c r="AI137" s="2"/>
      <c r="AJ137" s="2"/>
      <c r="AK137" s="2"/>
      <c r="AL137" s="2"/>
      <c r="AM137" s="2"/>
      <c r="AN137" s="2"/>
      <c r="AO137" s="779"/>
      <c r="AP137" s="779"/>
      <c r="AQ137" s="779"/>
      <c r="AR137" s="779"/>
      <c r="AS137" s="779"/>
      <c r="AT137" s="779"/>
      <c r="AU137" s="779"/>
      <c r="AV137" s="779"/>
      <c r="AW137" s="779"/>
      <c r="AX137" s="779"/>
      <c r="AY137" s="779"/>
      <c r="AZ137" s="779"/>
      <c r="BA137" s="779"/>
      <c r="BB137" s="779"/>
      <c r="BC137" s="779"/>
      <c r="BD137" s="779"/>
      <c r="BE137" s="779"/>
      <c r="BF137" s="779"/>
      <c r="BG137" s="779"/>
      <c r="BH137" s="779"/>
      <c r="BI137" s="779"/>
      <c r="BJ137" s="779"/>
      <c r="BK137" s="779"/>
      <c r="BL137" s="779"/>
      <c r="BM137" s="779"/>
      <c r="BN137" s="779"/>
      <c r="BO137" s="779"/>
      <c r="BP137" s="779"/>
      <c r="BQ137" s="779"/>
      <c r="BR137" s="779"/>
      <c r="BS137" s="779"/>
      <c r="BT137" s="779"/>
      <c r="BU137" s="779"/>
      <c r="BV137" s="779"/>
      <c r="BW137" s="779"/>
      <c r="BX137" s="779"/>
      <c r="BY137" s="779"/>
      <c r="BZ137" s="779"/>
      <c r="CA137" s="779"/>
      <c r="CB137" s="779"/>
      <c r="CC137" s="779"/>
    </row>
    <row r="138" spans="1:81">
      <c r="A138" s="52"/>
      <c r="B138" s="776"/>
      <c r="C138" s="776" t="s">
        <v>1205</v>
      </c>
      <c r="E138" s="776"/>
      <c r="F138" s="27"/>
      <c r="G138" s="27"/>
      <c r="H138" s="27"/>
      <c r="I138" s="27"/>
      <c r="J138" s="27"/>
      <c r="K138" s="27"/>
      <c r="L138" s="27"/>
      <c r="M138" s="27"/>
      <c r="N138" s="27"/>
      <c r="O138" s="27"/>
      <c r="P138" s="27"/>
      <c r="Q138" s="27"/>
      <c r="R138" s="27"/>
      <c r="S138" s="27"/>
      <c r="T138" s="27"/>
      <c r="U138" s="27"/>
      <c r="V138" s="27"/>
      <c r="W138" s="27"/>
      <c r="X138" s="27">
        <v>1000</v>
      </c>
      <c r="Y138" s="27">
        <v>1000</v>
      </c>
      <c r="Z138" s="17"/>
      <c r="AA138" s="17"/>
      <c r="AB138" s="776"/>
      <c r="AC138" s="776"/>
      <c r="AD138" s="2"/>
      <c r="AE138" s="2"/>
      <c r="AF138" s="2"/>
      <c r="AG138" s="2"/>
      <c r="AH138" s="2"/>
      <c r="AI138" s="2"/>
      <c r="AJ138" s="2"/>
      <c r="AK138" s="2"/>
      <c r="AL138" s="2"/>
      <c r="AM138" s="2"/>
      <c r="AN138" s="2"/>
      <c r="AO138" s="779"/>
      <c r="AP138" s="779"/>
      <c r="AQ138" s="779"/>
      <c r="AR138" s="779"/>
      <c r="AS138" s="779"/>
      <c r="AT138" s="779"/>
      <c r="AU138" s="779"/>
      <c r="AV138" s="779"/>
      <c r="AW138" s="779"/>
      <c r="AX138" s="779"/>
      <c r="AY138" s="779"/>
      <c r="AZ138" s="779"/>
      <c r="BA138" s="779"/>
      <c r="BB138" s="779"/>
      <c r="BC138" s="779"/>
      <c r="BD138" s="779"/>
      <c r="BE138" s="779"/>
      <c r="BF138" s="779"/>
      <c r="BG138" s="779"/>
      <c r="BH138" s="779"/>
      <c r="BI138" s="779"/>
      <c r="BJ138" s="779"/>
      <c r="BK138" s="779"/>
      <c r="BL138" s="779"/>
      <c r="BM138" s="779"/>
      <c r="BN138" s="779"/>
      <c r="BO138" s="779"/>
      <c r="BP138" s="779"/>
      <c r="BQ138" s="779"/>
      <c r="BR138" s="779"/>
      <c r="BS138" s="779"/>
      <c r="BT138" s="779"/>
      <c r="BU138" s="779"/>
      <c r="BV138" s="779"/>
      <c r="BW138" s="779"/>
      <c r="BX138" s="779"/>
      <c r="BY138" s="779"/>
      <c r="BZ138" s="779"/>
      <c r="CA138" s="779"/>
      <c r="CB138" s="779"/>
      <c r="CC138" s="779"/>
    </row>
    <row r="139" spans="1:81">
      <c r="A139" s="52"/>
      <c r="B139" s="776"/>
      <c r="C139" s="776"/>
      <c r="E139" s="776"/>
      <c r="F139" s="17">
        <f t="shared" ref="F139:M139" si="115">SUM(F134:F138)</f>
        <v>0</v>
      </c>
      <c r="G139" s="17">
        <f t="shared" si="115"/>
        <v>0</v>
      </c>
      <c r="H139" s="17">
        <f t="shared" si="115"/>
        <v>0</v>
      </c>
      <c r="I139" s="17">
        <f t="shared" si="115"/>
        <v>0</v>
      </c>
      <c r="J139" s="17">
        <f t="shared" si="115"/>
        <v>0</v>
      </c>
      <c r="K139" s="17">
        <f t="shared" si="115"/>
        <v>0</v>
      </c>
      <c r="L139" s="17">
        <f t="shared" si="115"/>
        <v>0</v>
      </c>
      <c r="M139" s="17">
        <f t="shared" si="115"/>
        <v>0</v>
      </c>
      <c r="N139" s="17"/>
      <c r="O139" s="17">
        <f t="shared" ref="O139:Y139" si="116">SUM(O134:O138)</f>
        <v>0</v>
      </c>
      <c r="P139" s="17">
        <f t="shared" si="116"/>
        <v>0</v>
      </c>
      <c r="Q139" s="17">
        <f t="shared" si="116"/>
        <v>0</v>
      </c>
      <c r="R139" s="17">
        <f t="shared" si="116"/>
        <v>0</v>
      </c>
      <c r="S139" s="17">
        <f t="shared" si="116"/>
        <v>0</v>
      </c>
      <c r="T139" s="17">
        <f t="shared" si="116"/>
        <v>0</v>
      </c>
      <c r="U139" s="17">
        <f t="shared" si="116"/>
        <v>0</v>
      </c>
      <c r="V139" s="17">
        <f t="shared" si="116"/>
        <v>0</v>
      </c>
      <c r="W139" s="17">
        <f t="shared" si="116"/>
        <v>0</v>
      </c>
      <c r="X139" s="17">
        <f t="shared" si="116"/>
        <v>1715000</v>
      </c>
      <c r="Y139" s="17">
        <f t="shared" si="116"/>
        <v>1683000</v>
      </c>
      <c r="Z139" s="17"/>
      <c r="AA139" s="17"/>
      <c r="AB139" s="776"/>
      <c r="AC139" s="776"/>
      <c r="AD139" s="2"/>
      <c r="AE139" s="2"/>
      <c r="AF139" s="2"/>
      <c r="AG139" s="2"/>
      <c r="AH139" s="2"/>
      <c r="AI139" s="2"/>
      <c r="AJ139" s="2"/>
      <c r="AK139" s="2"/>
      <c r="AL139" s="2"/>
      <c r="AM139" s="2"/>
      <c r="AN139" s="2"/>
      <c r="AO139" s="779"/>
      <c r="AP139" s="779"/>
      <c r="AQ139" s="779"/>
      <c r="AR139" s="779"/>
      <c r="AS139" s="779"/>
      <c r="AT139" s="779"/>
      <c r="AU139" s="779"/>
      <c r="AV139" s="779"/>
      <c r="AW139" s="779"/>
      <c r="AX139" s="779"/>
      <c r="AY139" s="779"/>
      <c r="AZ139" s="779"/>
      <c r="BA139" s="779"/>
      <c r="BB139" s="779"/>
      <c r="BC139" s="779"/>
      <c r="BD139" s="779"/>
      <c r="BE139" s="779"/>
      <c r="BF139" s="779"/>
      <c r="BG139" s="779"/>
      <c r="BH139" s="779"/>
      <c r="BI139" s="779"/>
      <c r="BJ139" s="779"/>
      <c r="BK139" s="779"/>
      <c r="BL139" s="779"/>
      <c r="BM139" s="779"/>
      <c r="BN139" s="779"/>
      <c r="BO139" s="779"/>
      <c r="BP139" s="779"/>
      <c r="BQ139" s="779"/>
      <c r="BR139" s="779"/>
      <c r="BS139" s="779"/>
      <c r="BT139" s="779"/>
      <c r="BU139" s="779"/>
      <c r="BV139" s="779"/>
      <c r="BW139" s="779"/>
      <c r="BX139" s="779"/>
      <c r="BY139" s="779"/>
      <c r="BZ139" s="779"/>
      <c r="CA139" s="779"/>
      <c r="CB139" s="779"/>
      <c r="CC139" s="779"/>
    </row>
    <row r="140" spans="1:81">
      <c r="A140" s="52"/>
      <c r="B140" s="776"/>
      <c r="C140" s="776" t="s">
        <v>1202</v>
      </c>
      <c r="E140" s="776"/>
      <c r="F140" s="27"/>
      <c r="G140" s="27"/>
      <c r="H140" s="27"/>
      <c r="I140" s="27"/>
      <c r="J140" s="27"/>
      <c r="K140" s="27"/>
      <c r="L140" s="27"/>
      <c r="M140" s="27"/>
      <c r="N140" s="27"/>
      <c r="O140" s="27"/>
      <c r="P140" s="27"/>
      <c r="Q140" s="27"/>
      <c r="R140" s="27"/>
      <c r="S140" s="27"/>
      <c r="T140" s="27"/>
      <c r="U140" s="27"/>
      <c r="V140" s="27"/>
      <c r="W140" s="27"/>
      <c r="X140" s="27">
        <v>-43000</v>
      </c>
      <c r="Y140" s="777">
        <v>-46000</v>
      </c>
      <c r="Z140" s="17"/>
      <c r="AA140" s="17"/>
      <c r="AB140" s="776"/>
      <c r="AC140" s="776"/>
      <c r="AD140" s="2"/>
      <c r="AE140" s="2"/>
      <c r="AF140" s="2"/>
      <c r="AG140" s="2"/>
      <c r="AH140" s="2"/>
      <c r="AI140" s="2"/>
      <c r="AJ140" s="2"/>
      <c r="AK140" s="2"/>
      <c r="AL140" s="2"/>
      <c r="AM140" s="2"/>
      <c r="AN140" s="2"/>
      <c r="AO140" s="779"/>
      <c r="AP140" s="779"/>
      <c r="AQ140" s="779"/>
      <c r="AR140" s="779"/>
      <c r="AS140" s="779"/>
      <c r="AT140" s="779"/>
      <c r="AU140" s="779"/>
      <c r="AV140" s="779"/>
      <c r="AW140" s="779"/>
      <c r="AX140" s="779"/>
      <c r="AY140" s="779"/>
      <c r="AZ140" s="779"/>
      <c r="BA140" s="779"/>
      <c r="BB140" s="779"/>
      <c r="BC140" s="779"/>
      <c r="BD140" s="779"/>
      <c r="BE140" s="779"/>
      <c r="BF140" s="779"/>
      <c r="BG140" s="779"/>
      <c r="BH140" s="779"/>
      <c r="BI140" s="779"/>
      <c r="BJ140" s="779"/>
      <c r="BK140" s="779"/>
      <c r="BL140" s="779"/>
      <c r="BM140" s="779"/>
      <c r="BN140" s="779"/>
      <c r="BO140" s="779"/>
      <c r="BP140" s="779"/>
      <c r="BQ140" s="779"/>
      <c r="BR140" s="779"/>
      <c r="BS140" s="779"/>
      <c r="BT140" s="779"/>
      <c r="BU140" s="779"/>
      <c r="BV140" s="779"/>
      <c r="BW140" s="779"/>
      <c r="BX140" s="779"/>
      <c r="BY140" s="779"/>
      <c r="BZ140" s="779"/>
      <c r="CA140" s="779"/>
      <c r="CB140" s="779"/>
      <c r="CC140" s="779"/>
    </row>
    <row r="141" spans="1:81">
      <c r="A141" s="52"/>
      <c r="B141" s="776"/>
      <c r="C141" s="776"/>
      <c r="E141" s="776"/>
      <c r="F141" s="17"/>
      <c r="G141" s="17"/>
      <c r="H141" s="17"/>
      <c r="I141" s="17"/>
      <c r="J141" s="17"/>
      <c r="K141" s="17"/>
      <c r="L141" s="17"/>
      <c r="M141" s="17"/>
      <c r="N141" s="17"/>
      <c r="O141" s="17"/>
      <c r="P141" s="17"/>
      <c r="Q141" s="17"/>
      <c r="R141" s="17"/>
      <c r="S141" s="17"/>
      <c r="T141" s="17"/>
      <c r="U141" s="17"/>
      <c r="V141" s="17"/>
      <c r="W141" s="17"/>
      <c r="X141" s="17"/>
      <c r="Y141" s="17"/>
      <c r="Z141" s="17"/>
      <c r="AA141" s="17"/>
      <c r="AB141" s="776"/>
      <c r="AC141" s="776"/>
      <c r="AD141" s="23"/>
      <c r="AE141" s="776"/>
      <c r="AF141" s="776"/>
      <c r="AG141" s="776"/>
      <c r="AH141" s="776"/>
      <c r="AI141" s="776"/>
      <c r="AJ141" s="776"/>
      <c r="AK141" s="776"/>
      <c r="AL141" s="776"/>
      <c r="AM141" s="776"/>
      <c r="AN141" s="776"/>
      <c r="AO141" s="779"/>
      <c r="AP141" s="779"/>
      <c r="AQ141" s="779"/>
      <c r="AR141" s="779"/>
      <c r="AS141" s="779"/>
      <c r="AT141" s="779"/>
      <c r="AU141" s="779"/>
      <c r="AV141" s="779"/>
      <c r="AW141" s="779"/>
      <c r="AX141" s="779"/>
      <c r="AY141" s="779"/>
      <c r="AZ141" s="779"/>
      <c r="BA141" s="779"/>
      <c r="BB141" s="779"/>
      <c r="BC141" s="779"/>
      <c r="BD141" s="779"/>
      <c r="BE141" s="779"/>
      <c r="BF141" s="779"/>
      <c r="BG141" s="779"/>
      <c r="BH141" s="779"/>
      <c r="BI141" s="779"/>
      <c r="BJ141" s="779"/>
      <c r="BK141" s="779"/>
      <c r="BL141" s="779"/>
      <c r="BM141" s="779"/>
      <c r="BN141" s="779"/>
      <c r="BO141" s="779"/>
      <c r="BP141" s="779"/>
      <c r="BQ141" s="779"/>
      <c r="BR141" s="779"/>
      <c r="BS141" s="779"/>
      <c r="BT141" s="779"/>
      <c r="BU141" s="779"/>
      <c r="BV141" s="779"/>
      <c r="BW141" s="779"/>
      <c r="BX141" s="779"/>
      <c r="BY141" s="779"/>
      <c r="BZ141" s="779"/>
      <c r="CA141" s="779"/>
      <c r="CB141" s="779"/>
      <c r="CC141" s="779"/>
    </row>
    <row r="142" spans="1:81">
      <c r="A142" s="52">
        <v>2710</v>
      </c>
      <c r="B142" s="2"/>
      <c r="C142" s="2" t="s">
        <v>544</v>
      </c>
      <c r="D142" s="2"/>
      <c r="E142" s="2"/>
      <c r="F142" s="17"/>
      <c r="G142" s="17"/>
      <c r="H142" s="17"/>
      <c r="I142" s="17"/>
      <c r="J142" s="17"/>
      <c r="K142" s="17"/>
      <c r="L142" s="17"/>
      <c r="M142" s="17"/>
      <c r="N142" s="17"/>
      <c r="O142" s="17"/>
      <c r="P142" s="17"/>
      <c r="Q142" s="17"/>
      <c r="R142" s="17"/>
      <c r="S142" s="17"/>
      <c r="T142" s="17"/>
      <c r="U142" s="17"/>
      <c r="V142" s="17"/>
      <c r="W142" s="17"/>
      <c r="X142" s="17"/>
      <c r="Y142" s="17"/>
      <c r="Z142" s="17"/>
      <c r="AA142" s="17"/>
      <c r="AB142" s="776"/>
      <c r="AC142" s="776"/>
      <c r="AD142" s="23"/>
      <c r="AE142" s="776"/>
      <c r="AF142" s="776"/>
      <c r="AG142" s="776"/>
      <c r="AH142" s="776"/>
      <c r="AI142" s="776"/>
      <c r="AJ142" s="776"/>
      <c r="AK142" s="776"/>
      <c r="AL142" s="776"/>
      <c r="AM142" s="776"/>
      <c r="AN142" s="776"/>
      <c r="AO142" s="779"/>
      <c r="AP142" s="779"/>
      <c r="AQ142" s="779"/>
      <c r="AR142" s="779"/>
      <c r="AS142" s="779"/>
      <c r="AT142" s="779"/>
      <c r="AU142" s="779"/>
      <c r="AV142" s="779"/>
      <c r="AW142" s="779"/>
      <c r="AX142" s="779"/>
      <c r="AY142" s="779"/>
      <c r="AZ142" s="779"/>
      <c r="BA142" s="779"/>
      <c r="BB142" s="779"/>
      <c r="BC142" s="779"/>
      <c r="BD142" s="779"/>
      <c r="BE142" s="779"/>
      <c r="BF142" s="779"/>
      <c r="BG142" s="779"/>
      <c r="BH142" s="779"/>
      <c r="BI142" s="779"/>
      <c r="BJ142" s="779"/>
      <c r="BK142" s="779"/>
      <c r="BL142" s="779"/>
      <c r="BM142" s="779"/>
      <c r="BN142" s="779"/>
      <c r="BO142" s="779"/>
      <c r="BP142" s="779"/>
      <c r="BQ142" s="779"/>
      <c r="BR142" s="779"/>
      <c r="BS142" s="779"/>
      <c r="BT142" s="779"/>
      <c r="BU142" s="779"/>
      <c r="BV142" s="779"/>
      <c r="BW142" s="779"/>
      <c r="BX142" s="779"/>
      <c r="BY142" s="779"/>
      <c r="BZ142" s="779"/>
      <c r="CA142" s="779"/>
      <c r="CB142" s="779"/>
      <c r="CC142" s="779"/>
    </row>
    <row r="143" spans="1:81">
      <c r="A143" s="52">
        <v>2710</v>
      </c>
      <c r="B143" s="2"/>
      <c r="C143" s="2" t="s">
        <v>1077</v>
      </c>
      <c r="D143" s="2"/>
      <c r="E143" s="2"/>
      <c r="F143" s="17"/>
      <c r="G143" s="17"/>
      <c r="H143" s="17"/>
      <c r="I143" s="17"/>
      <c r="J143" s="17"/>
      <c r="K143" s="17"/>
      <c r="L143" s="17"/>
      <c r="M143" s="17"/>
      <c r="N143" s="17"/>
      <c r="O143" s="17"/>
      <c r="P143" s="17"/>
      <c r="Q143" s="17"/>
      <c r="R143" s="17"/>
      <c r="S143" s="17"/>
      <c r="T143" s="17"/>
      <c r="U143" s="17"/>
      <c r="V143" s="17"/>
      <c r="W143" s="17"/>
      <c r="X143" s="17"/>
      <c r="Y143" s="17"/>
      <c r="Z143" s="17"/>
      <c r="AA143" s="17"/>
      <c r="AB143" s="776"/>
      <c r="AC143" s="776"/>
      <c r="AD143" s="23"/>
      <c r="AE143" s="776"/>
      <c r="AF143" s="776"/>
      <c r="AG143" s="776"/>
      <c r="AH143" s="776"/>
      <c r="AI143" s="776"/>
      <c r="AJ143" s="776"/>
      <c r="AK143" s="776"/>
      <c r="AL143" s="776"/>
      <c r="AM143" s="776"/>
      <c r="AN143" s="776"/>
      <c r="AO143" s="779"/>
      <c r="AP143" s="779"/>
      <c r="AQ143" s="779"/>
      <c r="AR143" s="779"/>
      <c r="AS143" s="779"/>
      <c r="AT143" s="779"/>
      <c r="AU143" s="779"/>
      <c r="AV143" s="779"/>
      <c r="AW143" s="779"/>
      <c r="AX143" s="779"/>
      <c r="AY143" s="779"/>
      <c r="AZ143" s="779"/>
      <c r="BA143" s="779"/>
      <c r="BB143" s="779"/>
      <c r="BC143" s="779"/>
      <c r="BD143" s="779"/>
      <c r="BE143" s="779"/>
      <c r="BF143" s="779"/>
      <c r="BG143" s="779"/>
      <c r="BH143" s="779"/>
      <c r="BI143" s="779"/>
      <c r="BJ143" s="779"/>
      <c r="BK143" s="779"/>
      <c r="BL143" s="779"/>
      <c r="BM143" s="779"/>
      <c r="BN143" s="779"/>
      <c r="BO143" s="779"/>
      <c r="BP143" s="779"/>
      <c r="BQ143" s="779"/>
      <c r="BR143" s="779"/>
      <c r="BS143" s="779"/>
      <c r="BT143" s="779"/>
      <c r="BU143" s="779"/>
      <c r="BV143" s="779"/>
      <c r="BW143" s="779"/>
      <c r="BX143" s="779"/>
      <c r="BY143" s="779"/>
      <c r="BZ143" s="779"/>
      <c r="CA143" s="779"/>
      <c r="CB143" s="779"/>
      <c r="CC143" s="779"/>
    </row>
    <row r="144" spans="1:81">
      <c r="A144" s="52">
        <v>2710</v>
      </c>
      <c r="B144" s="2"/>
      <c r="C144" s="2" t="s">
        <v>1078</v>
      </c>
      <c r="D144" s="2"/>
      <c r="E144" s="2"/>
      <c r="F144" s="17"/>
      <c r="G144" s="17"/>
      <c r="H144" s="17"/>
      <c r="I144" s="17"/>
      <c r="J144" s="17"/>
      <c r="K144" s="17"/>
      <c r="L144" s="17"/>
      <c r="M144" s="17"/>
      <c r="N144" s="17"/>
      <c r="O144" s="17"/>
      <c r="P144" s="17"/>
      <c r="Q144" s="17"/>
      <c r="R144" s="17"/>
      <c r="S144" s="17"/>
      <c r="T144" s="17"/>
      <c r="U144" s="17"/>
      <c r="V144" s="17"/>
      <c r="W144" s="17"/>
      <c r="X144" s="17"/>
      <c r="Y144" s="17"/>
      <c r="Z144" s="17"/>
      <c r="AA144" s="17"/>
      <c r="AB144" s="776"/>
      <c r="AC144" s="776"/>
      <c r="AD144" s="23"/>
      <c r="AE144" s="776"/>
      <c r="AF144" s="776"/>
      <c r="AG144" s="776"/>
      <c r="AH144" s="776"/>
      <c r="AI144" s="776"/>
      <c r="AJ144" s="776"/>
      <c r="AK144" s="776"/>
      <c r="AL144" s="776"/>
      <c r="AM144" s="776"/>
      <c r="AN144" s="776"/>
      <c r="AO144" s="779"/>
      <c r="AP144" s="779"/>
      <c r="AQ144" s="779"/>
      <c r="AR144" s="779"/>
      <c r="AS144" s="779"/>
      <c r="AT144" s="779"/>
      <c r="AU144" s="779"/>
      <c r="AV144" s="779"/>
      <c r="AW144" s="779"/>
      <c r="AX144" s="779"/>
      <c r="AY144" s="779"/>
      <c r="AZ144" s="779"/>
      <c r="BA144" s="779"/>
      <c r="BB144" s="779"/>
      <c r="BC144" s="779"/>
      <c r="BD144" s="779"/>
      <c r="BE144" s="779"/>
      <c r="BF144" s="779"/>
      <c r="BG144" s="779"/>
      <c r="BH144" s="779"/>
      <c r="BI144" s="779"/>
      <c r="BJ144" s="779"/>
      <c r="BK144" s="779"/>
      <c r="BL144" s="779"/>
      <c r="BM144" s="779"/>
      <c r="BN144" s="779"/>
      <c r="BO144" s="779"/>
      <c r="BP144" s="779"/>
      <c r="BQ144" s="779"/>
      <c r="BR144" s="779"/>
      <c r="BS144" s="779"/>
      <c r="BT144" s="779"/>
      <c r="BU144" s="779"/>
      <c r="BV144" s="779"/>
      <c r="BW144" s="779"/>
      <c r="BX144" s="779"/>
      <c r="BY144" s="779"/>
      <c r="BZ144" s="779"/>
      <c r="CA144" s="779"/>
      <c r="CB144" s="779"/>
      <c r="CC144" s="779"/>
    </row>
    <row r="145" spans="1:81">
      <c r="A145" s="52">
        <v>2710</v>
      </c>
      <c r="B145" s="2"/>
      <c r="C145" s="2" t="s">
        <v>1079</v>
      </c>
      <c r="D145" s="2"/>
      <c r="E145" s="2"/>
      <c r="F145" s="17"/>
      <c r="G145" s="17"/>
      <c r="H145" s="17"/>
      <c r="I145" s="17"/>
      <c r="J145" s="17"/>
      <c r="K145" s="17"/>
      <c r="L145" s="17"/>
      <c r="M145" s="17"/>
      <c r="N145" s="17"/>
      <c r="O145" s="17"/>
      <c r="P145" s="17"/>
      <c r="Q145" s="17"/>
      <c r="R145" s="17"/>
      <c r="S145" s="17"/>
      <c r="T145" s="17"/>
      <c r="U145" s="17"/>
      <c r="V145" s="17"/>
      <c r="W145" s="17"/>
      <c r="X145" s="17"/>
      <c r="Y145" s="17"/>
      <c r="Z145" s="17"/>
      <c r="AA145" s="17"/>
      <c r="AB145" s="776"/>
      <c r="AC145" s="776"/>
      <c r="AD145" s="23"/>
      <c r="AE145" s="776"/>
      <c r="AF145" s="776"/>
      <c r="AG145" s="776"/>
      <c r="AH145" s="776"/>
      <c r="AI145" s="776"/>
      <c r="AJ145" s="776"/>
      <c r="AK145" s="776"/>
      <c r="AL145" s="776"/>
      <c r="AM145" s="776"/>
      <c r="AN145" s="776"/>
      <c r="AO145" s="779"/>
      <c r="AP145" s="779"/>
      <c r="AQ145" s="779"/>
      <c r="AR145" s="779"/>
      <c r="AS145" s="779"/>
      <c r="AT145" s="779"/>
      <c r="AU145" s="779"/>
      <c r="AV145" s="779"/>
      <c r="AW145" s="779"/>
      <c r="AX145" s="779"/>
      <c r="AY145" s="779"/>
      <c r="AZ145" s="779"/>
      <c r="BA145" s="779"/>
      <c r="BB145" s="779"/>
      <c r="BC145" s="779"/>
      <c r="BD145" s="779"/>
      <c r="BE145" s="779"/>
      <c r="BF145" s="779"/>
      <c r="BG145" s="779"/>
      <c r="BH145" s="779"/>
      <c r="BI145" s="779"/>
      <c r="BJ145" s="779"/>
      <c r="BK145" s="779"/>
      <c r="BL145" s="779"/>
      <c r="BM145" s="779"/>
      <c r="BN145" s="779"/>
      <c r="BO145" s="779"/>
      <c r="BP145" s="779"/>
      <c r="BQ145" s="779"/>
      <c r="BR145" s="779"/>
      <c r="BS145" s="779"/>
      <c r="BT145" s="779"/>
      <c r="BU145" s="779"/>
      <c r="BV145" s="779"/>
      <c r="BW145" s="779"/>
      <c r="BX145" s="779"/>
      <c r="BY145" s="779"/>
      <c r="BZ145" s="779"/>
      <c r="CA145" s="779"/>
      <c r="CB145" s="779"/>
      <c r="CC145" s="779"/>
    </row>
    <row r="146" spans="1:81">
      <c r="A146" s="52">
        <v>2710</v>
      </c>
      <c r="B146" s="2"/>
      <c r="C146" s="2" t="s">
        <v>1080</v>
      </c>
      <c r="D146" s="2"/>
      <c r="E146" s="2"/>
      <c r="F146" s="17"/>
      <c r="G146" s="17"/>
      <c r="H146" s="17"/>
      <c r="I146" s="17"/>
      <c r="J146" s="17"/>
      <c r="K146" s="17"/>
      <c r="L146" s="17"/>
      <c r="M146" s="17"/>
      <c r="N146" s="17"/>
      <c r="O146" s="17"/>
      <c r="P146" s="17"/>
      <c r="Q146" s="17"/>
      <c r="R146" s="17"/>
      <c r="S146" s="17"/>
      <c r="T146" s="17"/>
      <c r="U146" s="17"/>
      <c r="V146" s="17"/>
      <c r="W146" s="17"/>
      <c r="X146" s="17"/>
      <c r="Y146" s="17"/>
      <c r="Z146" s="17"/>
      <c r="AA146" s="17"/>
      <c r="AB146" s="776"/>
      <c r="AC146" s="776"/>
      <c r="AD146" s="23"/>
      <c r="AE146" s="776"/>
      <c r="AF146" s="776"/>
      <c r="AG146" s="776"/>
      <c r="AH146" s="776"/>
      <c r="AI146" s="776"/>
      <c r="AJ146" s="776"/>
      <c r="AK146" s="776"/>
      <c r="AL146" s="776"/>
      <c r="AM146" s="776"/>
      <c r="AN146" s="776"/>
      <c r="AO146" s="779"/>
      <c r="AP146" s="779"/>
      <c r="AQ146" s="779"/>
      <c r="AR146" s="779"/>
      <c r="AS146" s="779"/>
      <c r="AT146" s="779"/>
      <c r="AU146" s="779"/>
      <c r="AV146" s="779"/>
      <c r="AW146" s="779"/>
      <c r="AX146" s="779"/>
      <c r="AY146" s="779"/>
      <c r="AZ146" s="779"/>
      <c r="BA146" s="779"/>
      <c r="BB146" s="779"/>
      <c r="BC146" s="779"/>
      <c r="BD146" s="779"/>
      <c r="BE146" s="779"/>
      <c r="BF146" s="779"/>
      <c r="BG146" s="779"/>
      <c r="BH146" s="779"/>
      <c r="BI146" s="779"/>
      <c r="BJ146" s="779"/>
      <c r="BK146" s="779"/>
      <c r="BL146" s="779"/>
      <c r="BM146" s="779"/>
      <c r="BN146" s="779"/>
      <c r="BO146" s="779"/>
      <c r="BP146" s="779"/>
      <c r="BQ146" s="779"/>
      <c r="BR146" s="779"/>
      <c r="BS146" s="779"/>
      <c r="BT146" s="779"/>
      <c r="BU146" s="779"/>
      <c r="BV146" s="779"/>
      <c r="BW146" s="779"/>
      <c r="BX146" s="779"/>
      <c r="BY146" s="779"/>
      <c r="BZ146" s="779"/>
      <c r="CA146" s="779"/>
      <c r="CB146" s="779"/>
      <c r="CC146" s="779"/>
    </row>
    <row r="147" spans="1:81">
      <c r="A147" s="52"/>
      <c r="B147" s="2"/>
      <c r="C147" s="2" t="s">
        <v>1197</v>
      </c>
      <c r="D147" s="2"/>
      <c r="E147" s="2"/>
      <c r="F147" s="17"/>
      <c r="G147" s="17"/>
      <c r="H147" s="17"/>
      <c r="I147" s="17"/>
      <c r="J147" s="17"/>
      <c r="K147" s="17"/>
      <c r="L147" s="17"/>
      <c r="M147" s="17"/>
      <c r="N147" s="17"/>
      <c r="O147" s="17"/>
      <c r="P147" s="17"/>
      <c r="Q147" s="17"/>
      <c r="R147" s="17"/>
      <c r="S147" s="17"/>
      <c r="T147" s="17"/>
      <c r="U147" s="17"/>
      <c r="V147" s="17"/>
      <c r="W147" s="17"/>
      <c r="X147" s="17"/>
      <c r="Y147" s="17"/>
      <c r="Z147" s="17"/>
      <c r="AA147" s="17"/>
      <c r="AB147" s="776"/>
      <c r="AC147" s="776"/>
      <c r="AD147" s="23"/>
      <c r="AE147" s="776"/>
      <c r="AF147" s="776"/>
      <c r="AG147" s="776"/>
      <c r="AH147" s="776"/>
      <c r="AI147" s="776"/>
      <c r="AJ147" s="776"/>
      <c r="AK147" s="776"/>
      <c r="AL147" s="776"/>
      <c r="AM147" s="776"/>
      <c r="AN147" s="776"/>
      <c r="AO147" s="779"/>
      <c r="AP147" s="779"/>
      <c r="AQ147" s="779"/>
      <c r="AR147" s="779"/>
      <c r="AS147" s="779"/>
      <c r="AT147" s="779"/>
      <c r="AU147" s="779"/>
      <c r="AV147" s="779"/>
      <c r="AW147" s="779"/>
      <c r="AX147" s="779"/>
      <c r="AY147" s="779"/>
      <c r="AZ147" s="779"/>
      <c r="BA147" s="779"/>
      <c r="BB147" s="779"/>
      <c r="BC147" s="779"/>
      <c r="BD147" s="779"/>
      <c r="BE147" s="779"/>
      <c r="BF147" s="779"/>
      <c r="BG147" s="779"/>
      <c r="BH147" s="779"/>
      <c r="BI147" s="779"/>
      <c r="BJ147" s="779"/>
      <c r="BK147" s="779"/>
      <c r="BL147" s="779"/>
      <c r="BM147" s="779"/>
      <c r="BN147" s="779"/>
      <c r="BO147" s="779"/>
      <c r="BP147" s="779"/>
      <c r="BQ147" s="779"/>
      <c r="BR147" s="779"/>
      <c r="BS147" s="779"/>
      <c r="BT147" s="779"/>
      <c r="BU147" s="779"/>
      <c r="BV147" s="779"/>
      <c r="BW147" s="779"/>
      <c r="BX147" s="779"/>
      <c r="BY147" s="779"/>
      <c r="BZ147" s="779"/>
      <c r="CA147" s="779"/>
      <c r="CB147" s="779"/>
      <c r="CC147" s="779"/>
    </row>
    <row r="148" spans="1:81">
      <c r="A148" s="52"/>
      <c r="B148" s="2"/>
      <c r="C148" s="2" t="s">
        <v>1198</v>
      </c>
      <c r="D148" s="2"/>
      <c r="E148" s="2"/>
      <c r="F148" s="17"/>
      <c r="G148" s="17"/>
      <c r="H148" s="17"/>
      <c r="I148" s="17"/>
      <c r="J148" s="17"/>
      <c r="K148" s="17"/>
      <c r="L148" s="17"/>
      <c r="M148" s="17"/>
      <c r="N148" s="17"/>
      <c r="O148" s="17"/>
      <c r="P148" s="17"/>
      <c r="Q148" s="17"/>
      <c r="R148" s="17"/>
      <c r="S148" s="17"/>
      <c r="T148" s="17"/>
      <c r="U148" s="17"/>
      <c r="V148" s="17"/>
      <c r="W148" s="17"/>
      <c r="X148" s="17"/>
      <c r="Y148" s="17"/>
      <c r="Z148" s="17"/>
      <c r="AA148" s="17"/>
      <c r="AB148" s="776"/>
      <c r="AC148" s="776"/>
      <c r="AD148" s="23"/>
      <c r="AE148" s="776"/>
      <c r="AF148" s="776"/>
      <c r="AG148" s="776"/>
      <c r="AH148" s="776"/>
      <c r="AI148" s="776"/>
      <c r="AJ148" s="776"/>
      <c r="AK148" s="776"/>
      <c r="AL148" s="776"/>
      <c r="AM148" s="776"/>
      <c r="AN148" s="776"/>
      <c r="AO148" s="779"/>
      <c r="AP148" s="779"/>
      <c r="AQ148" s="779"/>
      <c r="AR148" s="779"/>
      <c r="AS148" s="779"/>
      <c r="AT148" s="779"/>
      <c r="AU148" s="779"/>
      <c r="AV148" s="779"/>
      <c r="AW148" s="779"/>
      <c r="AX148" s="779"/>
      <c r="AY148" s="779"/>
      <c r="AZ148" s="779"/>
      <c r="BA148" s="779"/>
      <c r="BB148" s="779"/>
      <c r="BC148" s="779"/>
      <c r="BD148" s="779"/>
      <c r="BE148" s="779"/>
      <c r="BF148" s="779"/>
      <c r="BG148" s="779"/>
      <c r="BH148" s="779"/>
      <c r="BI148" s="779"/>
      <c r="BJ148" s="779"/>
      <c r="BK148" s="779"/>
      <c r="BL148" s="779"/>
      <c r="BM148" s="779"/>
      <c r="BN148" s="779"/>
      <c r="BO148" s="779"/>
      <c r="BP148" s="779"/>
      <c r="BQ148" s="779"/>
      <c r="BR148" s="779"/>
      <c r="BS148" s="779"/>
      <c r="BT148" s="779"/>
      <c r="BU148" s="779"/>
      <c r="BV148" s="779"/>
      <c r="BW148" s="779"/>
      <c r="BX148" s="779"/>
      <c r="BY148" s="779"/>
      <c r="BZ148" s="779"/>
      <c r="CA148" s="779"/>
      <c r="CB148" s="779"/>
      <c r="CC148" s="779"/>
    </row>
    <row r="149" spans="1:81">
      <c r="A149" s="52"/>
      <c r="B149" s="2"/>
      <c r="C149" s="2" t="s">
        <v>1081</v>
      </c>
      <c r="D149" s="2"/>
      <c r="E149" s="2"/>
      <c r="F149" s="17"/>
      <c r="G149" s="17"/>
      <c r="H149" s="17"/>
      <c r="I149" s="17"/>
      <c r="J149" s="17"/>
      <c r="K149" s="17"/>
      <c r="L149" s="17"/>
      <c r="M149" s="17"/>
      <c r="N149" s="17"/>
      <c r="O149" s="17"/>
      <c r="P149" s="17"/>
      <c r="Q149" s="17"/>
      <c r="R149" s="17"/>
      <c r="S149" s="17"/>
      <c r="T149" s="17"/>
      <c r="U149" s="17"/>
      <c r="V149" s="17"/>
      <c r="W149" s="17"/>
      <c r="X149" s="17"/>
      <c r="Y149" s="17"/>
      <c r="Z149" s="17"/>
      <c r="AA149" s="17"/>
      <c r="AB149" s="776"/>
      <c r="AC149" s="776"/>
      <c r="AD149" s="23"/>
      <c r="AE149" s="776"/>
      <c r="AF149" s="776"/>
      <c r="AG149" s="776"/>
      <c r="AH149" s="776"/>
      <c r="AI149" s="776"/>
      <c r="AJ149" s="776"/>
      <c r="AK149" s="776"/>
      <c r="AL149" s="776"/>
      <c r="AM149" s="776"/>
      <c r="AN149" s="776"/>
      <c r="AO149" s="779"/>
      <c r="AP149" s="779"/>
      <c r="AQ149" s="779"/>
      <c r="AR149" s="779"/>
      <c r="AS149" s="779"/>
      <c r="AT149" s="779"/>
      <c r="AU149" s="779"/>
      <c r="AV149" s="779"/>
      <c r="AW149" s="779"/>
      <c r="AX149" s="779"/>
      <c r="AY149" s="779"/>
      <c r="AZ149" s="779"/>
      <c r="BA149" s="779"/>
      <c r="BB149" s="779"/>
      <c r="BC149" s="779"/>
      <c r="BD149" s="779"/>
      <c r="BE149" s="779"/>
      <c r="BF149" s="779"/>
      <c r="BG149" s="779"/>
      <c r="BH149" s="779"/>
      <c r="BI149" s="779"/>
      <c r="BJ149" s="779"/>
      <c r="BK149" s="779"/>
      <c r="BL149" s="779"/>
      <c r="BM149" s="779"/>
      <c r="BN149" s="779"/>
      <c r="BO149" s="779"/>
      <c r="BP149" s="779"/>
      <c r="BQ149" s="779"/>
      <c r="BR149" s="779"/>
      <c r="BS149" s="779"/>
      <c r="BT149" s="779"/>
      <c r="BU149" s="779"/>
      <c r="BV149" s="779"/>
      <c r="BW149" s="779"/>
      <c r="BX149" s="779"/>
      <c r="BY149" s="779"/>
      <c r="BZ149" s="779"/>
      <c r="CA149" s="779"/>
      <c r="CB149" s="779"/>
      <c r="CC149" s="779"/>
    </row>
    <row r="150" spans="1:81">
      <c r="A150" s="52">
        <v>2710</v>
      </c>
      <c r="B150" s="2"/>
      <c r="C150" s="2" t="s">
        <v>545</v>
      </c>
      <c r="D150" s="2"/>
      <c r="E150" s="2"/>
      <c r="F150" s="17"/>
      <c r="G150" s="17"/>
      <c r="H150" s="17"/>
      <c r="I150" s="17"/>
      <c r="J150" s="17"/>
      <c r="K150" s="17"/>
      <c r="L150" s="17"/>
      <c r="M150" s="17"/>
      <c r="N150" s="17"/>
      <c r="O150" s="17"/>
      <c r="P150" s="17"/>
      <c r="Q150" s="17"/>
      <c r="R150" s="17"/>
      <c r="S150" s="17"/>
      <c r="T150" s="17"/>
      <c r="U150" s="17"/>
      <c r="V150" s="17"/>
      <c r="W150" s="17"/>
      <c r="X150" s="17"/>
      <c r="Y150" s="17"/>
      <c r="Z150" s="17"/>
      <c r="AA150" s="17"/>
      <c r="AB150" s="776"/>
      <c r="AC150" s="776"/>
      <c r="AD150" s="23"/>
      <c r="AE150" s="776"/>
      <c r="AF150" s="776"/>
      <c r="AG150" s="776"/>
      <c r="AH150" s="776"/>
      <c r="AI150" s="776"/>
      <c r="AJ150" s="776"/>
      <c r="AK150" s="776"/>
      <c r="AL150" s="776"/>
      <c r="AM150" s="776"/>
      <c r="AN150" s="776"/>
      <c r="AO150" s="779"/>
      <c r="AP150" s="779"/>
      <c r="AQ150" s="779"/>
      <c r="AR150" s="779"/>
      <c r="AS150" s="779"/>
      <c r="AT150" s="779"/>
      <c r="AU150" s="779"/>
      <c r="AV150" s="779"/>
      <c r="AW150" s="779"/>
      <c r="AX150" s="779"/>
      <c r="AY150" s="779"/>
      <c r="AZ150" s="779"/>
      <c r="BA150" s="779"/>
      <c r="BB150" s="779"/>
      <c r="BC150" s="779"/>
      <c r="BD150" s="779"/>
      <c r="BE150" s="779"/>
      <c r="BF150" s="779"/>
      <c r="BG150" s="779"/>
      <c r="BH150" s="779"/>
      <c r="BI150" s="779"/>
      <c r="BJ150" s="779"/>
      <c r="BK150" s="779"/>
      <c r="BL150" s="779"/>
      <c r="BM150" s="779"/>
      <c r="BN150" s="779"/>
      <c r="BO150" s="779"/>
      <c r="BP150" s="779"/>
      <c r="BQ150" s="779"/>
      <c r="BR150" s="779"/>
      <c r="BS150" s="779"/>
      <c r="BT150" s="779"/>
      <c r="BU150" s="779"/>
      <c r="BV150" s="779"/>
      <c r="BW150" s="779"/>
      <c r="BX150" s="779"/>
      <c r="BY150" s="779"/>
      <c r="BZ150" s="779"/>
      <c r="CA150" s="779"/>
      <c r="CB150" s="779"/>
      <c r="CC150" s="779"/>
    </row>
    <row r="151" spans="1:81">
      <c r="A151" s="52"/>
      <c r="B151" s="776"/>
      <c r="C151" s="776"/>
      <c r="E151" s="776"/>
      <c r="F151" s="17"/>
      <c r="G151" s="17"/>
      <c r="H151" s="17"/>
      <c r="I151" s="17"/>
      <c r="J151" s="17"/>
      <c r="K151" s="17"/>
      <c r="L151" s="17"/>
      <c r="M151" s="17"/>
      <c r="N151" s="17"/>
      <c r="O151" s="17"/>
      <c r="P151" s="17"/>
      <c r="Q151" s="17"/>
      <c r="R151" s="17"/>
      <c r="S151" s="17"/>
      <c r="T151" s="17"/>
      <c r="U151" s="17"/>
      <c r="V151" s="17"/>
      <c r="W151" s="17"/>
      <c r="X151" s="17"/>
      <c r="Y151" s="17"/>
      <c r="Z151" s="17"/>
      <c r="AA151" s="17"/>
      <c r="AB151" s="776"/>
      <c r="AC151" s="776"/>
      <c r="AD151" s="23"/>
      <c r="AE151" s="776"/>
      <c r="AF151" s="776"/>
      <c r="AG151" s="776"/>
      <c r="AH151" s="776"/>
      <c r="AI151" s="776"/>
      <c r="AJ151" s="776"/>
      <c r="AK151" s="776"/>
      <c r="AL151" s="776"/>
      <c r="AM151" s="776"/>
      <c r="AN151" s="776"/>
      <c r="AO151" s="779"/>
      <c r="AP151" s="779"/>
      <c r="AQ151" s="779"/>
      <c r="AR151" s="779"/>
      <c r="AS151" s="779"/>
      <c r="AT151" s="779"/>
      <c r="AU151" s="779"/>
      <c r="AV151" s="779"/>
      <c r="AW151" s="779"/>
      <c r="AX151" s="779"/>
      <c r="AY151" s="779"/>
      <c r="AZ151" s="779"/>
      <c r="BA151" s="779"/>
      <c r="BB151" s="779"/>
      <c r="BC151" s="779"/>
      <c r="BD151" s="779"/>
      <c r="BE151" s="779"/>
      <c r="BF151" s="779"/>
      <c r="BG151" s="779"/>
      <c r="BH151" s="779"/>
      <c r="BI151" s="779"/>
      <c r="BJ151" s="779"/>
      <c r="BK151" s="779"/>
      <c r="BL151" s="779"/>
      <c r="BM151" s="779"/>
      <c r="BN151" s="779"/>
      <c r="BO151" s="779"/>
      <c r="BP151" s="779"/>
      <c r="BQ151" s="779"/>
      <c r="BR151" s="779"/>
      <c r="BS151" s="779"/>
      <c r="BT151" s="779"/>
      <c r="BU151" s="779"/>
      <c r="BV151" s="779"/>
      <c r="BW151" s="779"/>
      <c r="BX151" s="779"/>
      <c r="BY151" s="779"/>
      <c r="BZ151" s="779"/>
      <c r="CA151" s="779"/>
      <c r="CB151" s="779"/>
      <c r="CC151" s="779"/>
    </row>
    <row r="152" spans="1:81">
      <c r="A152" s="52"/>
      <c r="B152" s="776"/>
      <c r="C152" s="776"/>
      <c r="E152" s="776"/>
      <c r="F152" s="17"/>
      <c r="G152" s="17"/>
      <c r="H152" s="17"/>
      <c r="I152" s="17"/>
      <c r="J152" s="17"/>
      <c r="K152" s="17"/>
      <c r="L152" s="17"/>
      <c r="M152" s="17"/>
      <c r="N152" s="17"/>
      <c r="O152" s="17"/>
      <c r="P152" s="17"/>
      <c r="Q152" s="17"/>
      <c r="R152" s="17"/>
      <c r="S152" s="17"/>
      <c r="T152" s="17"/>
      <c r="U152" s="17"/>
      <c r="V152" s="17"/>
      <c r="W152" s="17"/>
      <c r="X152" s="17"/>
      <c r="Y152" s="17"/>
      <c r="Z152" s="17"/>
      <c r="AA152" s="17"/>
      <c r="AB152" s="776"/>
      <c r="AC152" s="776"/>
      <c r="AD152" s="23"/>
      <c r="AE152" s="776"/>
      <c r="AF152" s="776"/>
      <c r="AG152" s="776"/>
      <c r="AH152" s="776"/>
      <c r="AI152" s="776"/>
      <c r="AJ152" s="776"/>
      <c r="AK152" s="776"/>
      <c r="AL152" s="776"/>
      <c r="AM152" s="776"/>
      <c r="AN152" s="776"/>
      <c r="AO152" s="779"/>
      <c r="AP152" s="779"/>
      <c r="AQ152" s="779"/>
      <c r="AR152" s="779"/>
      <c r="AS152" s="779"/>
      <c r="AT152" s="779"/>
      <c r="AU152" s="779"/>
      <c r="AV152" s="779"/>
      <c r="AW152" s="779"/>
      <c r="AX152" s="779"/>
      <c r="AY152" s="779"/>
      <c r="AZ152" s="779"/>
      <c r="BA152" s="779"/>
      <c r="BB152" s="779"/>
      <c r="BC152" s="779"/>
      <c r="BD152" s="779"/>
      <c r="BE152" s="779"/>
      <c r="BF152" s="779"/>
      <c r="BG152" s="779"/>
      <c r="BH152" s="779"/>
      <c r="BI152" s="779"/>
      <c r="BJ152" s="779"/>
      <c r="BK152" s="779"/>
      <c r="BL152" s="779"/>
      <c r="BM152" s="779"/>
      <c r="BN152" s="779"/>
      <c r="BO152" s="779"/>
      <c r="BP152" s="779"/>
      <c r="BQ152" s="779"/>
      <c r="BR152" s="779"/>
      <c r="BS152" s="779"/>
      <c r="BT152" s="779"/>
      <c r="BU152" s="779"/>
      <c r="BV152" s="779"/>
      <c r="BW152" s="779"/>
      <c r="BX152" s="779"/>
      <c r="BY152" s="779"/>
      <c r="BZ152" s="779"/>
      <c r="CA152" s="779"/>
      <c r="CB152" s="779"/>
      <c r="CC152" s="779"/>
    </row>
    <row r="153" spans="1:81">
      <c r="A153" s="52"/>
      <c r="B153" s="776"/>
      <c r="C153" s="776"/>
      <c r="E153" s="776"/>
      <c r="F153" s="17"/>
      <c r="G153" s="17"/>
      <c r="H153" s="17"/>
      <c r="I153" s="17"/>
      <c r="J153" s="17"/>
      <c r="K153" s="17"/>
      <c r="L153" s="17"/>
      <c r="M153" s="17"/>
      <c r="N153" s="17"/>
      <c r="O153" s="17"/>
      <c r="P153" s="17"/>
      <c r="Q153" s="17"/>
      <c r="R153" s="17"/>
      <c r="S153" s="17"/>
      <c r="T153" s="17"/>
      <c r="U153" s="17"/>
      <c r="V153" s="17"/>
      <c r="W153" s="17"/>
      <c r="X153" s="17"/>
      <c r="Y153" s="17"/>
      <c r="Z153" s="17"/>
      <c r="AA153" s="17"/>
      <c r="AB153" s="776"/>
      <c r="AC153" s="776"/>
      <c r="AD153" s="23"/>
      <c r="AE153" s="776"/>
      <c r="AF153" s="776"/>
      <c r="AG153" s="776"/>
      <c r="AH153" s="776"/>
      <c r="AI153" s="776"/>
      <c r="AJ153" s="776"/>
      <c r="AK153" s="776"/>
      <c r="AL153" s="776"/>
      <c r="AM153" s="776"/>
      <c r="AN153" s="776"/>
      <c r="AO153" s="779"/>
      <c r="AP153" s="779"/>
      <c r="AQ153" s="779"/>
      <c r="AR153" s="779"/>
      <c r="AS153" s="779"/>
      <c r="AT153" s="779"/>
      <c r="AU153" s="779"/>
      <c r="AV153" s="779"/>
      <c r="AW153" s="779"/>
      <c r="AX153" s="779"/>
      <c r="AY153" s="779"/>
      <c r="AZ153" s="779"/>
      <c r="BA153" s="779"/>
      <c r="BB153" s="779"/>
      <c r="BC153" s="779"/>
      <c r="BD153" s="779"/>
      <c r="BE153" s="779"/>
      <c r="BF153" s="779"/>
      <c r="BG153" s="779"/>
      <c r="BH153" s="779"/>
      <c r="BI153" s="779"/>
      <c r="BJ153" s="779"/>
      <c r="BK153" s="779"/>
      <c r="BL153" s="779"/>
      <c r="BM153" s="779"/>
      <c r="BN153" s="779"/>
      <c r="BO153" s="779"/>
      <c r="BP153" s="779"/>
      <c r="BQ153" s="779"/>
      <c r="BR153" s="779"/>
      <c r="BS153" s="779"/>
      <c r="BT153" s="779"/>
      <c r="BU153" s="779"/>
      <c r="BV153" s="779"/>
      <c r="BW153" s="779"/>
      <c r="BX153" s="779"/>
      <c r="BY153" s="779"/>
      <c r="BZ153" s="779"/>
      <c r="CA153" s="779"/>
      <c r="CB153" s="779"/>
      <c r="CC153" s="779"/>
    </row>
    <row r="154" spans="1:81">
      <c r="A154" s="52"/>
      <c r="B154" s="776"/>
      <c r="C154" s="776"/>
      <c r="E154" s="776"/>
      <c r="F154" s="17"/>
      <c r="G154" s="17"/>
      <c r="H154" s="17"/>
      <c r="I154" s="17"/>
      <c r="J154" s="17"/>
      <c r="K154" s="17"/>
      <c r="L154" s="17"/>
      <c r="M154" s="17"/>
      <c r="N154" s="17"/>
      <c r="O154" s="17"/>
      <c r="P154" s="17"/>
      <c r="Q154" s="17"/>
      <c r="R154" s="17"/>
      <c r="S154" s="17"/>
      <c r="T154" s="17"/>
      <c r="U154" s="17"/>
      <c r="V154" s="17"/>
      <c r="W154" s="17"/>
      <c r="X154" s="17"/>
      <c r="Y154" s="17"/>
      <c r="Z154" s="17"/>
      <c r="AA154" s="17"/>
      <c r="AB154" s="776"/>
      <c r="AC154" s="776"/>
      <c r="AD154" s="23"/>
      <c r="AE154" s="776"/>
      <c r="AF154" s="776"/>
      <c r="AG154" s="776"/>
      <c r="AH154" s="776"/>
      <c r="AI154" s="776"/>
      <c r="AJ154" s="776"/>
      <c r="AK154" s="776"/>
      <c r="AL154" s="776"/>
      <c r="AM154" s="776"/>
      <c r="AN154" s="776"/>
      <c r="AO154" s="779"/>
      <c r="AP154" s="779"/>
      <c r="AQ154" s="779"/>
      <c r="AR154" s="779"/>
      <c r="AS154" s="779"/>
      <c r="AT154" s="779"/>
      <c r="AU154" s="779"/>
      <c r="AV154" s="779"/>
      <c r="AW154" s="779"/>
      <c r="AX154" s="779"/>
      <c r="AY154" s="779"/>
      <c r="AZ154" s="779"/>
      <c r="BA154" s="779"/>
      <c r="BB154" s="779"/>
      <c r="BC154" s="779"/>
      <c r="BD154" s="779"/>
      <c r="BE154" s="779"/>
      <c r="BF154" s="779"/>
      <c r="BG154" s="779"/>
      <c r="BH154" s="779"/>
      <c r="BI154" s="779"/>
      <c r="BJ154" s="779"/>
      <c r="BK154" s="779"/>
      <c r="BL154" s="779"/>
      <c r="BM154" s="779"/>
      <c r="BN154" s="779"/>
      <c r="BO154" s="779"/>
      <c r="BP154" s="779"/>
      <c r="BQ154" s="779"/>
      <c r="BR154" s="779"/>
      <c r="BS154" s="779"/>
      <c r="BT154" s="779"/>
      <c r="BU154" s="779"/>
      <c r="BV154" s="779"/>
      <c r="BW154" s="779"/>
      <c r="BX154" s="779"/>
      <c r="BY154" s="779"/>
      <c r="BZ154" s="779"/>
      <c r="CA154" s="779"/>
      <c r="CB154" s="779"/>
      <c r="CC154" s="779"/>
    </row>
    <row r="155" spans="1:81">
      <c r="A155" s="52"/>
      <c r="B155" s="776"/>
      <c r="C155" s="776"/>
      <c r="E155" s="776"/>
      <c r="F155" s="17"/>
      <c r="G155" s="17"/>
      <c r="H155" s="17"/>
      <c r="I155" s="17"/>
      <c r="J155" s="17"/>
      <c r="K155" s="17"/>
      <c r="L155" s="17"/>
      <c r="M155" s="17"/>
      <c r="N155" s="17"/>
      <c r="O155" s="17"/>
      <c r="P155" s="17"/>
      <c r="Q155" s="17"/>
      <c r="R155" s="17"/>
      <c r="S155" s="17"/>
      <c r="T155" s="17"/>
      <c r="U155" s="17"/>
      <c r="V155" s="17"/>
      <c r="W155" s="17"/>
      <c r="X155" s="17"/>
      <c r="Y155" s="17"/>
      <c r="Z155" s="17"/>
      <c r="AA155" s="17"/>
      <c r="AB155" s="776"/>
      <c r="AC155" s="776"/>
      <c r="AD155" s="23"/>
      <c r="AE155" s="776"/>
      <c r="AF155" s="776"/>
      <c r="AG155" s="776"/>
      <c r="AH155" s="776"/>
      <c r="AI155" s="776"/>
      <c r="AJ155" s="776"/>
      <c r="AK155" s="776"/>
      <c r="AL155" s="776"/>
      <c r="AM155" s="776"/>
      <c r="AN155" s="776"/>
      <c r="AO155" s="779"/>
      <c r="AP155" s="779"/>
      <c r="AQ155" s="779"/>
      <c r="AR155" s="779"/>
      <c r="AS155" s="779"/>
      <c r="AT155" s="779"/>
      <c r="AU155" s="779"/>
      <c r="AV155" s="779"/>
      <c r="AW155" s="779"/>
      <c r="AX155" s="779"/>
      <c r="AY155" s="779"/>
      <c r="AZ155" s="779"/>
      <c r="BA155" s="779"/>
      <c r="BB155" s="779"/>
      <c r="BC155" s="779"/>
      <c r="BD155" s="779"/>
      <c r="BE155" s="779"/>
      <c r="BF155" s="779"/>
      <c r="BG155" s="779"/>
      <c r="BH155" s="779"/>
      <c r="BI155" s="779"/>
      <c r="BJ155" s="779"/>
      <c r="BK155" s="779"/>
      <c r="BL155" s="779"/>
      <c r="BM155" s="779"/>
      <c r="BN155" s="779"/>
      <c r="BO155" s="779"/>
      <c r="BP155" s="779"/>
      <c r="BQ155" s="779"/>
      <c r="BR155" s="779"/>
      <c r="BS155" s="779"/>
      <c r="BT155" s="779"/>
      <c r="BU155" s="779"/>
      <c r="BV155" s="779"/>
      <c r="BW155" s="779"/>
      <c r="BX155" s="779"/>
      <c r="BY155" s="779"/>
      <c r="BZ155" s="779"/>
      <c r="CA155" s="779"/>
      <c r="CB155" s="779"/>
      <c r="CC155" s="779"/>
    </row>
    <row r="156" spans="1:81">
      <c r="A156" s="52"/>
      <c r="B156" s="776"/>
      <c r="C156" s="776"/>
      <c r="E156" s="776"/>
      <c r="F156" s="17"/>
      <c r="G156" s="17"/>
      <c r="H156" s="17"/>
      <c r="I156" s="17"/>
      <c r="J156" s="17"/>
      <c r="K156" s="17"/>
      <c r="L156" s="17"/>
      <c r="M156" s="17"/>
      <c r="N156" s="17"/>
      <c r="O156" s="17"/>
      <c r="P156" s="17"/>
      <c r="Q156" s="17"/>
      <c r="R156" s="17"/>
      <c r="S156" s="17"/>
      <c r="T156" s="17"/>
      <c r="U156" s="17"/>
      <c r="V156" s="17"/>
      <c r="W156" s="17"/>
      <c r="X156" s="17"/>
      <c r="Y156" s="17"/>
      <c r="Z156" s="17"/>
      <c r="AA156" s="17"/>
      <c r="AB156" s="776"/>
      <c r="AC156" s="776"/>
      <c r="AD156" s="23"/>
      <c r="AE156" s="776"/>
      <c r="AF156" s="776"/>
      <c r="AG156" s="776"/>
      <c r="AH156" s="776"/>
      <c r="AI156" s="776"/>
      <c r="AJ156" s="776"/>
      <c r="AK156" s="776"/>
      <c r="AL156" s="776"/>
      <c r="AM156" s="776"/>
      <c r="AN156" s="776"/>
      <c r="AO156" s="779"/>
      <c r="AP156" s="779"/>
      <c r="AQ156" s="779"/>
      <c r="AR156" s="779"/>
      <c r="AS156" s="779"/>
      <c r="AT156" s="779"/>
      <c r="AU156" s="779"/>
      <c r="AV156" s="779"/>
      <c r="AW156" s="779"/>
      <c r="AX156" s="779"/>
      <c r="AY156" s="779"/>
      <c r="AZ156" s="779"/>
      <c r="BA156" s="779"/>
      <c r="BB156" s="779"/>
      <c r="BC156" s="779"/>
      <c r="BD156" s="779"/>
      <c r="BE156" s="779"/>
      <c r="BF156" s="779"/>
      <c r="BG156" s="779"/>
      <c r="BH156" s="779"/>
      <c r="BI156" s="779"/>
      <c r="BJ156" s="779"/>
      <c r="BK156" s="779"/>
      <c r="BL156" s="779"/>
      <c r="BM156" s="779"/>
      <c r="BN156" s="779"/>
      <c r="BO156" s="779"/>
      <c r="BP156" s="779"/>
      <c r="BQ156" s="779"/>
      <c r="BR156" s="779"/>
      <c r="BS156" s="779"/>
      <c r="BT156" s="779"/>
      <c r="BU156" s="779"/>
      <c r="BV156" s="779"/>
      <c r="BW156" s="779"/>
      <c r="BX156" s="779"/>
      <c r="BY156" s="779"/>
      <c r="BZ156" s="779"/>
      <c r="CA156" s="779"/>
      <c r="CB156" s="779"/>
      <c r="CC156" s="779"/>
    </row>
    <row r="157" spans="1:81">
      <c r="A157" s="52"/>
      <c r="B157" s="776"/>
      <c r="C157" s="776"/>
      <c r="E157" s="776"/>
      <c r="F157" s="17"/>
      <c r="G157" s="17"/>
      <c r="H157" s="17"/>
      <c r="I157" s="17"/>
      <c r="J157" s="17"/>
      <c r="K157" s="17"/>
      <c r="L157" s="17"/>
      <c r="M157" s="17"/>
      <c r="N157" s="17"/>
      <c r="O157" s="17"/>
      <c r="P157" s="17"/>
      <c r="Q157" s="17"/>
      <c r="R157" s="17"/>
      <c r="S157" s="17"/>
      <c r="T157" s="17"/>
      <c r="U157" s="17"/>
      <c r="V157" s="17"/>
      <c r="W157" s="17"/>
      <c r="X157" s="17"/>
      <c r="Y157" s="17"/>
      <c r="Z157" s="17"/>
      <c r="AA157" s="17"/>
      <c r="AB157" s="776"/>
      <c r="AC157" s="776"/>
      <c r="AD157" s="23"/>
      <c r="AE157" s="776"/>
      <c r="AF157" s="776"/>
      <c r="AG157" s="776"/>
      <c r="AH157" s="776"/>
      <c r="AI157" s="776"/>
      <c r="AJ157" s="776"/>
      <c r="AK157" s="776"/>
      <c r="AL157" s="776"/>
      <c r="AM157" s="776"/>
      <c r="AN157" s="776"/>
      <c r="AO157" s="779"/>
      <c r="AP157" s="779"/>
      <c r="AQ157" s="779"/>
      <c r="AR157" s="779"/>
      <c r="AS157" s="779"/>
      <c r="AT157" s="779"/>
      <c r="AU157" s="779"/>
      <c r="AV157" s="779"/>
      <c r="AW157" s="779"/>
      <c r="AX157" s="779"/>
      <c r="AY157" s="779"/>
      <c r="AZ157" s="779"/>
      <c r="BA157" s="779"/>
      <c r="BB157" s="779"/>
      <c r="BC157" s="779"/>
      <c r="BD157" s="779"/>
      <c r="BE157" s="779"/>
      <c r="BF157" s="779"/>
      <c r="BG157" s="779"/>
      <c r="BH157" s="779"/>
      <c r="BI157" s="779"/>
      <c r="BJ157" s="779"/>
      <c r="BK157" s="779"/>
      <c r="BL157" s="779"/>
      <c r="BM157" s="779"/>
      <c r="BN157" s="779"/>
      <c r="BO157" s="779"/>
      <c r="BP157" s="779"/>
      <c r="BQ157" s="779"/>
      <c r="BR157" s="779"/>
      <c r="BS157" s="779"/>
      <c r="BT157" s="779"/>
      <c r="BU157" s="779"/>
      <c r="BV157" s="779"/>
      <c r="BW157" s="779"/>
      <c r="BX157" s="779"/>
      <c r="BY157" s="779"/>
      <c r="BZ157" s="779"/>
      <c r="CA157" s="779"/>
      <c r="CB157" s="779"/>
      <c r="CC157" s="779"/>
    </row>
    <row r="158" spans="1:81">
      <c r="A158" s="52"/>
      <c r="B158" s="776"/>
      <c r="C158" s="776"/>
      <c r="E158" s="776"/>
      <c r="F158" s="17"/>
      <c r="G158" s="17"/>
      <c r="H158" s="17"/>
      <c r="I158" s="17"/>
      <c r="J158" s="17"/>
      <c r="K158" s="17"/>
      <c r="L158" s="17"/>
      <c r="M158" s="17"/>
      <c r="N158" s="17"/>
      <c r="O158" s="17"/>
      <c r="P158" s="17"/>
      <c r="Q158" s="17"/>
      <c r="R158" s="17"/>
      <c r="S158" s="17"/>
      <c r="T158" s="17"/>
      <c r="U158" s="17"/>
      <c r="V158" s="17"/>
      <c r="W158" s="17"/>
      <c r="X158" s="17"/>
      <c r="Y158" s="17"/>
      <c r="Z158" s="17"/>
      <c r="AA158" s="17"/>
      <c r="AB158" s="776"/>
      <c r="AC158" s="776"/>
      <c r="AD158" s="23"/>
      <c r="AE158" s="776"/>
      <c r="AF158" s="776"/>
      <c r="AG158" s="776"/>
      <c r="AH158" s="776"/>
      <c r="AI158" s="776"/>
      <c r="AJ158" s="776"/>
      <c r="AK158" s="776"/>
      <c r="AL158" s="776"/>
      <c r="AM158" s="776"/>
      <c r="AN158" s="776"/>
      <c r="AO158" s="779"/>
      <c r="AP158" s="779"/>
      <c r="AQ158" s="779"/>
      <c r="AR158" s="779"/>
      <c r="AS158" s="779"/>
      <c r="AT158" s="779"/>
      <c r="AU158" s="779"/>
      <c r="AV158" s="779"/>
      <c r="AW158" s="779"/>
      <c r="AX158" s="779"/>
      <c r="AY158" s="779"/>
      <c r="AZ158" s="779"/>
      <c r="BA158" s="779"/>
      <c r="BB158" s="779"/>
      <c r="BC158" s="779"/>
      <c r="BD158" s="779"/>
      <c r="BE158" s="779"/>
      <c r="BF158" s="779"/>
      <c r="BG158" s="779"/>
      <c r="BH158" s="779"/>
      <c r="BI158" s="779"/>
      <c r="BJ158" s="779"/>
      <c r="BK158" s="779"/>
      <c r="BL158" s="779"/>
      <c r="BM158" s="779"/>
      <c r="BN158" s="779"/>
      <c r="BO158" s="779"/>
      <c r="BP158" s="779"/>
      <c r="BQ158" s="779"/>
      <c r="BR158" s="779"/>
      <c r="BS158" s="779"/>
      <c r="BT158" s="779"/>
      <c r="BU158" s="779"/>
      <c r="BV158" s="779"/>
      <c r="BW158" s="779"/>
      <c r="BX158" s="779"/>
      <c r="BY158" s="779"/>
      <c r="BZ158" s="779"/>
      <c r="CA158" s="779"/>
      <c r="CB158" s="779"/>
      <c r="CC158" s="779"/>
    </row>
    <row r="159" spans="1:81">
      <c r="A159" s="52"/>
      <c r="B159" s="776"/>
      <c r="C159" s="776"/>
      <c r="E159" s="776"/>
      <c r="F159" s="776"/>
      <c r="G159" s="776"/>
      <c r="H159" s="776"/>
      <c r="I159" s="776"/>
      <c r="J159" s="776"/>
      <c r="K159" s="776"/>
      <c r="L159" s="776"/>
      <c r="M159" s="776"/>
      <c r="N159" s="776"/>
      <c r="O159" s="776"/>
      <c r="P159" s="776"/>
      <c r="Q159" s="776"/>
      <c r="R159" s="776"/>
      <c r="S159" s="776"/>
      <c r="T159" s="776"/>
      <c r="U159" s="776"/>
      <c r="V159" s="776"/>
      <c r="W159" s="776"/>
      <c r="X159" s="776"/>
      <c r="Y159" s="776"/>
      <c r="Z159" s="776"/>
      <c r="AA159" s="13"/>
      <c r="AB159" s="776"/>
      <c r="AC159" s="776"/>
      <c r="AD159" s="23"/>
      <c r="AE159" s="776"/>
      <c r="AF159" s="776"/>
      <c r="AG159" s="776"/>
      <c r="AH159" s="776"/>
      <c r="AI159" s="776"/>
      <c r="AJ159" s="776"/>
      <c r="AK159" s="776"/>
      <c r="AL159" s="776"/>
      <c r="AM159" s="776"/>
      <c r="AN159" s="776"/>
      <c r="AO159" s="779"/>
      <c r="AP159" s="779"/>
      <c r="AQ159" s="779"/>
      <c r="AR159" s="779"/>
      <c r="AS159" s="779"/>
      <c r="AT159" s="779"/>
      <c r="AU159" s="779"/>
      <c r="AV159" s="779"/>
      <c r="AW159" s="779"/>
      <c r="AX159" s="779"/>
      <c r="AY159" s="779"/>
      <c r="AZ159" s="779"/>
      <c r="BA159" s="779"/>
      <c r="BB159" s="779"/>
      <c r="BC159" s="779"/>
      <c r="BD159" s="779"/>
      <c r="BE159" s="779"/>
      <c r="BF159" s="779"/>
      <c r="BG159" s="779"/>
      <c r="BH159" s="779"/>
      <c r="BI159" s="779"/>
      <c r="BJ159" s="779"/>
      <c r="BK159" s="779"/>
      <c r="BL159" s="779"/>
      <c r="BM159" s="779"/>
      <c r="BN159" s="779"/>
      <c r="BO159" s="779"/>
      <c r="BP159" s="779"/>
      <c r="BQ159" s="779"/>
      <c r="BR159" s="779"/>
      <c r="BS159" s="779"/>
      <c r="BT159" s="779"/>
      <c r="BU159" s="779"/>
      <c r="BV159" s="779"/>
      <c r="BW159" s="779"/>
      <c r="BX159" s="779"/>
      <c r="BY159" s="779"/>
      <c r="BZ159" s="779"/>
      <c r="CA159" s="779"/>
      <c r="CB159" s="779"/>
      <c r="CC159" s="779"/>
    </row>
    <row r="160" spans="1:81">
      <c r="A160" s="52"/>
      <c r="B160" s="776"/>
      <c r="C160" s="776"/>
      <c r="E160" s="776"/>
      <c r="F160" s="776"/>
      <c r="G160" s="776"/>
      <c r="H160" s="776"/>
      <c r="I160" s="776"/>
      <c r="J160" s="776"/>
      <c r="K160" s="776"/>
      <c r="L160" s="776"/>
      <c r="M160" s="776"/>
      <c r="N160" s="776"/>
      <c r="O160" s="776"/>
      <c r="P160" s="776"/>
      <c r="Q160" s="776"/>
      <c r="R160" s="776"/>
      <c r="S160" s="776"/>
      <c r="T160" s="776"/>
      <c r="U160" s="776"/>
      <c r="V160" s="776"/>
      <c r="W160" s="776"/>
      <c r="X160" s="776"/>
      <c r="Y160" s="776"/>
      <c r="Z160" s="776"/>
      <c r="AA160" s="13"/>
      <c r="AB160" s="776"/>
      <c r="AC160" s="776"/>
      <c r="AD160" s="23"/>
      <c r="AE160" s="776"/>
      <c r="AF160" s="776"/>
      <c r="AG160" s="776"/>
      <c r="AH160" s="776"/>
      <c r="AI160" s="776"/>
      <c r="AJ160" s="776"/>
      <c r="AK160" s="776"/>
      <c r="AL160" s="776"/>
      <c r="AM160" s="776"/>
      <c r="AN160" s="776"/>
      <c r="AO160" s="779"/>
      <c r="AP160" s="779"/>
      <c r="AQ160" s="779"/>
      <c r="AR160" s="779"/>
      <c r="AS160" s="779"/>
      <c r="AT160" s="779"/>
      <c r="AU160" s="779"/>
      <c r="AV160" s="779"/>
      <c r="AW160" s="779"/>
      <c r="AX160" s="779"/>
      <c r="AY160" s="779"/>
      <c r="AZ160" s="779"/>
      <c r="BA160" s="779"/>
      <c r="BB160" s="779"/>
      <c r="BC160" s="779"/>
      <c r="BD160" s="779"/>
      <c r="BE160" s="779"/>
      <c r="BF160" s="779"/>
      <c r="BG160" s="779"/>
      <c r="BH160" s="779"/>
      <c r="BI160" s="779"/>
      <c r="BJ160" s="779"/>
      <c r="BK160" s="779"/>
      <c r="BL160" s="779"/>
      <c r="BM160" s="779"/>
      <c r="BN160" s="779"/>
      <c r="BO160" s="779"/>
      <c r="BP160" s="779"/>
      <c r="BQ160" s="779"/>
      <c r="BR160" s="779"/>
      <c r="BS160" s="779"/>
      <c r="BT160" s="779"/>
      <c r="BU160" s="779"/>
      <c r="BV160" s="779"/>
      <c r="BW160" s="779"/>
      <c r="BX160" s="779"/>
      <c r="BY160" s="779"/>
      <c r="BZ160" s="779"/>
      <c r="CA160" s="779"/>
      <c r="CB160" s="779"/>
      <c r="CC160" s="779"/>
    </row>
    <row r="161" spans="1:81">
      <c r="A161" s="52"/>
      <c r="B161" s="776"/>
      <c r="C161" s="776"/>
      <c r="E161" s="776"/>
      <c r="F161" s="776"/>
      <c r="G161" s="776"/>
      <c r="H161" s="776"/>
      <c r="I161" s="776"/>
      <c r="J161" s="776"/>
      <c r="K161" s="776"/>
      <c r="L161" s="776"/>
      <c r="M161" s="776"/>
      <c r="N161" s="776"/>
      <c r="O161" s="776"/>
      <c r="P161" s="776"/>
      <c r="Q161" s="776"/>
      <c r="R161" s="776"/>
      <c r="S161" s="776"/>
      <c r="T161" s="776"/>
      <c r="U161" s="776"/>
      <c r="V161" s="776"/>
      <c r="W161" s="776"/>
      <c r="X161" s="776"/>
      <c r="Y161" s="776"/>
      <c r="Z161" s="776"/>
      <c r="AA161" s="13"/>
      <c r="AB161" s="776"/>
      <c r="AC161" s="776"/>
      <c r="AD161" s="23"/>
      <c r="AE161" s="776"/>
      <c r="AF161" s="776"/>
      <c r="AG161" s="776"/>
      <c r="AH161" s="776"/>
      <c r="AI161" s="776"/>
      <c r="AJ161" s="776"/>
      <c r="AK161" s="776"/>
      <c r="AL161" s="776"/>
      <c r="AM161" s="776"/>
      <c r="AN161" s="776"/>
      <c r="AO161" s="779"/>
      <c r="AP161" s="779"/>
      <c r="AQ161" s="779"/>
      <c r="AR161" s="779"/>
      <c r="AS161" s="779"/>
      <c r="AT161" s="779"/>
      <c r="AU161" s="779"/>
      <c r="AV161" s="779"/>
      <c r="AW161" s="779"/>
      <c r="AX161" s="779"/>
      <c r="AY161" s="779"/>
      <c r="AZ161" s="779"/>
      <c r="BA161" s="779"/>
      <c r="BB161" s="779"/>
      <c r="BC161" s="779"/>
      <c r="BD161" s="779"/>
      <c r="BE161" s="779"/>
      <c r="BF161" s="779"/>
      <c r="BG161" s="779"/>
      <c r="BH161" s="779"/>
      <c r="BI161" s="779"/>
      <c r="BJ161" s="779"/>
      <c r="BK161" s="779"/>
      <c r="BL161" s="779"/>
      <c r="BM161" s="779"/>
      <c r="BN161" s="779"/>
      <c r="BO161" s="779"/>
      <c r="BP161" s="779"/>
      <c r="BQ161" s="779"/>
      <c r="BR161" s="779"/>
      <c r="BS161" s="779"/>
      <c r="BT161" s="779"/>
      <c r="BU161" s="779"/>
      <c r="BV161" s="779"/>
      <c r="BW161" s="779"/>
      <c r="BX161" s="779"/>
      <c r="BY161" s="779"/>
      <c r="BZ161" s="779"/>
      <c r="CA161" s="779"/>
      <c r="CB161" s="779"/>
      <c r="CC161" s="779"/>
    </row>
    <row r="162" spans="1:81">
      <c r="A162" s="52"/>
      <c r="B162" s="776"/>
      <c r="C162" s="776"/>
      <c r="E162" s="776"/>
      <c r="F162" s="776"/>
      <c r="G162" s="776"/>
      <c r="H162" s="776"/>
      <c r="I162" s="776"/>
      <c r="J162" s="776"/>
      <c r="K162" s="776"/>
      <c r="L162" s="776"/>
      <c r="M162" s="776"/>
      <c r="N162" s="776"/>
      <c r="O162" s="776"/>
      <c r="P162" s="776"/>
      <c r="Q162" s="776"/>
      <c r="R162" s="776"/>
      <c r="S162" s="776"/>
      <c r="T162" s="776"/>
      <c r="U162" s="776"/>
      <c r="V162" s="776"/>
      <c r="W162" s="776"/>
      <c r="X162" s="776"/>
      <c r="Y162" s="776"/>
      <c r="Z162" s="776"/>
      <c r="AA162" s="13"/>
      <c r="AB162" s="776"/>
      <c r="AC162" s="776"/>
      <c r="AD162" s="23"/>
      <c r="AE162" s="776"/>
      <c r="AF162" s="776"/>
      <c r="AG162" s="776"/>
      <c r="AH162" s="776"/>
      <c r="AI162" s="776"/>
      <c r="AJ162" s="776"/>
      <c r="AK162" s="776"/>
      <c r="AL162" s="776"/>
      <c r="AM162" s="776"/>
      <c r="AN162" s="776"/>
      <c r="AO162" s="779"/>
      <c r="AP162" s="779"/>
      <c r="AQ162" s="779"/>
      <c r="AR162" s="779"/>
      <c r="AS162" s="779"/>
      <c r="AT162" s="779"/>
      <c r="AU162" s="779"/>
      <c r="AV162" s="779"/>
      <c r="AW162" s="779"/>
      <c r="AX162" s="779"/>
      <c r="AY162" s="779"/>
      <c r="AZ162" s="779"/>
      <c r="BA162" s="779"/>
      <c r="BB162" s="779"/>
      <c r="BC162" s="779"/>
      <c r="BD162" s="779"/>
      <c r="BE162" s="779"/>
      <c r="BF162" s="779"/>
      <c r="BG162" s="779"/>
      <c r="BH162" s="779"/>
      <c r="BI162" s="779"/>
      <c r="BJ162" s="779"/>
      <c r="BK162" s="779"/>
      <c r="BL162" s="779"/>
      <c r="BM162" s="779"/>
      <c r="BN162" s="779"/>
      <c r="BO162" s="779"/>
      <c r="BP162" s="779"/>
      <c r="BQ162" s="779"/>
      <c r="BR162" s="779"/>
      <c r="BS162" s="779"/>
      <c r="BT162" s="779"/>
      <c r="BU162" s="779"/>
      <c r="BV162" s="779"/>
      <c r="BW162" s="779"/>
      <c r="BX162" s="779"/>
      <c r="BY162" s="779"/>
      <c r="BZ162" s="779"/>
      <c r="CA162" s="779"/>
      <c r="CB162" s="779"/>
      <c r="CC162" s="779"/>
    </row>
    <row r="163" spans="1:81">
      <c r="A163" s="52"/>
      <c r="B163" s="776"/>
      <c r="C163" s="776"/>
      <c r="E163" s="776"/>
      <c r="F163" s="776"/>
      <c r="G163" s="776"/>
      <c r="H163" s="776"/>
      <c r="I163" s="776"/>
      <c r="J163" s="776"/>
      <c r="K163" s="776"/>
      <c r="L163" s="776"/>
      <c r="M163" s="776"/>
      <c r="N163" s="776"/>
      <c r="O163" s="776"/>
      <c r="P163" s="776"/>
      <c r="Q163" s="776"/>
      <c r="R163" s="776"/>
      <c r="S163" s="776"/>
      <c r="T163" s="776"/>
      <c r="U163" s="776"/>
      <c r="V163" s="776"/>
      <c r="W163" s="776"/>
      <c r="X163" s="776"/>
      <c r="Y163" s="776"/>
      <c r="Z163" s="776"/>
      <c r="AA163" s="13"/>
      <c r="AB163" s="776"/>
      <c r="AC163" s="776"/>
      <c r="AD163" s="23"/>
      <c r="AE163" s="776"/>
      <c r="AF163" s="776"/>
      <c r="AG163" s="776"/>
      <c r="AH163" s="776"/>
      <c r="AI163" s="776"/>
      <c r="AJ163" s="776"/>
      <c r="AK163" s="776"/>
      <c r="AL163" s="776"/>
      <c r="AM163" s="776"/>
      <c r="AN163" s="776"/>
      <c r="AO163" s="779"/>
      <c r="AP163" s="779"/>
      <c r="AQ163" s="779"/>
      <c r="AR163" s="779"/>
      <c r="AS163" s="779"/>
      <c r="AT163" s="779"/>
      <c r="AU163" s="779"/>
      <c r="AV163" s="779"/>
      <c r="AW163" s="779"/>
      <c r="AX163" s="779"/>
      <c r="AY163" s="779"/>
      <c r="AZ163" s="779"/>
      <c r="BA163" s="779"/>
      <c r="BB163" s="779"/>
      <c r="BC163" s="779"/>
      <c r="BD163" s="779"/>
      <c r="BE163" s="779"/>
      <c r="BF163" s="779"/>
      <c r="BG163" s="779"/>
      <c r="BH163" s="779"/>
      <c r="BI163" s="779"/>
      <c r="BJ163" s="779"/>
      <c r="BK163" s="779"/>
      <c r="BL163" s="779"/>
      <c r="BM163" s="779"/>
      <c r="BN163" s="779"/>
      <c r="BO163" s="779"/>
      <c r="BP163" s="779"/>
      <c r="BQ163" s="779"/>
      <c r="BR163" s="779"/>
      <c r="BS163" s="779"/>
      <c r="BT163" s="779"/>
      <c r="BU163" s="779"/>
      <c r="BV163" s="779"/>
      <c r="BW163" s="779"/>
      <c r="BX163" s="779"/>
      <c r="BY163" s="779"/>
      <c r="BZ163" s="779"/>
      <c r="CA163" s="779"/>
      <c r="CB163" s="779"/>
      <c r="CC163" s="779"/>
    </row>
    <row r="164" spans="1:81">
      <c r="A164" s="776"/>
      <c r="B164" s="776"/>
      <c r="C164" s="776"/>
      <c r="E164" s="776"/>
      <c r="F164" s="776"/>
      <c r="G164" s="776"/>
      <c r="H164" s="776"/>
      <c r="I164" s="776"/>
      <c r="J164" s="776"/>
      <c r="K164" s="776"/>
      <c r="L164" s="776"/>
      <c r="M164" s="776"/>
      <c r="N164" s="776"/>
      <c r="O164" s="776"/>
      <c r="P164" s="776"/>
      <c r="Q164" s="776"/>
      <c r="R164" s="776"/>
      <c r="S164" s="776"/>
      <c r="T164" s="776"/>
      <c r="U164" s="776"/>
      <c r="V164" s="776"/>
      <c r="W164" s="776"/>
      <c r="X164" s="776"/>
      <c r="Y164" s="776"/>
      <c r="Z164" s="776"/>
      <c r="AA164" s="13"/>
      <c r="AB164" s="776"/>
      <c r="AC164" s="776"/>
      <c r="AD164" s="23"/>
      <c r="AE164" s="776"/>
      <c r="AF164" s="776"/>
      <c r="AG164" s="776"/>
      <c r="AH164" s="776"/>
      <c r="AI164" s="776"/>
      <c r="AJ164" s="776"/>
      <c r="AK164" s="776"/>
      <c r="AL164" s="776"/>
      <c r="AM164" s="776"/>
      <c r="AN164" s="776"/>
      <c r="AO164" s="779"/>
      <c r="AP164" s="779"/>
      <c r="AQ164" s="779"/>
      <c r="AR164" s="779"/>
      <c r="AS164" s="779"/>
      <c r="AT164" s="779"/>
      <c r="AU164" s="779"/>
      <c r="AV164" s="779"/>
      <c r="AW164" s="779"/>
      <c r="AX164" s="779"/>
      <c r="AY164" s="779"/>
      <c r="AZ164" s="779"/>
      <c r="BA164" s="779"/>
      <c r="BB164" s="779"/>
      <c r="BC164" s="779"/>
      <c r="BD164" s="779"/>
      <c r="BE164" s="779"/>
      <c r="BF164" s="779"/>
      <c r="BG164" s="779"/>
      <c r="BH164" s="779"/>
      <c r="BI164" s="779"/>
      <c r="BJ164" s="779"/>
      <c r="BK164" s="779"/>
      <c r="BL164" s="779"/>
      <c r="BM164" s="779"/>
      <c r="BN164" s="779"/>
      <c r="BO164" s="779"/>
      <c r="BP164" s="779"/>
      <c r="BQ164" s="779"/>
      <c r="BR164" s="779"/>
      <c r="BS164" s="779"/>
      <c r="BT164" s="779"/>
      <c r="BU164" s="779"/>
      <c r="BV164" s="779"/>
      <c r="BW164" s="779"/>
      <c r="BX164" s="779"/>
      <c r="BY164" s="779"/>
      <c r="BZ164" s="779"/>
      <c r="CA164" s="779"/>
      <c r="CB164" s="779"/>
      <c r="CC164" s="779"/>
    </row>
    <row r="165" spans="1:81">
      <c r="A165" s="776"/>
      <c r="B165" s="776"/>
      <c r="C165" s="776"/>
      <c r="E165" s="776"/>
      <c r="F165" s="776"/>
      <c r="G165" s="776"/>
      <c r="H165" s="776"/>
      <c r="I165" s="776"/>
      <c r="J165" s="776"/>
      <c r="K165" s="776"/>
      <c r="L165" s="776"/>
      <c r="M165" s="776"/>
      <c r="N165" s="776"/>
      <c r="O165" s="776"/>
      <c r="P165" s="776"/>
      <c r="Q165" s="776"/>
      <c r="R165" s="776"/>
      <c r="S165" s="776"/>
      <c r="T165" s="776"/>
      <c r="U165" s="776"/>
      <c r="V165" s="776"/>
      <c r="W165" s="776"/>
      <c r="X165" s="776"/>
      <c r="Y165" s="776"/>
      <c r="Z165" s="776"/>
      <c r="AA165" s="13"/>
      <c r="AB165" s="776"/>
      <c r="AC165" s="776"/>
      <c r="AD165" s="23"/>
      <c r="AE165" s="776"/>
      <c r="AF165" s="776"/>
      <c r="AG165" s="776"/>
      <c r="AH165" s="776"/>
      <c r="AI165" s="776"/>
      <c r="AJ165" s="776"/>
      <c r="AK165" s="776"/>
      <c r="AL165" s="776"/>
      <c r="AM165" s="776"/>
      <c r="AN165" s="776"/>
      <c r="AO165" s="779"/>
      <c r="AP165" s="779"/>
      <c r="AQ165" s="779"/>
      <c r="AR165" s="779"/>
      <c r="AS165" s="779"/>
      <c r="AT165" s="779"/>
      <c r="AU165" s="779"/>
      <c r="AV165" s="779"/>
      <c r="AW165" s="779"/>
      <c r="AX165" s="779"/>
      <c r="AY165" s="779"/>
      <c r="AZ165" s="779"/>
      <c r="BA165" s="779"/>
      <c r="BB165" s="779"/>
      <c r="BC165" s="779"/>
      <c r="BD165" s="779"/>
      <c r="BE165" s="779"/>
      <c r="BF165" s="779"/>
      <c r="BG165" s="779"/>
      <c r="BH165" s="779"/>
      <c r="BI165" s="779"/>
      <c r="BJ165" s="779"/>
      <c r="BK165" s="779"/>
      <c r="BL165" s="779"/>
      <c r="BM165" s="779"/>
      <c r="BN165" s="779"/>
      <c r="BO165" s="779"/>
      <c r="BP165" s="779"/>
      <c r="BQ165" s="779"/>
      <c r="BR165" s="779"/>
      <c r="BS165" s="779"/>
      <c r="BT165" s="779"/>
      <c r="BU165" s="779"/>
      <c r="BV165" s="779"/>
      <c r="BW165" s="779"/>
      <c r="BX165" s="779"/>
      <c r="BY165" s="779"/>
      <c r="BZ165" s="779"/>
      <c r="CA165" s="779"/>
      <c r="CB165" s="779"/>
      <c r="CC165" s="779"/>
    </row>
    <row r="166" spans="1:81">
      <c r="A166" s="776"/>
      <c r="B166" s="776"/>
      <c r="C166" s="776"/>
      <c r="E166" s="776"/>
      <c r="F166" s="776"/>
      <c r="G166" s="776"/>
      <c r="H166" s="776"/>
      <c r="I166" s="776"/>
      <c r="J166" s="776"/>
      <c r="K166" s="776"/>
      <c r="L166" s="776"/>
      <c r="M166" s="776"/>
      <c r="N166" s="776"/>
      <c r="O166" s="776"/>
      <c r="P166" s="776"/>
      <c r="Q166" s="776"/>
      <c r="R166" s="776"/>
      <c r="S166" s="776"/>
      <c r="T166" s="776"/>
      <c r="U166" s="776"/>
      <c r="V166" s="776"/>
      <c r="W166" s="776"/>
      <c r="X166" s="776"/>
      <c r="Y166" s="776"/>
      <c r="Z166" s="776"/>
      <c r="AA166" s="13"/>
      <c r="AB166" s="776"/>
      <c r="AC166" s="776"/>
      <c r="AD166" s="23"/>
      <c r="AE166" s="776"/>
      <c r="AF166" s="776"/>
      <c r="AG166" s="776"/>
      <c r="AH166" s="776"/>
      <c r="AI166" s="776"/>
      <c r="AJ166" s="776"/>
      <c r="AK166" s="776"/>
      <c r="AL166" s="776"/>
      <c r="AM166" s="776"/>
      <c r="AN166" s="776"/>
      <c r="AO166" s="779"/>
      <c r="AP166" s="779"/>
      <c r="AQ166" s="779"/>
      <c r="AR166" s="779"/>
      <c r="AS166" s="779"/>
      <c r="AT166" s="779"/>
      <c r="AU166" s="779"/>
      <c r="AV166" s="779"/>
      <c r="AW166" s="779"/>
      <c r="AX166" s="779"/>
      <c r="AY166" s="779"/>
      <c r="AZ166" s="779"/>
      <c r="BA166" s="779"/>
      <c r="BB166" s="779"/>
      <c r="BC166" s="779"/>
      <c r="BD166" s="779"/>
      <c r="BE166" s="779"/>
      <c r="BF166" s="779"/>
      <c r="BG166" s="779"/>
      <c r="BH166" s="779"/>
      <c r="BI166" s="779"/>
      <c r="BJ166" s="779"/>
      <c r="BK166" s="779"/>
      <c r="BL166" s="779"/>
      <c r="BM166" s="779"/>
      <c r="BN166" s="779"/>
      <c r="BO166" s="779"/>
      <c r="BP166" s="779"/>
      <c r="BQ166" s="779"/>
      <c r="BR166" s="779"/>
      <c r="BS166" s="779"/>
      <c r="BT166" s="779"/>
      <c r="BU166" s="779"/>
      <c r="BV166" s="779"/>
      <c r="BW166" s="779"/>
      <c r="BX166" s="779"/>
      <c r="BY166" s="779"/>
      <c r="BZ166" s="779"/>
      <c r="CA166" s="779"/>
      <c r="CB166" s="779"/>
      <c r="CC166" s="779"/>
    </row>
    <row r="167" spans="1:81">
      <c r="A167" s="776"/>
      <c r="B167" s="776"/>
      <c r="C167" s="776"/>
      <c r="E167" s="776"/>
      <c r="F167" s="776"/>
      <c r="G167" s="776"/>
      <c r="H167" s="776"/>
      <c r="I167" s="776"/>
      <c r="J167" s="776"/>
      <c r="K167" s="776"/>
      <c r="L167" s="776"/>
      <c r="M167" s="776"/>
      <c r="N167" s="776"/>
      <c r="O167" s="776"/>
      <c r="P167" s="776"/>
      <c r="Q167" s="776"/>
      <c r="R167" s="776"/>
      <c r="S167" s="776"/>
      <c r="T167" s="776"/>
      <c r="U167" s="776"/>
      <c r="V167" s="776"/>
      <c r="W167" s="776"/>
      <c r="X167" s="776"/>
      <c r="Y167" s="776"/>
      <c r="Z167" s="776"/>
      <c r="AA167" s="13"/>
      <c r="AB167" s="776"/>
      <c r="AC167" s="776"/>
      <c r="AD167" s="23"/>
      <c r="AE167" s="776"/>
      <c r="AF167" s="776"/>
      <c r="AG167" s="776"/>
      <c r="AH167" s="776"/>
      <c r="AI167" s="776"/>
      <c r="AJ167" s="776"/>
      <c r="AK167" s="776"/>
      <c r="AL167" s="776"/>
      <c r="AM167" s="776"/>
      <c r="AN167" s="776"/>
      <c r="AO167" s="779"/>
      <c r="AP167" s="779"/>
      <c r="AQ167" s="779"/>
      <c r="AR167" s="779"/>
      <c r="AS167" s="779"/>
      <c r="AT167" s="779"/>
      <c r="AU167" s="779"/>
      <c r="AV167" s="779"/>
      <c r="AW167" s="779"/>
      <c r="AX167" s="779"/>
      <c r="AY167" s="779"/>
      <c r="AZ167" s="779"/>
      <c r="BA167" s="779"/>
      <c r="BB167" s="779"/>
      <c r="BC167" s="779"/>
      <c r="BD167" s="779"/>
      <c r="BE167" s="779"/>
      <c r="BF167" s="779"/>
      <c r="BG167" s="779"/>
      <c r="BH167" s="779"/>
      <c r="BI167" s="779"/>
      <c r="BJ167" s="779"/>
      <c r="BK167" s="779"/>
      <c r="BL167" s="779"/>
      <c r="BM167" s="779"/>
      <c r="BN167" s="779"/>
      <c r="BO167" s="779"/>
      <c r="BP167" s="779"/>
      <c r="BQ167" s="779"/>
      <c r="BR167" s="779"/>
      <c r="BS167" s="779"/>
      <c r="BT167" s="779"/>
      <c r="BU167" s="779"/>
      <c r="BV167" s="779"/>
      <c r="BW167" s="779"/>
      <c r="BX167" s="779"/>
      <c r="BY167" s="779"/>
      <c r="BZ167" s="779"/>
      <c r="CA167" s="779"/>
      <c r="CB167" s="779"/>
      <c r="CC167" s="779"/>
    </row>
    <row r="168" spans="1:81">
      <c r="A168" s="776"/>
      <c r="B168" s="776"/>
      <c r="C168" s="776"/>
      <c r="E168" s="776"/>
      <c r="F168" s="776"/>
      <c r="G168" s="776"/>
      <c r="H168" s="776"/>
      <c r="I168" s="776"/>
      <c r="J168" s="776"/>
      <c r="K168" s="776"/>
      <c r="L168" s="776"/>
      <c r="M168" s="776"/>
      <c r="N168" s="776"/>
      <c r="O168" s="776"/>
      <c r="P168" s="776"/>
      <c r="Q168" s="776"/>
      <c r="R168" s="776"/>
      <c r="S168" s="776"/>
      <c r="T168" s="776"/>
      <c r="U168" s="776"/>
      <c r="V168" s="776"/>
      <c r="W168" s="776"/>
      <c r="X168" s="776"/>
      <c r="Y168" s="776"/>
      <c r="Z168" s="776"/>
      <c r="AA168" s="13"/>
      <c r="AB168" s="776"/>
      <c r="AC168" s="776"/>
      <c r="AD168" s="23"/>
      <c r="AE168" s="776"/>
      <c r="AF168" s="776"/>
      <c r="AG168" s="776"/>
      <c r="AH168" s="776"/>
      <c r="AI168" s="776"/>
      <c r="AJ168" s="776"/>
      <c r="AK168" s="776"/>
      <c r="AL168" s="776"/>
      <c r="AM168" s="776"/>
      <c r="AN168" s="776"/>
      <c r="AO168" s="779"/>
      <c r="AP168" s="779"/>
      <c r="AQ168" s="779"/>
      <c r="AR168" s="779"/>
      <c r="AS168" s="779"/>
      <c r="AT168" s="779"/>
      <c r="AU168" s="779"/>
      <c r="AV168" s="779"/>
      <c r="AW168" s="779"/>
      <c r="AX168" s="779"/>
      <c r="AY168" s="779"/>
      <c r="AZ168" s="779"/>
      <c r="BA168" s="779"/>
      <c r="BB168" s="779"/>
      <c r="BC168" s="779"/>
      <c r="BD168" s="779"/>
      <c r="BE168" s="779"/>
      <c r="BF168" s="779"/>
      <c r="BG168" s="779"/>
      <c r="BH168" s="779"/>
      <c r="BI168" s="779"/>
      <c r="BJ168" s="779"/>
      <c r="BK168" s="779"/>
      <c r="BL168" s="779"/>
      <c r="BM168" s="779"/>
      <c r="BN168" s="779"/>
      <c r="BO168" s="779"/>
      <c r="BP168" s="779"/>
      <c r="BQ168" s="779"/>
      <c r="BR168" s="779"/>
      <c r="BS168" s="779"/>
      <c r="BT168" s="779"/>
      <c r="BU168" s="779"/>
      <c r="BV168" s="779"/>
      <c r="BW168" s="779"/>
      <c r="BX168" s="779"/>
      <c r="BY168" s="779"/>
      <c r="BZ168" s="779"/>
      <c r="CA168" s="779"/>
      <c r="CB168" s="779"/>
      <c r="CC168" s="779"/>
    </row>
    <row r="169" spans="1:81">
      <c r="A169" s="776"/>
      <c r="B169" s="776"/>
      <c r="C169" s="776"/>
      <c r="E169" s="776"/>
      <c r="F169" s="776"/>
      <c r="G169" s="776"/>
      <c r="H169" s="776"/>
      <c r="I169" s="776"/>
      <c r="J169" s="776"/>
      <c r="K169" s="776"/>
      <c r="L169" s="776"/>
      <c r="M169" s="776"/>
      <c r="N169" s="776"/>
      <c r="O169" s="776"/>
      <c r="P169" s="776"/>
      <c r="Q169" s="776"/>
      <c r="R169" s="776"/>
      <c r="S169" s="776"/>
      <c r="T169" s="776"/>
      <c r="U169" s="776"/>
      <c r="V169" s="776"/>
      <c r="W169" s="776"/>
      <c r="X169" s="776"/>
      <c r="Y169" s="776"/>
      <c r="Z169" s="776"/>
      <c r="AA169" s="13"/>
      <c r="AB169" s="776"/>
      <c r="AC169" s="776"/>
      <c r="AD169" s="23"/>
      <c r="AE169" s="776"/>
      <c r="AF169" s="776"/>
      <c r="AG169" s="776"/>
      <c r="AH169" s="776"/>
      <c r="AI169" s="776"/>
      <c r="AJ169" s="776"/>
      <c r="AK169" s="776"/>
      <c r="AL169" s="776"/>
      <c r="AM169" s="776"/>
      <c r="AN169" s="776"/>
      <c r="AO169" s="779"/>
      <c r="AP169" s="779"/>
      <c r="AQ169" s="779"/>
      <c r="AR169" s="779"/>
      <c r="AS169" s="779"/>
      <c r="AT169" s="779"/>
      <c r="AU169" s="779"/>
      <c r="AV169" s="779"/>
      <c r="AW169" s="779"/>
      <c r="AX169" s="779"/>
      <c r="AY169" s="779"/>
      <c r="AZ169" s="779"/>
      <c r="BA169" s="779"/>
      <c r="BB169" s="779"/>
      <c r="BC169" s="779"/>
      <c r="BD169" s="779"/>
      <c r="BE169" s="779"/>
      <c r="BF169" s="779"/>
      <c r="BG169" s="779"/>
      <c r="BH169" s="779"/>
      <c r="BI169" s="779"/>
      <c r="BJ169" s="779"/>
      <c r="BK169" s="779"/>
      <c r="BL169" s="779"/>
      <c r="BM169" s="779"/>
      <c r="BN169" s="779"/>
      <c r="BO169" s="779"/>
      <c r="BP169" s="779"/>
      <c r="BQ169" s="779"/>
      <c r="BR169" s="779"/>
      <c r="BS169" s="779"/>
      <c r="BT169" s="779"/>
      <c r="BU169" s="779"/>
      <c r="BV169" s="779"/>
      <c r="BW169" s="779"/>
      <c r="BX169" s="779"/>
      <c r="BY169" s="779"/>
      <c r="BZ169" s="779"/>
      <c r="CA169" s="779"/>
      <c r="CB169" s="779"/>
      <c r="CC169" s="779"/>
    </row>
    <row r="170" spans="1:81">
      <c r="A170" s="776"/>
      <c r="B170" s="776"/>
      <c r="C170" s="776"/>
      <c r="E170" s="776"/>
      <c r="F170" s="776"/>
      <c r="G170" s="776"/>
      <c r="H170" s="776"/>
      <c r="I170" s="776"/>
      <c r="J170" s="776"/>
      <c r="K170" s="776"/>
      <c r="L170" s="776"/>
      <c r="M170" s="776"/>
      <c r="N170" s="776"/>
      <c r="O170" s="776"/>
      <c r="P170" s="776"/>
      <c r="Q170" s="776"/>
      <c r="R170" s="776"/>
      <c r="S170" s="776"/>
      <c r="T170" s="776"/>
      <c r="U170" s="776"/>
      <c r="V170" s="776"/>
      <c r="W170" s="776"/>
      <c r="X170" s="776"/>
      <c r="Y170" s="776"/>
      <c r="Z170" s="776"/>
      <c r="AA170" s="13"/>
      <c r="AB170" s="776"/>
      <c r="AC170" s="776"/>
      <c r="AD170" s="23"/>
      <c r="AE170" s="776"/>
      <c r="AF170" s="776"/>
      <c r="AG170" s="776"/>
      <c r="AH170" s="776"/>
      <c r="AI170" s="776"/>
      <c r="AJ170" s="776"/>
      <c r="AK170" s="776"/>
      <c r="AL170" s="776"/>
      <c r="AM170" s="776"/>
      <c r="AN170" s="776"/>
      <c r="AO170" s="779"/>
      <c r="AP170" s="779"/>
      <c r="AQ170" s="779"/>
      <c r="AR170" s="779"/>
      <c r="AS170" s="779"/>
      <c r="AT170" s="779"/>
      <c r="AU170" s="779"/>
      <c r="AV170" s="779"/>
      <c r="AW170" s="779"/>
      <c r="AX170" s="779"/>
      <c r="AY170" s="779"/>
      <c r="AZ170" s="779"/>
      <c r="BA170" s="779"/>
      <c r="BB170" s="779"/>
      <c r="BC170" s="779"/>
      <c r="BD170" s="779"/>
      <c r="BE170" s="779"/>
      <c r="BF170" s="779"/>
      <c r="BG170" s="779"/>
      <c r="BH170" s="779"/>
      <c r="BI170" s="779"/>
      <c r="BJ170" s="779"/>
      <c r="BK170" s="779"/>
      <c r="BL170" s="779"/>
      <c r="BM170" s="779"/>
      <c r="BN170" s="779"/>
      <c r="BO170" s="779"/>
      <c r="BP170" s="779"/>
      <c r="BQ170" s="779"/>
      <c r="BR170" s="779"/>
      <c r="BS170" s="779"/>
      <c r="BT170" s="779"/>
      <c r="BU170" s="779"/>
      <c r="BV170" s="779"/>
      <c r="BW170" s="779"/>
      <c r="BX170" s="779"/>
      <c r="BY170" s="779"/>
      <c r="BZ170" s="779"/>
      <c r="CA170" s="779"/>
      <c r="CB170" s="779"/>
      <c r="CC170" s="779"/>
    </row>
    <row r="171" spans="1:81">
      <c r="A171" s="776"/>
      <c r="B171" s="776"/>
      <c r="C171" s="776"/>
      <c r="E171" s="776"/>
      <c r="F171" s="776"/>
      <c r="G171" s="776"/>
      <c r="H171" s="776"/>
      <c r="I171" s="776"/>
      <c r="J171" s="776"/>
      <c r="K171" s="776"/>
      <c r="L171" s="776"/>
      <c r="M171" s="776"/>
      <c r="N171" s="776"/>
      <c r="O171" s="776"/>
      <c r="P171" s="776"/>
      <c r="Q171" s="776"/>
      <c r="R171" s="776"/>
      <c r="S171" s="776"/>
      <c r="T171" s="776"/>
      <c r="U171" s="776"/>
      <c r="V171" s="776"/>
      <c r="W171" s="776"/>
      <c r="X171" s="776"/>
      <c r="Y171" s="776"/>
      <c r="Z171" s="776"/>
      <c r="AA171" s="13"/>
      <c r="AB171" s="776"/>
      <c r="AC171" s="776"/>
      <c r="AD171" s="23"/>
      <c r="AE171" s="776"/>
      <c r="AF171" s="776"/>
      <c r="AG171" s="776"/>
      <c r="AH171" s="776"/>
      <c r="AI171" s="776"/>
      <c r="AJ171" s="776"/>
      <c r="AK171" s="776"/>
      <c r="AL171" s="776"/>
      <c r="AM171" s="776"/>
      <c r="AN171" s="776"/>
      <c r="AO171" s="779"/>
      <c r="AP171" s="779"/>
      <c r="AQ171" s="779"/>
      <c r="AR171" s="779"/>
      <c r="AS171" s="779"/>
      <c r="AT171" s="779"/>
      <c r="AU171" s="779"/>
      <c r="AV171" s="779"/>
      <c r="AW171" s="779"/>
      <c r="AX171" s="779"/>
      <c r="AY171" s="779"/>
      <c r="AZ171" s="779"/>
      <c r="BA171" s="779"/>
      <c r="BB171" s="779"/>
      <c r="BC171" s="779"/>
      <c r="BD171" s="779"/>
      <c r="BE171" s="779"/>
      <c r="BF171" s="779"/>
      <c r="BG171" s="779"/>
      <c r="BH171" s="779"/>
      <c r="BI171" s="779"/>
      <c r="BJ171" s="779"/>
      <c r="BK171" s="779"/>
      <c r="BL171" s="779"/>
      <c r="BM171" s="779"/>
      <c r="BN171" s="779"/>
      <c r="BO171" s="779"/>
      <c r="BP171" s="779"/>
      <c r="BQ171" s="779"/>
      <c r="BR171" s="779"/>
      <c r="BS171" s="779"/>
      <c r="BT171" s="779"/>
      <c r="BU171" s="779"/>
      <c r="BV171" s="779"/>
      <c r="BW171" s="779"/>
      <c r="BX171" s="779"/>
      <c r="BY171" s="779"/>
      <c r="BZ171" s="779"/>
      <c r="CA171" s="779"/>
      <c r="CB171" s="779"/>
      <c r="CC171" s="779"/>
    </row>
    <row r="172" spans="1:81">
      <c r="A172" s="776"/>
      <c r="B172" s="776"/>
      <c r="C172" s="776"/>
      <c r="E172" s="776"/>
      <c r="F172" s="776"/>
      <c r="G172" s="776"/>
      <c r="H172" s="776"/>
      <c r="I172" s="776"/>
      <c r="J172" s="776"/>
      <c r="K172" s="776"/>
      <c r="L172" s="776"/>
      <c r="M172" s="776"/>
      <c r="N172" s="776"/>
      <c r="O172" s="776"/>
      <c r="P172" s="776"/>
      <c r="Q172" s="776"/>
      <c r="R172" s="776"/>
      <c r="S172" s="776"/>
      <c r="T172" s="776"/>
      <c r="U172" s="776"/>
      <c r="V172" s="776"/>
      <c r="W172" s="776"/>
      <c r="X172" s="776"/>
      <c r="Y172" s="776"/>
      <c r="Z172" s="776"/>
      <c r="AA172" s="13"/>
      <c r="AB172" s="776"/>
      <c r="AC172" s="776"/>
      <c r="AD172" s="779"/>
      <c r="AE172" s="779"/>
      <c r="AF172" s="779"/>
      <c r="AG172" s="779"/>
      <c r="AH172" s="779"/>
      <c r="AI172" s="779"/>
      <c r="AJ172" s="779"/>
      <c r="AK172" s="779"/>
      <c r="AL172" s="779"/>
      <c r="AM172" s="779"/>
      <c r="AN172" s="779"/>
      <c r="AO172" s="779"/>
      <c r="AP172" s="779"/>
      <c r="AQ172" s="779"/>
      <c r="AR172" s="779"/>
      <c r="AS172" s="779"/>
      <c r="AT172" s="779"/>
      <c r="AU172" s="779"/>
      <c r="AV172" s="779"/>
      <c r="AW172" s="779"/>
      <c r="AX172" s="779"/>
      <c r="AY172" s="779"/>
      <c r="AZ172" s="779"/>
      <c r="BA172" s="779"/>
      <c r="BB172" s="779"/>
      <c r="BC172" s="779"/>
      <c r="BD172" s="779"/>
      <c r="BE172" s="779"/>
      <c r="BF172" s="779"/>
      <c r="BG172" s="779"/>
      <c r="BH172" s="779"/>
      <c r="BI172" s="779"/>
      <c r="BJ172" s="779"/>
      <c r="BK172" s="779"/>
      <c r="BL172" s="779"/>
      <c r="BM172" s="779"/>
      <c r="BN172" s="779"/>
      <c r="BO172" s="779"/>
      <c r="BP172" s="779"/>
      <c r="BQ172" s="779"/>
      <c r="BR172" s="779"/>
      <c r="BS172" s="779"/>
      <c r="BT172" s="779"/>
      <c r="BU172" s="779"/>
      <c r="BV172" s="779"/>
      <c r="BW172" s="779"/>
      <c r="BX172" s="779"/>
      <c r="BY172" s="779"/>
      <c r="BZ172" s="779"/>
      <c r="CA172" s="779"/>
      <c r="CB172" s="779"/>
      <c r="CC172" s="779"/>
    </row>
    <row r="173" spans="1:81">
      <c r="A173" s="776"/>
      <c r="B173" s="776"/>
      <c r="C173" s="776"/>
      <c r="E173" s="776"/>
      <c r="F173" s="776"/>
      <c r="G173" s="776"/>
      <c r="H173" s="776"/>
      <c r="I173" s="776"/>
      <c r="J173" s="776"/>
      <c r="K173" s="776"/>
      <c r="L173" s="776"/>
      <c r="M173" s="776"/>
      <c r="N173" s="776"/>
      <c r="O173" s="776"/>
      <c r="P173" s="776"/>
      <c r="Q173" s="776"/>
      <c r="R173" s="776"/>
      <c r="S173" s="776"/>
      <c r="T173" s="776"/>
      <c r="U173" s="776"/>
      <c r="V173" s="776"/>
      <c r="W173" s="776"/>
      <c r="X173" s="776"/>
      <c r="Y173" s="776"/>
      <c r="Z173" s="776"/>
      <c r="AA173" s="13"/>
      <c r="AB173" s="776"/>
      <c r="AC173" s="776"/>
      <c r="AD173" s="779"/>
      <c r="AE173" s="779"/>
      <c r="AF173" s="779"/>
      <c r="AG173" s="779"/>
      <c r="AH173" s="779"/>
      <c r="AI173" s="779"/>
      <c r="AJ173" s="779"/>
      <c r="AK173" s="779"/>
      <c r="AL173" s="779"/>
      <c r="AM173" s="779"/>
      <c r="AN173" s="779"/>
      <c r="AO173" s="779"/>
      <c r="AP173" s="779"/>
      <c r="AQ173" s="779"/>
      <c r="AR173" s="779"/>
      <c r="AS173" s="779"/>
      <c r="AT173" s="779"/>
      <c r="AU173" s="779"/>
      <c r="AV173" s="779"/>
      <c r="AW173" s="779"/>
      <c r="AX173" s="779"/>
      <c r="AY173" s="779"/>
      <c r="AZ173" s="779"/>
      <c r="BA173" s="779"/>
      <c r="BB173" s="779"/>
      <c r="BC173" s="779"/>
      <c r="BD173" s="779"/>
      <c r="BE173" s="779"/>
      <c r="BF173" s="779"/>
      <c r="BG173" s="779"/>
      <c r="BH173" s="779"/>
      <c r="BI173" s="779"/>
      <c r="BJ173" s="779"/>
      <c r="BK173" s="779"/>
      <c r="BL173" s="779"/>
      <c r="BM173" s="779"/>
      <c r="BN173" s="779"/>
      <c r="BO173" s="779"/>
      <c r="BP173" s="779"/>
      <c r="BQ173" s="779"/>
      <c r="BR173" s="779"/>
      <c r="BS173" s="779"/>
      <c r="BT173" s="779"/>
      <c r="BU173" s="779"/>
      <c r="BV173" s="779"/>
      <c r="BW173" s="779"/>
      <c r="BX173" s="779"/>
      <c r="BY173" s="779"/>
      <c r="BZ173" s="779"/>
      <c r="CA173" s="779"/>
      <c r="CB173" s="779"/>
      <c r="CC173" s="779"/>
    </row>
    <row r="174" spans="1:81">
      <c r="A174" s="776"/>
      <c r="B174" s="776"/>
      <c r="C174" s="776"/>
      <c r="E174" s="776"/>
      <c r="F174" s="776"/>
      <c r="G174" s="776"/>
      <c r="H174" s="776"/>
      <c r="I174" s="776"/>
      <c r="J174" s="776"/>
      <c r="K174" s="776"/>
      <c r="L174" s="776"/>
      <c r="M174" s="776"/>
      <c r="N174" s="776"/>
      <c r="O174" s="776"/>
      <c r="P174" s="776"/>
      <c r="Q174" s="776"/>
      <c r="R174" s="776"/>
      <c r="S174" s="776"/>
      <c r="T174" s="776"/>
      <c r="U174" s="776"/>
      <c r="V174" s="776"/>
      <c r="W174" s="776"/>
      <c r="X174" s="776"/>
      <c r="Y174" s="776"/>
      <c r="Z174" s="776"/>
      <c r="AA174" s="13"/>
      <c r="AB174" s="776"/>
      <c r="AC174" s="776"/>
      <c r="AD174" s="779"/>
      <c r="AE174" s="779"/>
      <c r="AF174" s="779"/>
      <c r="AG174" s="779"/>
      <c r="AH174" s="779"/>
      <c r="AI174" s="779"/>
      <c r="AJ174" s="779"/>
      <c r="AK174" s="779"/>
      <c r="AL174" s="779"/>
      <c r="AM174" s="779"/>
      <c r="AN174" s="779"/>
      <c r="AO174" s="779"/>
      <c r="AP174" s="779"/>
      <c r="AQ174" s="779"/>
      <c r="AR174" s="779"/>
      <c r="AS174" s="779"/>
      <c r="AT174" s="779"/>
      <c r="AU174" s="779"/>
      <c r="AV174" s="779"/>
      <c r="AW174" s="779"/>
      <c r="AX174" s="779"/>
      <c r="AY174" s="779"/>
      <c r="AZ174" s="779"/>
      <c r="BA174" s="779"/>
      <c r="BB174" s="779"/>
      <c r="BC174" s="779"/>
      <c r="BD174" s="779"/>
      <c r="BE174" s="779"/>
      <c r="BF174" s="779"/>
      <c r="BG174" s="779"/>
      <c r="BH174" s="779"/>
      <c r="BI174" s="779"/>
      <c r="BJ174" s="779"/>
      <c r="BK174" s="779"/>
      <c r="BL174" s="779"/>
      <c r="BM174" s="779"/>
      <c r="BN174" s="779"/>
      <c r="BO174" s="779"/>
      <c r="BP174" s="779"/>
      <c r="BQ174" s="779"/>
      <c r="BR174" s="779"/>
      <c r="BS174" s="779"/>
      <c r="BT174" s="779"/>
      <c r="BU174" s="779"/>
      <c r="BV174" s="779"/>
      <c r="BW174" s="779"/>
      <c r="BX174" s="779"/>
      <c r="BY174" s="779"/>
      <c r="BZ174" s="779"/>
      <c r="CA174" s="779"/>
      <c r="CB174" s="779"/>
      <c r="CC174" s="779"/>
    </row>
    <row r="175" spans="1:81">
      <c r="A175" s="776"/>
      <c r="B175" s="776"/>
      <c r="C175" s="776"/>
      <c r="E175" s="776"/>
      <c r="F175" s="776"/>
      <c r="G175" s="776"/>
      <c r="H175" s="776"/>
      <c r="I175" s="776"/>
      <c r="J175" s="776"/>
      <c r="K175" s="776"/>
      <c r="L175" s="776"/>
      <c r="M175" s="776"/>
      <c r="N175" s="776"/>
      <c r="O175" s="776"/>
      <c r="P175" s="776"/>
      <c r="Q175" s="776"/>
      <c r="R175" s="776"/>
      <c r="S175" s="776"/>
      <c r="T175" s="776"/>
      <c r="U175" s="776"/>
      <c r="V175" s="776"/>
      <c r="W175" s="776"/>
      <c r="X175" s="776"/>
      <c r="Y175" s="776"/>
      <c r="Z175" s="776"/>
      <c r="AA175" s="13"/>
      <c r="AB175" s="776"/>
      <c r="AC175" s="776"/>
      <c r="AD175" s="779"/>
      <c r="AE175" s="779"/>
      <c r="AF175" s="779"/>
      <c r="AG175" s="779"/>
      <c r="AH175" s="779"/>
      <c r="AI175" s="779"/>
      <c r="AJ175" s="779"/>
      <c r="AK175" s="779"/>
      <c r="AL175" s="779"/>
      <c r="AM175" s="779"/>
      <c r="AN175" s="779"/>
      <c r="AO175" s="779"/>
      <c r="AP175" s="779"/>
      <c r="AQ175" s="779"/>
      <c r="AR175" s="779"/>
      <c r="AS175" s="779"/>
      <c r="AT175" s="779"/>
      <c r="AU175" s="779"/>
      <c r="AV175" s="779"/>
      <c r="AW175" s="779"/>
      <c r="AX175" s="779"/>
      <c r="AY175" s="779"/>
      <c r="AZ175" s="779"/>
      <c r="BA175" s="779"/>
      <c r="BB175" s="779"/>
      <c r="BC175" s="779"/>
      <c r="BD175" s="779"/>
      <c r="BE175" s="779"/>
      <c r="BF175" s="779"/>
      <c r="BG175" s="779"/>
      <c r="BH175" s="779"/>
      <c r="BI175" s="779"/>
      <c r="BJ175" s="779"/>
      <c r="BK175" s="779"/>
      <c r="BL175" s="779"/>
      <c r="BM175" s="779"/>
      <c r="BN175" s="779"/>
      <c r="BO175" s="779"/>
      <c r="BP175" s="779"/>
      <c r="BQ175" s="779"/>
      <c r="BR175" s="779"/>
      <c r="BS175" s="779"/>
      <c r="BT175" s="779"/>
      <c r="BU175" s="779"/>
      <c r="BV175" s="779"/>
      <c r="BW175" s="779"/>
      <c r="BX175" s="779"/>
      <c r="BY175" s="779"/>
      <c r="BZ175" s="779"/>
      <c r="CA175" s="779"/>
      <c r="CB175" s="779"/>
      <c r="CC175" s="779"/>
    </row>
    <row r="176" spans="1:81">
      <c r="A176" s="776"/>
      <c r="B176" s="776"/>
      <c r="C176" s="776"/>
      <c r="E176" s="776"/>
      <c r="F176" s="776"/>
      <c r="G176" s="776"/>
      <c r="H176" s="776"/>
      <c r="I176" s="776"/>
      <c r="J176" s="776"/>
      <c r="K176" s="776"/>
      <c r="L176" s="776"/>
      <c r="M176" s="776"/>
      <c r="N176" s="776"/>
      <c r="O176" s="776"/>
      <c r="P176" s="776"/>
      <c r="Q176" s="776"/>
      <c r="R176" s="776"/>
      <c r="S176" s="776"/>
      <c r="T176" s="776"/>
      <c r="U176" s="776"/>
      <c r="V176" s="776"/>
      <c r="W176" s="776"/>
      <c r="X176" s="776"/>
      <c r="Y176" s="776"/>
      <c r="Z176" s="776"/>
      <c r="AA176" s="13"/>
      <c r="AB176" s="776"/>
      <c r="AC176" s="776"/>
      <c r="AD176" s="779"/>
      <c r="AE176" s="779"/>
      <c r="AF176" s="779"/>
      <c r="AG176" s="779"/>
      <c r="AH176" s="779"/>
      <c r="AI176" s="779"/>
      <c r="AJ176" s="779"/>
      <c r="AK176" s="779"/>
      <c r="AL176" s="779"/>
      <c r="AM176" s="779"/>
      <c r="AN176" s="779"/>
      <c r="AO176" s="779"/>
      <c r="AP176" s="779"/>
      <c r="AQ176" s="779"/>
      <c r="AR176" s="779"/>
      <c r="AS176" s="779"/>
      <c r="AT176" s="779"/>
      <c r="AU176" s="779"/>
      <c r="AV176" s="779"/>
      <c r="AW176" s="779"/>
      <c r="AX176" s="779"/>
      <c r="AY176" s="779"/>
      <c r="AZ176" s="779"/>
      <c r="BA176" s="779"/>
      <c r="BB176" s="779"/>
      <c r="BC176" s="779"/>
      <c r="BD176" s="779"/>
      <c r="BE176" s="779"/>
      <c r="BF176" s="779"/>
      <c r="BG176" s="779"/>
      <c r="BH176" s="779"/>
      <c r="BI176" s="779"/>
      <c r="BJ176" s="779"/>
      <c r="BK176" s="779"/>
      <c r="BL176" s="779"/>
      <c r="BM176" s="779"/>
      <c r="BN176" s="779"/>
      <c r="BO176" s="779"/>
      <c r="BP176" s="779"/>
      <c r="BQ176" s="779"/>
      <c r="BR176" s="779"/>
      <c r="BS176" s="779"/>
      <c r="BT176" s="779"/>
      <c r="BU176" s="779"/>
      <c r="BV176" s="779"/>
      <c r="BW176" s="779"/>
      <c r="BX176" s="779"/>
      <c r="BY176" s="779"/>
      <c r="BZ176" s="779"/>
      <c r="CA176" s="779"/>
      <c r="CB176" s="779"/>
      <c r="CC176" s="779"/>
    </row>
    <row r="177" spans="14:81">
      <c r="N177" s="776"/>
      <c r="O177" s="776"/>
      <c r="P177" s="776"/>
      <c r="Q177" s="776"/>
      <c r="R177" s="776"/>
      <c r="S177" s="776"/>
      <c r="T177" s="776"/>
      <c r="U177" s="776"/>
      <c r="V177" s="776"/>
      <c r="W177" s="776"/>
      <c r="X177" s="776"/>
      <c r="Y177" s="776"/>
      <c r="Z177" s="776"/>
      <c r="AA177" s="13"/>
      <c r="AB177" s="776"/>
      <c r="AC177" s="776"/>
      <c r="AD177" s="779"/>
      <c r="AE177" s="779"/>
      <c r="AF177" s="779"/>
      <c r="AG177" s="779"/>
      <c r="AH177" s="779"/>
      <c r="AI177" s="779"/>
      <c r="AJ177" s="779"/>
      <c r="AK177" s="779"/>
      <c r="AL177" s="779"/>
      <c r="AM177" s="779"/>
      <c r="AN177" s="779"/>
      <c r="AO177" s="779"/>
      <c r="AP177" s="779"/>
      <c r="AQ177" s="779"/>
      <c r="AR177" s="779"/>
      <c r="AS177" s="779"/>
      <c r="AT177" s="779"/>
      <c r="AU177" s="779"/>
      <c r="AV177" s="779"/>
      <c r="AW177" s="779"/>
      <c r="AX177" s="779"/>
      <c r="AY177" s="779"/>
      <c r="AZ177" s="779"/>
      <c r="BA177" s="779"/>
      <c r="BB177" s="779"/>
      <c r="BC177" s="779"/>
      <c r="BD177" s="779"/>
      <c r="BE177" s="779"/>
      <c r="BF177" s="779"/>
      <c r="BG177" s="779"/>
      <c r="BH177" s="779"/>
      <c r="BI177" s="779"/>
      <c r="BJ177" s="779"/>
      <c r="BK177" s="779"/>
      <c r="BL177" s="779"/>
      <c r="BM177" s="779"/>
      <c r="BN177" s="779"/>
      <c r="BO177" s="779"/>
      <c r="BP177" s="779"/>
      <c r="BQ177" s="779"/>
      <c r="BR177" s="779"/>
      <c r="BS177" s="779"/>
      <c r="BT177" s="779"/>
      <c r="BU177" s="779"/>
      <c r="BV177" s="779"/>
      <c r="BW177" s="779"/>
      <c r="BX177" s="779"/>
      <c r="BY177" s="779"/>
      <c r="BZ177" s="779"/>
      <c r="CA177" s="779"/>
      <c r="CB177" s="779"/>
      <c r="CC177" s="779"/>
    </row>
    <row r="178" spans="14:81">
      <c r="N178" s="776"/>
      <c r="O178" s="776"/>
      <c r="P178" s="776"/>
      <c r="Q178" s="776"/>
      <c r="R178" s="776"/>
      <c r="S178" s="776"/>
      <c r="T178" s="776"/>
      <c r="U178" s="776"/>
      <c r="V178" s="776"/>
      <c r="W178" s="776"/>
      <c r="X178" s="776"/>
      <c r="Y178" s="776"/>
      <c r="Z178" s="776"/>
      <c r="AA178" s="13"/>
      <c r="AB178" s="776"/>
      <c r="AC178" s="776"/>
      <c r="AD178" s="779"/>
      <c r="AE178" s="779"/>
      <c r="AF178" s="779"/>
      <c r="AG178" s="779"/>
      <c r="AH178" s="779"/>
      <c r="AI178" s="779"/>
      <c r="AJ178" s="779"/>
      <c r="AK178" s="779"/>
      <c r="AL178" s="779"/>
      <c r="AM178" s="779"/>
      <c r="AN178" s="779"/>
      <c r="AO178" s="779"/>
      <c r="AP178" s="779"/>
      <c r="AQ178" s="779"/>
      <c r="AR178" s="779"/>
      <c r="AS178" s="779"/>
      <c r="AT178" s="779"/>
      <c r="AU178" s="779"/>
      <c r="AV178" s="779"/>
      <c r="AW178" s="779"/>
      <c r="AX178" s="779"/>
      <c r="AY178" s="779"/>
      <c r="AZ178" s="779"/>
      <c r="BA178" s="779"/>
      <c r="BB178" s="779"/>
      <c r="BC178" s="779"/>
      <c r="BD178" s="779"/>
      <c r="BE178" s="779"/>
      <c r="BF178" s="779"/>
      <c r="BG178" s="779"/>
      <c r="BH178" s="779"/>
      <c r="BI178" s="779"/>
      <c r="BJ178" s="779"/>
      <c r="BK178" s="779"/>
      <c r="BL178" s="779"/>
      <c r="BM178" s="779"/>
      <c r="BN178" s="779"/>
      <c r="BO178" s="779"/>
      <c r="BP178" s="779"/>
      <c r="BQ178" s="779"/>
      <c r="BR178" s="779"/>
      <c r="BS178" s="779"/>
      <c r="BT178" s="779"/>
      <c r="BU178" s="779"/>
      <c r="BV178" s="779"/>
      <c r="BW178" s="779"/>
      <c r="BX178" s="779"/>
      <c r="BY178" s="779"/>
      <c r="BZ178" s="779"/>
      <c r="CA178" s="779"/>
      <c r="CB178" s="779"/>
      <c r="CC178" s="779"/>
    </row>
    <row r="179" spans="14:81">
      <c r="N179" s="776"/>
      <c r="O179" s="776"/>
      <c r="P179" s="776"/>
      <c r="Q179" s="776"/>
      <c r="R179" s="776"/>
      <c r="S179" s="776"/>
      <c r="T179" s="776"/>
      <c r="U179" s="776"/>
      <c r="V179" s="776"/>
      <c r="W179" s="776"/>
      <c r="X179" s="776"/>
      <c r="Y179" s="776"/>
      <c r="Z179" s="776"/>
      <c r="AA179" s="13"/>
      <c r="AB179" s="776"/>
      <c r="AC179" s="776"/>
      <c r="AD179" s="779"/>
      <c r="AE179" s="779"/>
      <c r="AF179" s="779"/>
      <c r="AG179" s="779"/>
      <c r="AH179" s="779"/>
      <c r="AI179" s="779"/>
      <c r="AJ179" s="779"/>
      <c r="AK179" s="779"/>
      <c r="AL179" s="779"/>
      <c r="AM179" s="779"/>
      <c r="AN179" s="779"/>
      <c r="AO179" s="779"/>
      <c r="AP179" s="779"/>
      <c r="AQ179" s="779"/>
      <c r="AR179" s="779"/>
      <c r="AS179" s="779"/>
      <c r="AT179" s="779"/>
      <c r="AU179" s="779"/>
      <c r="AV179" s="779"/>
      <c r="AW179" s="779"/>
      <c r="AX179" s="779"/>
      <c r="AY179" s="779"/>
      <c r="AZ179" s="779"/>
      <c r="BA179" s="779"/>
      <c r="BB179" s="779"/>
      <c r="BC179" s="779"/>
      <c r="BD179" s="779"/>
      <c r="BE179" s="779"/>
      <c r="BF179" s="779"/>
      <c r="BG179" s="779"/>
      <c r="BH179" s="779"/>
      <c r="BI179" s="779"/>
      <c r="BJ179" s="779"/>
      <c r="BK179" s="779"/>
      <c r="BL179" s="779"/>
      <c r="BM179" s="779"/>
      <c r="BN179" s="779"/>
      <c r="BO179" s="779"/>
      <c r="BP179" s="779"/>
      <c r="BQ179" s="779"/>
      <c r="BR179" s="779"/>
      <c r="BS179" s="779"/>
      <c r="BT179" s="779"/>
      <c r="BU179" s="779"/>
      <c r="BV179" s="779"/>
      <c r="BW179" s="779"/>
      <c r="BX179" s="779"/>
      <c r="BY179" s="779"/>
      <c r="BZ179" s="779"/>
      <c r="CA179" s="779"/>
      <c r="CB179" s="779"/>
      <c r="CC179" s="779"/>
    </row>
    <row r="180" spans="14:81">
      <c r="N180" s="776"/>
      <c r="O180" s="776"/>
      <c r="P180" s="776"/>
      <c r="Q180" s="776"/>
      <c r="R180" s="776"/>
      <c r="S180" s="776"/>
      <c r="T180" s="776"/>
      <c r="U180" s="776"/>
      <c r="V180" s="776"/>
      <c r="W180" s="776"/>
      <c r="X180" s="776"/>
      <c r="Y180" s="776"/>
      <c r="Z180" s="776"/>
      <c r="AA180" s="13"/>
      <c r="AB180" s="776"/>
      <c r="AC180" s="776"/>
      <c r="AD180" s="779"/>
      <c r="AE180" s="779"/>
      <c r="AF180" s="779"/>
      <c r="AG180" s="779"/>
      <c r="AH180" s="779"/>
      <c r="AI180" s="779"/>
      <c r="AJ180" s="779"/>
      <c r="AK180" s="779"/>
      <c r="AL180" s="779"/>
      <c r="AM180" s="779"/>
      <c r="AN180" s="779"/>
      <c r="AO180" s="779"/>
      <c r="AP180" s="779"/>
      <c r="AQ180" s="779"/>
      <c r="AR180" s="779"/>
      <c r="AS180" s="779"/>
      <c r="AT180" s="779"/>
      <c r="AU180" s="779"/>
      <c r="AV180" s="779"/>
      <c r="AW180" s="779"/>
      <c r="AX180" s="779"/>
      <c r="AY180" s="779"/>
      <c r="AZ180" s="779"/>
      <c r="BA180" s="779"/>
      <c r="BB180" s="779"/>
      <c r="BC180" s="779"/>
      <c r="BD180" s="779"/>
      <c r="BE180" s="779"/>
      <c r="BF180" s="779"/>
      <c r="BG180" s="779"/>
      <c r="BH180" s="779"/>
      <c r="BI180" s="779"/>
      <c r="BJ180" s="779"/>
      <c r="BK180" s="779"/>
      <c r="BL180" s="779"/>
      <c r="BM180" s="779"/>
      <c r="BN180" s="779"/>
      <c r="BO180" s="779"/>
      <c r="BP180" s="779"/>
      <c r="BQ180" s="779"/>
      <c r="BR180" s="779"/>
      <c r="BS180" s="779"/>
      <c r="BT180" s="779"/>
      <c r="BU180" s="779"/>
      <c r="BV180" s="779"/>
      <c r="BW180" s="779"/>
      <c r="BX180" s="779"/>
      <c r="BY180" s="779"/>
      <c r="BZ180" s="779"/>
      <c r="CA180" s="779"/>
      <c r="CB180" s="779"/>
      <c r="CC180" s="779"/>
    </row>
    <row r="181" spans="14:81">
      <c r="N181" s="776"/>
      <c r="O181" s="776"/>
      <c r="P181" s="776"/>
      <c r="Q181" s="776"/>
      <c r="R181" s="776"/>
      <c r="S181" s="776"/>
      <c r="T181" s="776"/>
      <c r="U181" s="776"/>
      <c r="V181" s="776"/>
      <c r="W181" s="776"/>
      <c r="X181" s="776"/>
      <c r="Y181" s="776"/>
      <c r="Z181" s="776"/>
      <c r="AA181" s="13"/>
      <c r="AB181" s="776"/>
      <c r="AC181" s="776"/>
      <c r="AD181" s="779"/>
      <c r="AE181" s="779"/>
      <c r="AF181" s="779"/>
      <c r="AG181" s="779"/>
      <c r="AH181" s="779"/>
      <c r="AI181" s="779"/>
      <c r="AJ181" s="779"/>
      <c r="AK181" s="779"/>
      <c r="AL181" s="779"/>
      <c r="AM181" s="779"/>
      <c r="AN181" s="779"/>
      <c r="AO181" s="779"/>
      <c r="AP181" s="779"/>
      <c r="AQ181" s="779"/>
      <c r="AR181" s="779"/>
      <c r="AS181" s="779"/>
      <c r="AT181" s="779"/>
      <c r="AU181" s="779"/>
      <c r="AV181" s="779"/>
      <c r="AW181" s="779"/>
      <c r="AX181" s="779"/>
      <c r="AY181" s="779"/>
      <c r="AZ181" s="779"/>
      <c r="BA181" s="779"/>
      <c r="BB181" s="779"/>
      <c r="BC181" s="779"/>
      <c r="BD181" s="779"/>
      <c r="BE181" s="779"/>
      <c r="BF181" s="779"/>
      <c r="BG181" s="779"/>
      <c r="BH181" s="779"/>
      <c r="BI181" s="779"/>
      <c r="BJ181" s="779"/>
      <c r="BK181" s="779"/>
      <c r="BL181" s="779"/>
      <c r="BM181" s="779"/>
      <c r="BN181" s="779"/>
      <c r="BO181" s="779"/>
      <c r="BP181" s="779"/>
      <c r="BQ181" s="779"/>
      <c r="BR181" s="779"/>
      <c r="BS181" s="779"/>
      <c r="BT181" s="779"/>
      <c r="BU181" s="779"/>
      <c r="BV181" s="779"/>
      <c r="BW181" s="779"/>
      <c r="BX181" s="779"/>
      <c r="BY181" s="779"/>
      <c r="BZ181" s="779"/>
      <c r="CA181" s="779"/>
      <c r="CB181" s="779"/>
      <c r="CC181" s="779"/>
    </row>
    <row r="182" spans="14:81">
      <c r="N182" s="776"/>
      <c r="O182" s="776"/>
      <c r="P182" s="776"/>
      <c r="Q182" s="776"/>
      <c r="R182" s="776"/>
      <c r="S182" s="776"/>
      <c r="T182" s="776"/>
      <c r="U182" s="776"/>
      <c r="V182" s="776"/>
      <c r="W182" s="776"/>
      <c r="X182" s="776"/>
      <c r="Y182" s="776"/>
      <c r="Z182" s="776"/>
      <c r="AA182" s="13"/>
      <c r="AB182" s="776"/>
      <c r="AC182" s="776"/>
      <c r="AD182" s="779"/>
      <c r="AE182" s="779"/>
      <c r="AF182" s="779"/>
      <c r="AG182" s="779"/>
      <c r="AH182" s="779"/>
      <c r="AI182" s="779"/>
      <c r="AJ182" s="779"/>
      <c r="AK182" s="779"/>
      <c r="AL182" s="779"/>
      <c r="AM182" s="779"/>
      <c r="AN182" s="779"/>
      <c r="AO182" s="779"/>
      <c r="AP182" s="779"/>
      <c r="AQ182" s="779"/>
      <c r="AR182" s="779"/>
      <c r="AS182" s="779"/>
      <c r="AT182" s="779"/>
      <c r="AU182" s="779"/>
      <c r="AV182" s="779"/>
      <c r="AW182" s="779"/>
      <c r="AX182" s="779"/>
      <c r="AY182" s="779"/>
      <c r="AZ182" s="779"/>
      <c r="BA182" s="779"/>
      <c r="BB182" s="779"/>
      <c r="BC182" s="779"/>
      <c r="BD182" s="779"/>
      <c r="BE182" s="779"/>
      <c r="BF182" s="779"/>
      <c r="BG182" s="779"/>
      <c r="BH182" s="779"/>
      <c r="BI182" s="779"/>
      <c r="BJ182" s="779"/>
      <c r="BK182" s="779"/>
      <c r="BL182" s="779"/>
      <c r="BM182" s="779"/>
      <c r="BN182" s="779"/>
      <c r="BO182" s="779"/>
      <c r="BP182" s="779"/>
      <c r="BQ182" s="779"/>
      <c r="BR182" s="779"/>
      <c r="BS182" s="779"/>
      <c r="BT182" s="779"/>
      <c r="BU182" s="779"/>
      <c r="BV182" s="779"/>
      <c r="BW182" s="779"/>
      <c r="BX182" s="779"/>
      <c r="BY182" s="779"/>
      <c r="BZ182" s="779"/>
      <c r="CA182" s="779"/>
      <c r="CB182" s="779"/>
      <c r="CC182" s="779"/>
    </row>
    <row r="183" spans="14:81">
      <c r="N183" s="776"/>
      <c r="O183" s="776"/>
      <c r="P183" s="776"/>
      <c r="Q183" s="776"/>
      <c r="R183" s="776"/>
      <c r="S183" s="776"/>
      <c r="T183" s="776"/>
      <c r="U183" s="776"/>
      <c r="V183" s="776"/>
      <c r="W183" s="776"/>
      <c r="X183" s="776"/>
      <c r="Y183" s="776"/>
      <c r="Z183" s="776"/>
      <c r="AA183" s="13"/>
      <c r="AB183" s="776"/>
      <c r="AC183" s="776"/>
      <c r="AD183" s="779"/>
      <c r="AE183" s="779"/>
      <c r="AF183" s="779"/>
      <c r="AG183" s="779"/>
      <c r="AH183" s="779"/>
      <c r="AI183" s="779"/>
      <c r="AJ183" s="779"/>
      <c r="AK183" s="779"/>
      <c r="AL183" s="779"/>
      <c r="AM183" s="779"/>
      <c r="AN183" s="779"/>
      <c r="AO183" s="779"/>
      <c r="AP183" s="779"/>
      <c r="AQ183" s="779"/>
      <c r="AR183" s="779"/>
      <c r="AS183" s="779"/>
      <c r="AT183" s="779"/>
      <c r="AU183" s="779"/>
      <c r="AV183" s="779"/>
      <c r="AW183" s="779"/>
      <c r="AX183" s="779"/>
      <c r="AY183" s="779"/>
      <c r="AZ183" s="779"/>
      <c r="BA183" s="779"/>
      <c r="BB183" s="779"/>
      <c r="BC183" s="779"/>
      <c r="BD183" s="779"/>
      <c r="BE183" s="779"/>
      <c r="BF183" s="779"/>
      <c r="BG183" s="779"/>
      <c r="BH183" s="779"/>
      <c r="BI183" s="779"/>
      <c r="BJ183" s="779"/>
      <c r="BK183" s="779"/>
      <c r="BL183" s="779"/>
      <c r="BM183" s="779"/>
      <c r="BN183" s="779"/>
      <c r="BO183" s="779"/>
      <c r="BP183" s="779"/>
      <c r="BQ183" s="779"/>
      <c r="BR183" s="779"/>
      <c r="BS183" s="779"/>
      <c r="BT183" s="779"/>
      <c r="BU183" s="779"/>
      <c r="BV183" s="779"/>
      <c r="BW183" s="779"/>
      <c r="BX183" s="779"/>
      <c r="BY183" s="779"/>
      <c r="BZ183" s="779"/>
      <c r="CA183" s="779"/>
      <c r="CB183" s="779"/>
      <c r="CC183" s="779"/>
    </row>
    <row r="184" spans="14:81">
      <c r="N184" s="776"/>
      <c r="O184" s="776"/>
      <c r="P184" s="776"/>
      <c r="Q184" s="776"/>
      <c r="R184" s="776"/>
      <c r="S184" s="776"/>
      <c r="T184" s="776"/>
      <c r="U184" s="776"/>
      <c r="V184" s="776"/>
      <c r="W184" s="776"/>
      <c r="X184" s="776"/>
      <c r="Y184" s="776"/>
      <c r="Z184" s="776"/>
      <c r="AA184" s="13"/>
      <c r="AB184" s="776"/>
      <c r="AC184" s="776"/>
      <c r="AD184" s="779"/>
      <c r="AE184" s="779"/>
      <c r="AF184" s="779"/>
      <c r="AG184" s="779"/>
      <c r="AH184" s="779"/>
      <c r="AI184" s="779"/>
      <c r="AJ184" s="779"/>
      <c r="AK184" s="779"/>
      <c r="AL184" s="779"/>
      <c r="AM184" s="779"/>
      <c r="AN184" s="779"/>
      <c r="AO184" s="779"/>
      <c r="AP184" s="779"/>
      <c r="AQ184" s="779"/>
      <c r="AR184" s="779"/>
      <c r="AS184" s="779"/>
      <c r="AT184" s="779"/>
      <c r="AU184" s="779"/>
      <c r="AV184" s="779"/>
      <c r="AW184" s="779"/>
      <c r="AX184" s="779"/>
      <c r="AY184" s="779"/>
      <c r="AZ184" s="779"/>
      <c r="BA184" s="779"/>
      <c r="BB184" s="779"/>
      <c r="BC184" s="779"/>
      <c r="BD184" s="779"/>
      <c r="BE184" s="779"/>
      <c r="BF184" s="779"/>
      <c r="BG184" s="779"/>
      <c r="BH184" s="779"/>
      <c r="BI184" s="779"/>
      <c r="BJ184" s="779"/>
      <c r="BK184" s="779"/>
      <c r="BL184" s="779"/>
      <c r="BM184" s="779"/>
      <c r="BN184" s="779"/>
      <c r="BO184" s="779"/>
      <c r="BP184" s="779"/>
      <c r="BQ184" s="779"/>
      <c r="BR184" s="779"/>
      <c r="BS184" s="779"/>
      <c r="BT184" s="779"/>
      <c r="BU184" s="779"/>
      <c r="BV184" s="779"/>
      <c r="BW184" s="779"/>
      <c r="BX184" s="779"/>
      <c r="BY184" s="779"/>
      <c r="BZ184" s="779"/>
      <c r="CA184" s="779"/>
      <c r="CB184" s="779"/>
      <c r="CC184" s="779"/>
    </row>
    <row r="185" spans="14:81">
      <c r="N185" s="776"/>
      <c r="O185" s="776"/>
      <c r="P185" s="776"/>
      <c r="Q185" s="776"/>
      <c r="R185" s="776"/>
      <c r="S185" s="776"/>
      <c r="T185" s="776"/>
      <c r="U185" s="776"/>
      <c r="V185" s="776"/>
      <c r="W185" s="776"/>
      <c r="X185" s="776"/>
      <c r="Y185" s="776"/>
      <c r="Z185" s="776"/>
      <c r="AA185" s="13"/>
      <c r="AB185" s="776"/>
      <c r="AC185" s="776"/>
      <c r="AD185" s="779"/>
      <c r="AE185" s="779"/>
      <c r="AF185" s="779"/>
      <c r="AG185" s="779"/>
      <c r="AH185" s="779"/>
      <c r="AI185" s="779"/>
      <c r="AJ185" s="779"/>
      <c r="AK185" s="779"/>
      <c r="AL185" s="779"/>
      <c r="AM185" s="779"/>
      <c r="AN185" s="779"/>
      <c r="AO185" s="779"/>
      <c r="AP185" s="779"/>
      <c r="AQ185" s="779"/>
      <c r="AR185" s="779"/>
      <c r="AS185" s="779"/>
      <c r="AT185" s="779"/>
      <c r="AU185" s="779"/>
      <c r="AV185" s="779"/>
      <c r="AW185" s="779"/>
      <c r="AX185" s="779"/>
      <c r="AY185" s="779"/>
      <c r="AZ185" s="779"/>
      <c r="BA185" s="779"/>
      <c r="BB185" s="779"/>
      <c r="BC185" s="779"/>
      <c r="BD185" s="779"/>
      <c r="BE185" s="779"/>
      <c r="BF185" s="779"/>
      <c r="BG185" s="779"/>
      <c r="BH185" s="779"/>
      <c r="BI185" s="779"/>
      <c r="BJ185" s="779"/>
      <c r="BK185" s="779"/>
      <c r="BL185" s="779"/>
      <c r="BM185" s="779"/>
      <c r="BN185" s="779"/>
      <c r="BO185" s="779"/>
      <c r="BP185" s="779"/>
      <c r="BQ185" s="779"/>
      <c r="BR185" s="779"/>
      <c r="BS185" s="779"/>
      <c r="BT185" s="779"/>
      <c r="BU185" s="779"/>
      <c r="BV185" s="779"/>
      <c r="BW185" s="779"/>
      <c r="BX185" s="779"/>
      <c r="BY185" s="779"/>
      <c r="BZ185" s="779"/>
      <c r="CA185" s="779"/>
      <c r="CB185" s="779"/>
      <c r="CC185" s="779"/>
    </row>
    <row r="186" spans="14:81">
      <c r="N186" s="776"/>
      <c r="O186" s="776"/>
      <c r="P186" s="776"/>
      <c r="Q186" s="776"/>
      <c r="R186" s="776"/>
      <c r="S186" s="776"/>
      <c r="T186" s="776"/>
      <c r="U186" s="776"/>
      <c r="V186" s="776"/>
      <c r="W186" s="776"/>
      <c r="X186" s="776"/>
      <c r="Y186" s="776"/>
      <c r="Z186" s="776"/>
      <c r="AA186" s="13"/>
      <c r="AB186" s="776"/>
      <c r="AC186" s="776"/>
      <c r="AD186" s="779"/>
      <c r="AE186" s="779"/>
      <c r="AF186" s="779"/>
      <c r="AG186" s="779"/>
      <c r="AH186" s="779"/>
      <c r="AI186" s="779"/>
      <c r="AJ186" s="779"/>
      <c r="AK186" s="779"/>
      <c r="AL186" s="779"/>
      <c r="AM186" s="779"/>
      <c r="AN186" s="779"/>
      <c r="AO186" s="779"/>
      <c r="AP186" s="779"/>
      <c r="AQ186" s="779"/>
      <c r="AR186" s="779"/>
      <c r="AS186" s="779"/>
      <c r="AT186" s="779"/>
      <c r="AU186" s="779"/>
      <c r="AV186" s="779"/>
      <c r="AW186" s="779"/>
      <c r="AX186" s="779"/>
      <c r="AY186" s="779"/>
      <c r="AZ186" s="779"/>
      <c r="BA186" s="779"/>
      <c r="BB186" s="779"/>
      <c r="BC186" s="779"/>
      <c r="BD186" s="779"/>
      <c r="BE186" s="779"/>
      <c r="BF186" s="779"/>
      <c r="BG186" s="779"/>
      <c r="BH186" s="779"/>
      <c r="BI186" s="779"/>
      <c r="BJ186" s="779"/>
      <c r="BK186" s="779"/>
      <c r="BL186" s="779"/>
      <c r="BM186" s="779"/>
      <c r="BN186" s="779"/>
      <c r="BO186" s="779"/>
      <c r="BP186" s="779"/>
      <c r="BQ186" s="779"/>
      <c r="BR186" s="779"/>
      <c r="BS186" s="779"/>
      <c r="BT186" s="779"/>
      <c r="BU186" s="779"/>
      <c r="BV186" s="779"/>
      <c r="BW186" s="779"/>
      <c r="BX186" s="779"/>
      <c r="BY186" s="779"/>
      <c r="BZ186" s="779"/>
      <c r="CA186" s="779"/>
      <c r="CB186" s="779"/>
      <c r="CC186" s="779"/>
    </row>
    <row r="187" spans="14:81">
      <c r="N187" s="776"/>
      <c r="O187" s="776"/>
      <c r="P187" s="776"/>
      <c r="Q187" s="776"/>
      <c r="R187" s="776"/>
      <c r="S187" s="776"/>
      <c r="T187" s="776"/>
      <c r="U187" s="776"/>
      <c r="V187" s="776"/>
      <c r="W187" s="776"/>
      <c r="X187" s="776"/>
      <c r="Y187" s="776"/>
      <c r="Z187" s="776"/>
      <c r="AA187" s="13"/>
      <c r="AB187" s="776"/>
      <c r="AC187" s="776"/>
      <c r="AD187" s="779"/>
      <c r="AE187" s="779"/>
      <c r="AF187" s="779"/>
      <c r="AG187" s="779"/>
      <c r="AH187" s="779"/>
      <c r="AI187" s="779"/>
      <c r="AJ187" s="779"/>
      <c r="AK187" s="779"/>
      <c r="AL187" s="779"/>
      <c r="AM187" s="779"/>
      <c r="AN187" s="779"/>
      <c r="AO187" s="779"/>
      <c r="AP187" s="779"/>
      <c r="AQ187" s="779"/>
      <c r="AR187" s="779"/>
      <c r="AS187" s="779"/>
      <c r="AT187" s="779"/>
      <c r="AU187" s="779"/>
      <c r="AV187" s="779"/>
      <c r="AW187" s="779"/>
      <c r="AX187" s="779"/>
      <c r="AY187" s="779"/>
      <c r="AZ187" s="779"/>
      <c r="BA187" s="779"/>
      <c r="BB187" s="779"/>
      <c r="BC187" s="779"/>
      <c r="BD187" s="779"/>
      <c r="BE187" s="779"/>
      <c r="BF187" s="779"/>
      <c r="BG187" s="779"/>
      <c r="BH187" s="779"/>
      <c r="BI187" s="779"/>
      <c r="BJ187" s="779"/>
      <c r="BK187" s="779"/>
      <c r="BL187" s="779"/>
      <c r="BM187" s="779"/>
      <c r="BN187" s="779"/>
      <c r="BO187" s="779"/>
      <c r="BP187" s="779"/>
      <c r="BQ187" s="779"/>
      <c r="BR187" s="779"/>
      <c r="BS187" s="779"/>
      <c r="BT187" s="779"/>
      <c r="BU187" s="779"/>
      <c r="BV187" s="779"/>
      <c r="BW187" s="779"/>
      <c r="BX187" s="779"/>
      <c r="BY187" s="779"/>
      <c r="BZ187" s="779"/>
      <c r="CA187" s="779"/>
      <c r="CB187" s="779"/>
      <c r="CC187" s="779"/>
    </row>
    <row r="188" spans="14:81">
      <c r="N188" s="776"/>
      <c r="O188" s="776"/>
      <c r="P188" s="776"/>
      <c r="Q188" s="776"/>
      <c r="R188" s="776"/>
      <c r="S188" s="776"/>
      <c r="T188" s="776"/>
      <c r="U188" s="776"/>
      <c r="V188" s="776"/>
      <c r="W188" s="776"/>
      <c r="X188" s="776"/>
      <c r="Y188" s="776"/>
      <c r="Z188" s="776"/>
      <c r="AA188" s="13"/>
      <c r="AB188" s="776"/>
      <c r="AC188" s="776"/>
      <c r="AD188" s="779"/>
      <c r="AE188" s="779"/>
      <c r="AF188" s="779"/>
      <c r="AG188" s="779"/>
      <c r="AH188" s="779"/>
      <c r="AI188" s="779"/>
      <c r="AJ188" s="779"/>
      <c r="AK188" s="779"/>
      <c r="AL188" s="779"/>
      <c r="AM188" s="779"/>
      <c r="AN188" s="779"/>
      <c r="AO188" s="779"/>
      <c r="AP188" s="779"/>
      <c r="AQ188" s="779"/>
      <c r="AR188" s="779"/>
      <c r="AS188" s="779"/>
      <c r="AT188" s="779"/>
      <c r="AU188" s="779"/>
      <c r="AV188" s="779"/>
      <c r="AW188" s="779"/>
      <c r="AX188" s="779"/>
      <c r="AY188" s="779"/>
      <c r="AZ188" s="779"/>
      <c r="BA188" s="779"/>
      <c r="BB188" s="779"/>
      <c r="BC188" s="779"/>
      <c r="BD188" s="779"/>
      <c r="BE188" s="779"/>
      <c r="BF188" s="779"/>
      <c r="BG188" s="779"/>
      <c r="BH188" s="779"/>
      <c r="BI188" s="779"/>
      <c r="BJ188" s="779"/>
      <c r="BK188" s="779"/>
      <c r="BL188" s="779"/>
      <c r="BM188" s="779"/>
      <c r="BN188" s="779"/>
      <c r="BO188" s="779"/>
      <c r="BP188" s="779"/>
      <c r="BQ188" s="779"/>
      <c r="BR188" s="779"/>
      <c r="BS188" s="779"/>
      <c r="BT188" s="779"/>
      <c r="BU188" s="779"/>
      <c r="BV188" s="779"/>
      <c r="BW188" s="779"/>
      <c r="BX188" s="779"/>
      <c r="BY188" s="779"/>
      <c r="BZ188" s="779"/>
      <c r="CA188" s="779"/>
      <c r="CB188" s="779"/>
      <c r="CC188" s="779"/>
    </row>
    <row r="189" spans="14:81">
      <c r="N189" s="776"/>
      <c r="O189" s="776"/>
      <c r="P189" s="776"/>
      <c r="Q189" s="776"/>
      <c r="R189" s="776"/>
      <c r="S189" s="776"/>
      <c r="T189" s="776"/>
      <c r="U189" s="776"/>
      <c r="V189" s="776"/>
      <c r="W189" s="776"/>
      <c r="X189" s="776"/>
      <c r="Y189" s="776"/>
      <c r="Z189" s="776"/>
      <c r="AA189" s="13"/>
      <c r="AB189" s="776"/>
      <c r="AC189" s="776"/>
      <c r="AD189" s="779"/>
      <c r="AE189" s="779"/>
      <c r="AF189" s="779"/>
      <c r="AG189" s="779"/>
      <c r="AH189" s="779"/>
      <c r="AI189" s="779"/>
      <c r="AJ189" s="779"/>
      <c r="AK189" s="779"/>
      <c r="AL189" s="779"/>
      <c r="AM189" s="779"/>
      <c r="AN189" s="779"/>
      <c r="AO189" s="779"/>
      <c r="AP189" s="779"/>
      <c r="AQ189" s="779"/>
      <c r="AR189" s="779"/>
      <c r="AS189" s="779"/>
      <c r="AT189" s="779"/>
      <c r="AU189" s="779"/>
      <c r="AV189" s="779"/>
      <c r="AW189" s="779"/>
      <c r="AX189" s="779"/>
      <c r="AY189" s="779"/>
      <c r="AZ189" s="779"/>
      <c r="BA189" s="779"/>
      <c r="BB189" s="779"/>
      <c r="BC189" s="779"/>
      <c r="BD189" s="779"/>
      <c r="BE189" s="779"/>
      <c r="BF189" s="779"/>
      <c r="BG189" s="779"/>
      <c r="BH189" s="779"/>
      <c r="BI189" s="779"/>
      <c r="BJ189" s="779"/>
      <c r="BK189" s="779"/>
      <c r="BL189" s="779"/>
      <c r="BM189" s="779"/>
      <c r="BN189" s="779"/>
      <c r="BO189" s="779"/>
      <c r="BP189" s="779"/>
      <c r="BQ189" s="779"/>
      <c r="BR189" s="779"/>
      <c r="BS189" s="779"/>
      <c r="BT189" s="779"/>
      <c r="BU189" s="779"/>
      <c r="BV189" s="779"/>
      <c r="BW189" s="779"/>
      <c r="BX189" s="779"/>
      <c r="BY189" s="779"/>
      <c r="BZ189" s="779"/>
      <c r="CA189" s="779"/>
      <c r="CB189" s="779"/>
      <c r="CC189" s="779"/>
    </row>
    <row r="190" spans="14:81">
      <c r="N190" s="776"/>
      <c r="O190" s="776"/>
      <c r="P190" s="776"/>
      <c r="Q190" s="776"/>
      <c r="R190" s="776"/>
      <c r="S190" s="776"/>
      <c r="T190" s="776"/>
      <c r="U190" s="776"/>
      <c r="V190" s="776"/>
      <c r="W190" s="776"/>
      <c r="X190" s="776"/>
      <c r="Y190" s="776"/>
      <c r="Z190" s="776"/>
      <c r="AA190" s="13"/>
      <c r="AB190" s="776"/>
      <c r="AC190" s="776"/>
      <c r="AD190" s="779"/>
      <c r="AE190" s="779"/>
      <c r="AF190" s="779"/>
      <c r="AG190" s="779"/>
      <c r="AH190" s="779"/>
      <c r="AI190" s="779"/>
      <c r="AJ190" s="779"/>
      <c r="AK190" s="779"/>
      <c r="AL190" s="779"/>
      <c r="AM190" s="779"/>
      <c r="AN190" s="779"/>
      <c r="AO190" s="779"/>
      <c r="AP190" s="779"/>
      <c r="AQ190" s="779"/>
      <c r="AR190" s="779"/>
      <c r="AS190" s="779"/>
      <c r="AT190" s="779"/>
      <c r="AU190" s="779"/>
      <c r="AV190" s="779"/>
      <c r="AW190" s="779"/>
      <c r="AX190" s="779"/>
      <c r="AY190" s="779"/>
      <c r="AZ190" s="779"/>
      <c r="BA190" s="779"/>
      <c r="BB190" s="779"/>
      <c r="BC190" s="779"/>
      <c r="BD190" s="779"/>
      <c r="BE190" s="779"/>
      <c r="BF190" s="779"/>
      <c r="BG190" s="779"/>
      <c r="BH190" s="779"/>
      <c r="BI190" s="779"/>
      <c r="BJ190" s="779"/>
      <c r="BK190" s="779"/>
      <c r="BL190" s="779"/>
      <c r="BM190" s="779"/>
      <c r="BN190" s="779"/>
      <c r="BO190" s="779"/>
      <c r="BP190" s="779"/>
      <c r="BQ190" s="779"/>
      <c r="BR190" s="779"/>
      <c r="BS190" s="779"/>
      <c r="BT190" s="779"/>
      <c r="BU190" s="779"/>
      <c r="BV190" s="779"/>
      <c r="BW190" s="779"/>
      <c r="BX190" s="779"/>
      <c r="BY190" s="779"/>
      <c r="BZ190" s="779"/>
      <c r="CA190" s="779"/>
      <c r="CB190" s="779"/>
      <c r="CC190" s="779"/>
    </row>
    <row r="191" spans="14:81">
      <c r="N191" s="776"/>
      <c r="O191" s="776"/>
      <c r="P191" s="776"/>
      <c r="Q191" s="776"/>
      <c r="R191" s="776"/>
      <c r="S191" s="776"/>
      <c r="T191" s="776"/>
      <c r="U191" s="776"/>
      <c r="V191" s="776"/>
      <c r="W191" s="776"/>
      <c r="X191" s="776"/>
      <c r="Y191" s="776"/>
      <c r="Z191" s="776"/>
      <c r="AA191" s="13"/>
      <c r="AB191" s="776"/>
      <c r="AC191" s="776"/>
      <c r="AD191" s="779"/>
      <c r="AE191" s="779"/>
      <c r="AF191" s="779"/>
      <c r="AG191" s="779"/>
      <c r="AH191" s="779"/>
      <c r="AI191" s="779"/>
      <c r="AJ191" s="779"/>
      <c r="AK191" s="779"/>
      <c r="AL191" s="779"/>
      <c r="AM191" s="779"/>
      <c r="AN191" s="779"/>
      <c r="AO191" s="779"/>
      <c r="AP191" s="779"/>
      <c r="AQ191" s="779"/>
      <c r="AR191" s="779"/>
      <c r="AS191" s="779"/>
      <c r="AT191" s="779"/>
      <c r="AU191" s="779"/>
      <c r="AV191" s="779"/>
      <c r="AW191" s="779"/>
      <c r="AX191" s="779"/>
      <c r="AY191" s="779"/>
      <c r="AZ191" s="779"/>
      <c r="BA191" s="779"/>
      <c r="BB191" s="779"/>
      <c r="BC191" s="779"/>
      <c r="BD191" s="779"/>
      <c r="BE191" s="779"/>
      <c r="BF191" s="779"/>
      <c r="BG191" s="779"/>
      <c r="BH191" s="779"/>
      <c r="BI191" s="779"/>
      <c r="BJ191" s="779"/>
      <c r="BK191" s="779"/>
      <c r="BL191" s="779"/>
      <c r="BM191" s="779"/>
      <c r="BN191" s="779"/>
      <c r="BO191" s="779"/>
      <c r="BP191" s="779"/>
      <c r="BQ191" s="779"/>
      <c r="BR191" s="779"/>
      <c r="BS191" s="779"/>
      <c r="BT191" s="779"/>
      <c r="BU191" s="779"/>
      <c r="BV191" s="779"/>
      <c r="BW191" s="779"/>
      <c r="BX191" s="779"/>
      <c r="BY191" s="779"/>
      <c r="BZ191" s="779"/>
      <c r="CA191" s="779"/>
      <c r="CB191" s="779"/>
      <c r="CC191" s="779"/>
    </row>
    <row r="192" spans="14:81">
      <c r="N192" s="776"/>
      <c r="O192" s="776"/>
      <c r="P192" s="776"/>
      <c r="Q192" s="776"/>
      <c r="R192" s="776"/>
      <c r="S192" s="776"/>
      <c r="T192" s="776"/>
      <c r="U192" s="776"/>
      <c r="V192" s="776"/>
      <c r="W192" s="776"/>
      <c r="X192" s="776"/>
      <c r="Y192" s="776"/>
      <c r="Z192" s="776"/>
      <c r="AA192" s="13"/>
      <c r="AB192" s="776"/>
      <c r="AC192" s="776"/>
      <c r="AD192" s="779"/>
      <c r="AE192" s="779"/>
      <c r="AF192" s="779"/>
      <c r="AG192" s="779"/>
      <c r="AH192" s="779"/>
      <c r="AI192" s="779"/>
      <c r="AJ192" s="779"/>
      <c r="AK192" s="779"/>
      <c r="AL192" s="779"/>
      <c r="AM192" s="779"/>
      <c r="AN192" s="779"/>
      <c r="AO192" s="779"/>
      <c r="AP192" s="779"/>
      <c r="AQ192" s="779"/>
      <c r="AR192" s="779"/>
      <c r="AS192" s="779"/>
      <c r="AT192" s="779"/>
      <c r="AU192" s="779"/>
      <c r="AV192" s="779"/>
      <c r="AW192" s="779"/>
      <c r="AX192" s="779"/>
      <c r="AY192" s="779"/>
      <c r="AZ192" s="779"/>
      <c r="BA192" s="779"/>
      <c r="BB192" s="779"/>
      <c r="BC192" s="779"/>
      <c r="BD192" s="779"/>
      <c r="BE192" s="779"/>
      <c r="BF192" s="779"/>
      <c r="BG192" s="779"/>
      <c r="BH192" s="779"/>
      <c r="BI192" s="779"/>
      <c r="BJ192" s="779"/>
      <c r="BK192" s="779"/>
      <c r="BL192" s="779"/>
      <c r="BM192" s="779"/>
      <c r="BN192" s="779"/>
      <c r="BO192" s="779"/>
      <c r="BP192" s="779"/>
      <c r="BQ192" s="779"/>
      <c r="BR192" s="779"/>
      <c r="BS192" s="779"/>
      <c r="BT192" s="779"/>
      <c r="BU192" s="779"/>
      <c r="BV192" s="779"/>
      <c r="BW192" s="779"/>
      <c r="BX192" s="779"/>
      <c r="BY192" s="779"/>
      <c r="BZ192" s="779"/>
      <c r="CA192" s="779"/>
      <c r="CB192" s="779"/>
      <c r="CC192" s="779"/>
    </row>
    <row r="193" spans="1:81">
      <c r="A193" s="779"/>
      <c r="B193" s="779"/>
      <c r="C193" s="779"/>
      <c r="D193" s="779"/>
      <c r="E193" s="779"/>
      <c r="F193" s="779"/>
      <c r="G193" s="779"/>
      <c r="H193" s="779"/>
      <c r="I193" s="779"/>
      <c r="J193" s="779"/>
      <c r="K193" s="779"/>
      <c r="L193" s="779"/>
      <c r="M193" s="779"/>
      <c r="N193" s="779"/>
      <c r="O193" s="779"/>
      <c r="P193" s="779"/>
      <c r="Q193" s="779"/>
      <c r="R193" s="779"/>
      <c r="S193" s="779"/>
      <c r="T193" s="779"/>
      <c r="U193" s="779"/>
      <c r="V193" s="779"/>
      <c r="W193" s="779"/>
      <c r="X193" s="779"/>
      <c r="Y193" s="779"/>
      <c r="Z193" s="779"/>
      <c r="AA193" s="779"/>
      <c r="AB193" s="776"/>
      <c r="AC193" s="779"/>
      <c r="AD193" s="779"/>
      <c r="AE193" s="779"/>
      <c r="AF193" s="779"/>
      <c r="AG193" s="779"/>
      <c r="AH193" s="779"/>
      <c r="AI193" s="779"/>
      <c r="AJ193" s="779"/>
      <c r="AK193" s="779"/>
      <c r="AL193" s="779"/>
      <c r="AM193" s="779"/>
      <c r="AN193" s="779"/>
      <c r="AO193" s="779"/>
      <c r="AP193" s="779"/>
      <c r="AQ193" s="779"/>
      <c r="AR193" s="779"/>
      <c r="AS193" s="779"/>
      <c r="AT193" s="779"/>
      <c r="AU193" s="779"/>
      <c r="AV193" s="779"/>
      <c r="AW193" s="779"/>
      <c r="AX193" s="779"/>
      <c r="AY193" s="779"/>
      <c r="AZ193" s="779"/>
      <c r="BA193" s="779"/>
      <c r="BB193" s="779"/>
      <c r="BC193" s="779"/>
      <c r="BD193" s="779"/>
      <c r="BE193" s="779"/>
      <c r="BF193" s="779"/>
      <c r="BG193" s="779"/>
      <c r="BH193" s="779"/>
      <c r="BI193" s="779"/>
      <c r="BJ193" s="779"/>
      <c r="BK193" s="779"/>
      <c r="BL193" s="779"/>
      <c r="BM193" s="779"/>
      <c r="BN193" s="779"/>
      <c r="BO193" s="779"/>
      <c r="BP193" s="779"/>
      <c r="BQ193" s="779"/>
      <c r="BR193" s="779"/>
      <c r="BS193" s="779"/>
      <c r="BT193" s="779"/>
      <c r="BU193" s="779"/>
      <c r="BV193" s="779"/>
      <c r="BW193" s="779"/>
      <c r="BX193" s="779"/>
      <c r="BY193" s="779"/>
      <c r="BZ193" s="779"/>
      <c r="CA193" s="779"/>
      <c r="CB193" s="779"/>
      <c r="CC193" s="779"/>
    </row>
    <row r="194" spans="1:81">
      <c r="A194" s="779"/>
      <c r="B194" s="779"/>
      <c r="C194" s="779"/>
      <c r="D194" s="779"/>
      <c r="E194" s="779"/>
      <c r="F194" s="779"/>
      <c r="G194" s="779"/>
      <c r="H194" s="779"/>
      <c r="I194" s="779"/>
      <c r="J194" s="779"/>
      <c r="K194" s="779"/>
      <c r="L194" s="779"/>
      <c r="M194" s="779"/>
      <c r="N194" s="779"/>
      <c r="O194" s="779"/>
      <c r="P194" s="779"/>
      <c r="Q194" s="779"/>
      <c r="R194" s="779"/>
      <c r="S194" s="779"/>
      <c r="T194" s="779"/>
      <c r="U194" s="779"/>
      <c r="V194" s="779"/>
      <c r="W194" s="779"/>
      <c r="X194" s="779"/>
      <c r="Y194" s="779"/>
      <c r="Z194" s="779"/>
      <c r="AA194" s="776"/>
      <c r="AB194" s="779"/>
      <c r="AC194" s="779"/>
      <c r="AD194" s="779"/>
      <c r="AE194" s="779"/>
      <c r="AF194" s="779"/>
      <c r="AG194" s="779"/>
      <c r="AH194" s="779"/>
      <c r="AI194" s="779"/>
      <c r="AJ194" s="779"/>
      <c r="AK194" s="779"/>
      <c r="AL194" s="779"/>
      <c r="AM194" s="779"/>
      <c r="AN194" s="779"/>
      <c r="AO194" s="779"/>
      <c r="AP194" s="779"/>
      <c r="AQ194" s="779"/>
      <c r="AR194" s="779"/>
      <c r="AS194" s="779"/>
      <c r="AT194" s="779"/>
      <c r="AU194" s="779"/>
      <c r="AV194" s="779"/>
      <c r="AW194" s="779"/>
      <c r="AX194" s="779"/>
      <c r="AY194" s="779"/>
      <c r="AZ194" s="779"/>
      <c r="BA194" s="779"/>
      <c r="BB194" s="779"/>
      <c r="BC194" s="779"/>
      <c r="BD194" s="779"/>
      <c r="BE194" s="779"/>
      <c r="BF194" s="779"/>
      <c r="BG194" s="779"/>
      <c r="BH194" s="779"/>
      <c r="BI194" s="779"/>
      <c r="BJ194" s="779"/>
      <c r="BK194" s="779"/>
      <c r="BL194" s="779"/>
      <c r="BM194" s="779"/>
      <c r="BN194" s="779"/>
      <c r="BO194" s="779"/>
      <c r="BP194" s="779"/>
      <c r="BQ194" s="779"/>
      <c r="BR194" s="779"/>
      <c r="BS194" s="779"/>
      <c r="BT194" s="779"/>
      <c r="BU194" s="779"/>
      <c r="BV194" s="779"/>
      <c r="BW194" s="779"/>
      <c r="BX194" s="779"/>
      <c r="BY194" s="779"/>
      <c r="BZ194" s="779"/>
      <c r="CA194" s="779"/>
      <c r="CB194" s="779"/>
      <c r="CC194" s="779"/>
    </row>
    <row r="195" spans="1:81">
      <c r="A195" s="779"/>
      <c r="B195" s="779"/>
      <c r="C195" s="779"/>
      <c r="D195" s="779"/>
      <c r="E195" s="779"/>
      <c r="F195" s="779"/>
      <c r="G195" s="779"/>
      <c r="H195" s="779"/>
      <c r="I195" s="779"/>
      <c r="J195" s="779"/>
      <c r="K195" s="779"/>
      <c r="L195" s="779"/>
      <c r="M195" s="779"/>
      <c r="N195" s="779"/>
      <c r="O195" s="779"/>
      <c r="P195" s="779"/>
      <c r="Q195" s="779"/>
      <c r="R195" s="779"/>
      <c r="S195" s="779"/>
      <c r="T195" s="779"/>
      <c r="U195" s="779"/>
      <c r="V195" s="779"/>
      <c r="W195" s="779"/>
      <c r="X195" s="779"/>
      <c r="Y195" s="779"/>
      <c r="Z195" s="779"/>
      <c r="AA195" s="776"/>
      <c r="AB195" s="779"/>
      <c r="AC195" s="779"/>
      <c r="AD195" s="779"/>
      <c r="AE195" s="779"/>
      <c r="AF195" s="779"/>
      <c r="AG195" s="779"/>
      <c r="AH195" s="779"/>
      <c r="AI195" s="779"/>
      <c r="AJ195" s="779"/>
      <c r="AK195" s="779"/>
      <c r="AL195" s="779"/>
      <c r="AM195" s="779"/>
      <c r="AN195" s="779"/>
      <c r="AO195" s="779"/>
      <c r="AP195" s="779"/>
      <c r="AQ195" s="779"/>
      <c r="AR195" s="779"/>
      <c r="AS195" s="779"/>
      <c r="AT195" s="779"/>
      <c r="AU195" s="779"/>
      <c r="AV195" s="779"/>
      <c r="AW195" s="779"/>
      <c r="AX195" s="779"/>
      <c r="AY195" s="779"/>
      <c r="AZ195" s="779"/>
      <c r="BA195" s="779"/>
      <c r="BB195" s="779"/>
      <c r="BC195" s="779"/>
      <c r="BD195" s="779"/>
      <c r="BE195" s="779"/>
      <c r="BF195" s="779"/>
      <c r="BG195" s="779"/>
      <c r="BH195" s="779"/>
      <c r="BI195" s="779"/>
      <c r="BJ195" s="779"/>
      <c r="BK195" s="779"/>
      <c r="BL195" s="779"/>
      <c r="BM195" s="779"/>
      <c r="BN195" s="779"/>
      <c r="BO195" s="779"/>
      <c r="BP195" s="779"/>
      <c r="BQ195" s="779"/>
      <c r="BR195" s="779"/>
      <c r="BS195" s="779"/>
      <c r="BT195" s="779"/>
      <c r="BU195" s="779"/>
      <c r="BV195" s="779"/>
      <c r="BW195" s="779"/>
      <c r="BX195" s="779"/>
      <c r="BY195" s="779"/>
      <c r="BZ195" s="779"/>
      <c r="CA195" s="779"/>
      <c r="CB195" s="779"/>
      <c r="CC195" s="779"/>
    </row>
    <row r="196" spans="1:81">
      <c r="A196" s="779"/>
      <c r="B196" s="779"/>
      <c r="C196" s="779"/>
      <c r="D196" s="779"/>
      <c r="E196" s="779"/>
      <c r="F196" s="779"/>
      <c r="G196" s="779"/>
      <c r="H196" s="779"/>
      <c r="I196" s="779"/>
      <c r="J196" s="779"/>
      <c r="K196" s="779"/>
      <c r="L196" s="779"/>
      <c r="M196" s="779"/>
      <c r="N196" s="779"/>
      <c r="O196" s="779"/>
      <c r="P196" s="779"/>
      <c r="Q196" s="779"/>
      <c r="R196" s="779"/>
      <c r="S196" s="779"/>
      <c r="T196" s="779"/>
      <c r="U196" s="779"/>
      <c r="V196" s="779"/>
      <c r="W196" s="779"/>
      <c r="X196" s="779"/>
      <c r="Y196" s="779"/>
      <c r="Z196" s="779"/>
      <c r="AA196" s="776"/>
      <c r="AB196" s="779"/>
      <c r="AC196" s="779"/>
      <c r="AD196" s="779"/>
      <c r="AE196" s="779"/>
      <c r="AF196" s="779"/>
      <c r="AG196" s="779"/>
      <c r="AH196" s="779"/>
      <c r="AI196" s="779"/>
      <c r="AJ196" s="779"/>
      <c r="AK196" s="779"/>
      <c r="AL196" s="779"/>
      <c r="AM196" s="779"/>
      <c r="AN196" s="779"/>
      <c r="AO196" s="779"/>
      <c r="AP196" s="779"/>
      <c r="AQ196" s="779"/>
      <c r="AR196" s="779"/>
      <c r="AS196" s="779"/>
      <c r="AT196" s="779"/>
      <c r="AU196" s="779"/>
      <c r="AV196" s="779"/>
      <c r="AW196" s="779"/>
      <c r="AX196" s="779"/>
      <c r="AY196" s="779"/>
      <c r="AZ196" s="779"/>
      <c r="BA196" s="779"/>
      <c r="BB196" s="779"/>
      <c r="BC196" s="779"/>
      <c r="BD196" s="779"/>
      <c r="BE196" s="779"/>
      <c r="BF196" s="779"/>
      <c r="BG196" s="779"/>
      <c r="BH196" s="779"/>
      <c r="BI196" s="779"/>
      <c r="BJ196" s="779"/>
      <c r="BK196" s="779"/>
      <c r="BL196" s="779"/>
      <c r="BM196" s="779"/>
      <c r="BN196" s="779"/>
      <c r="BO196" s="779"/>
      <c r="BP196" s="779"/>
      <c r="BQ196" s="779"/>
      <c r="BR196" s="779"/>
      <c r="BS196" s="779"/>
      <c r="BT196" s="779"/>
      <c r="BU196" s="779"/>
      <c r="BV196" s="779"/>
      <c r="BW196" s="779"/>
      <c r="BX196" s="779"/>
      <c r="BY196" s="779"/>
      <c r="BZ196" s="779"/>
      <c r="CA196" s="779"/>
      <c r="CB196" s="779"/>
      <c r="CC196" s="779"/>
    </row>
    <row r="197" spans="1:81">
      <c r="A197" s="779"/>
      <c r="B197" s="779"/>
      <c r="C197" s="779"/>
      <c r="D197" s="779"/>
      <c r="E197" s="779"/>
      <c r="F197" s="779"/>
      <c r="G197" s="779"/>
      <c r="H197" s="779"/>
      <c r="I197" s="779"/>
      <c r="J197" s="779"/>
      <c r="K197" s="779"/>
      <c r="L197" s="779"/>
      <c r="M197" s="779"/>
      <c r="N197" s="779"/>
      <c r="O197" s="779"/>
      <c r="P197" s="779"/>
      <c r="Q197" s="779"/>
      <c r="R197" s="779"/>
      <c r="S197" s="779"/>
      <c r="T197" s="779"/>
      <c r="U197" s="779"/>
      <c r="V197" s="779"/>
      <c r="W197" s="779"/>
      <c r="X197" s="779"/>
      <c r="Y197" s="779"/>
      <c r="Z197" s="779"/>
      <c r="AA197" s="776"/>
      <c r="AB197" s="779"/>
      <c r="AC197" s="779"/>
      <c r="AD197" s="779"/>
      <c r="AE197" s="779"/>
      <c r="AF197" s="779"/>
      <c r="AG197" s="779"/>
      <c r="AH197" s="779"/>
      <c r="AI197" s="779"/>
      <c r="AJ197" s="779"/>
      <c r="AK197" s="779"/>
      <c r="AL197" s="779"/>
      <c r="AM197" s="779"/>
      <c r="AN197" s="779"/>
      <c r="AO197" s="779"/>
      <c r="AP197" s="779"/>
      <c r="AQ197" s="779"/>
      <c r="AR197" s="779"/>
      <c r="AS197" s="779"/>
      <c r="AT197" s="779"/>
      <c r="AU197" s="779"/>
      <c r="AV197" s="779"/>
      <c r="AW197" s="779"/>
      <c r="AX197" s="779"/>
      <c r="AY197" s="779"/>
      <c r="AZ197" s="779"/>
      <c r="BA197" s="779"/>
      <c r="BB197" s="779"/>
      <c r="BC197" s="779"/>
      <c r="BD197" s="779"/>
      <c r="BE197" s="779"/>
      <c r="BF197" s="779"/>
      <c r="BG197" s="779"/>
      <c r="BH197" s="779"/>
      <c r="BI197" s="779"/>
      <c r="BJ197" s="779"/>
      <c r="BK197" s="779"/>
      <c r="BL197" s="779"/>
      <c r="BM197" s="779"/>
      <c r="BN197" s="779"/>
      <c r="BO197" s="779"/>
      <c r="BP197" s="779"/>
      <c r="BQ197" s="779"/>
      <c r="BR197" s="779"/>
      <c r="BS197" s="779"/>
      <c r="BT197" s="779"/>
      <c r="BU197" s="779"/>
      <c r="BV197" s="779"/>
      <c r="BW197" s="779"/>
      <c r="BX197" s="779"/>
      <c r="BY197" s="779"/>
      <c r="BZ197" s="779"/>
      <c r="CA197" s="779"/>
      <c r="CB197" s="779"/>
      <c r="CC197" s="779"/>
    </row>
    <row r="198" spans="1:81">
      <c r="A198" s="779"/>
      <c r="B198" s="779"/>
      <c r="C198" s="779"/>
      <c r="D198" s="779"/>
      <c r="E198" s="779"/>
      <c r="F198" s="779"/>
      <c r="G198" s="779"/>
      <c r="H198" s="779"/>
      <c r="I198" s="779"/>
      <c r="J198" s="779"/>
      <c r="K198" s="779"/>
      <c r="L198" s="779"/>
      <c r="M198" s="779"/>
      <c r="N198" s="779"/>
      <c r="O198" s="779"/>
      <c r="P198" s="779"/>
      <c r="Q198" s="779"/>
      <c r="R198" s="779"/>
      <c r="S198" s="779"/>
      <c r="T198" s="779"/>
      <c r="U198" s="779"/>
      <c r="V198" s="779"/>
      <c r="W198" s="779"/>
      <c r="X198" s="779"/>
      <c r="Y198" s="779"/>
      <c r="Z198" s="779"/>
      <c r="AA198" s="776"/>
      <c r="AB198" s="779"/>
      <c r="AC198" s="779"/>
      <c r="AD198" s="779"/>
      <c r="AE198" s="779"/>
      <c r="AF198" s="779"/>
      <c r="AG198" s="779"/>
      <c r="AH198" s="779"/>
      <c r="AI198" s="779"/>
      <c r="AJ198" s="779"/>
      <c r="AK198" s="779"/>
      <c r="AL198" s="779"/>
      <c r="AM198" s="779"/>
      <c r="AN198" s="779"/>
      <c r="AO198" s="779"/>
      <c r="AP198" s="779"/>
      <c r="AQ198" s="779"/>
      <c r="AR198" s="779"/>
      <c r="AS198" s="779"/>
      <c r="AT198" s="779"/>
      <c r="AU198" s="779"/>
      <c r="AV198" s="779"/>
      <c r="AW198" s="779"/>
      <c r="AX198" s="779"/>
      <c r="AY198" s="779"/>
      <c r="AZ198" s="779"/>
      <c r="BA198" s="779"/>
      <c r="BB198" s="779"/>
      <c r="BC198" s="779"/>
      <c r="BD198" s="779"/>
      <c r="BE198" s="779"/>
      <c r="BF198" s="779"/>
      <c r="BG198" s="779"/>
      <c r="BH198" s="779"/>
      <c r="BI198" s="779"/>
      <c r="BJ198" s="779"/>
      <c r="BK198" s="779"/>
      <c r="BL198" s="779"/>
      <c r="BM198" s="779"/>
      <c r="BN198" s="779"/>
      <c r="BO198" s="779"/>
      <c r="BP198" s="779"/>
      <c r="BQ198" s="779"/>
      <c r="BR198" s="779"/>
      <c r="BS198" s="779"/>
      <c r="BT198" s="779"/>
      <c r="BU198" s="779"/>
      <c r="BV198" s="779"/>
      <c r="BW198" s="779"/>
      <c r="BX198" s="779"/>
      <c r="BY198" s="779"/>
      <c r="BZ198" s="779"/>
      <c r="CA198" s="779"/>
      <c r="CB198" s="779"/>
      <c r="CC198" s="779"/>
    </row>
    <row r="199" spans="1:81">
      <c r="A199" s="779"/>
      <c r="B199" s="779"/>
      <c r="C199" s="779"/>
      <c r="D199" s="779"/>
      <c r="E199" s="779"/>
      <c r="F199" s="779"/>
      <c r="G199" s="779"/>
      <c r="H199" s="779"/>
      <c r="I199" s="779"/>
      <c r="J199" s="779"/>
      <c r="K199" s="779"/>
      <c r="L199" s="779"/>
      <c r="M199" s="779"/>
      <c r="N199" s="779"/>
      <c r="O199" s="779"/>
      <c r="P199" s="779"/>
      <c r="Q199" s="779"/>
      <c r="R199" s="779"/>
      <c r="S199" s="779"/>
      <c r="T199" s="779"/>
      <c r="U199" s="779"/>
      <c r="V199" s="779"/>
      <c r="W199" s="779"/>
      <c r="X199" s="779"/>
      <c r="Y199" s="779"/>
      <c r="Z199" s="779"/>
      <c r="AA199" s="776"/>
      <c r="AB199" s="779"/>
      <c r="AC199" s="779"/>
      <c r="AD199" s="779"/>
      <c r="AE199" s="779"/>
      <c r="AF199" s="779"/>
      <c r="AG199" s="779"/>
      <c r="AH199" s="779"/>
      <c r="AI199" s="779"/>
      <c r="AJ199" s="779"/>
      <c r="AK199" s="779"/>
      <c r="AL199" s="779"/>
      <c r="AM199" s="779"/>
      <c r="AN199" s="779"/>
      <c r="AO199" s="779"/>
      <c r="AP199" s="779"/>
      <c r="AQ199" s="779"/>
      <c r="AR199" s="779"/>
      <c r="AS199" s="779"/>
      <c r="AT199" s="779"/>
      <c r="AU199" s="779"/>
      <c r="AV199" s="779"/>
      <c r="AW199" s="779"/>
      <c r="AX199" s="779"/>
      <c r="AY199" s="779"/>
      <c r="AZ199" s="779"/>
      <c r="BA199" s="779"/>
      <c r="BB199" s="779"/>
      <c r="BC199" s="779"/>
      <c r="BD199" s="779"/>
      <c r="BE199" s="779"/>
      <c r="BF199" s="779"/>
      <c r="BG199" s="779"/>
      <c r="BH199" s="779"/>
      <c r="BI199" s="779"/>
      <c r="BJ199" s="779"/>
      <c r="BK199" s="779"/>
      <c r="BL199" s="779"/>
      <c r="BM199" s="779"/>
      <c r="BN199" s="779"/>
      <c r="BO199" s="779"/>
      <c r="BP199" s="779"/>
      <c r="BQ199" s="779"/>
      <c r="BR199" s="779"/>
      <c r="BS199" s="779"/>
      <c r="BT199" s="779"/>
      <c r="BU199" s="779"/>
      <c r="BV199" s="779"/>
      <c r="BW199" s="779"/>
      <c r="BX199" s="779"/>
      <c r="BY199" s="779"/>
      <c r="BZ199" s="779"/>
      <c r="CA199" s="779"/>
      <c r="CB199" s="779"/>
      <c r="CC199" s="779"/>
    </row>
    <row r="200" spans="1:81">
      <c r="A200" s="779"/>
      <c r="B200" s="779"/>
      <c r="C200" s="779"/>
      <c r="D200" s="779"/>
      <c r="E200" s="779"/>
      <c r="F200" s="779"/>
      <c r="G200" s="779"/>
      <c r="H200" s="779"/>
      <c r="I200" s="779"/>
      <c r="J200" s="779"/>
      <c r="K200" s="779"/>
      <c r="L200" s="779"/>
      <c r="M200" s="779"/>
      <c r="N200" s="779"/>
      <c r="O200" s="779"/>
      <c r="P200" s="779"/>
      <c r="Q200" s="779"/>
      <c r="R200" s="779"/>
      <c r="S200" s="779"/>
      <c r="T200" s="779"/>
      <c r="U200" s="779"/>
      <c r="V200" s="779"/>
      <c r="W200" s="779"/>
      <c r="X200" s="779"/>
      <c r="Y200" s="779"/>
      <c r="Z200" s="779"/>
      <c r="AA200" s="776"/>
      <c r="AB200" s="779"/>
      <c r="AC200" s="779"/>
      <c r="AD200" s="779"/>
      <c r="AE200" s="779"/>
      <c r="AF200" s="779"/>
      <c r="AG200" s="779"/>
      <c r="AH200" s="779"/>
      <c r="AI200" s="779"/>
      <c r="AJ200" s="779"/>
      <c r="AK200" s="779"/>
      <c r="AL200" s="779"/>
      <c r="AM200" s="779"/>
      <c r="AN200" s="779"/>
      <c r="AO200" s="779"/>
      <c r="AP200" s="779"/>
      <c r="AQ200" s="779"/>
      <c r="AR200" s="779"/>
      <c r="AS200" s="779"/>
      <c r="AT200" s="779"/>
      <c r="AU200" s="779"/>
      <c r="AV200" s="779"/>
      <c r="AW200" s="779"/>
      <c r="AX200" s="779"/>
      <c r="AY200" s="779"/>
      <c r="AZ200" s="779"/>
      <c r="BA200" s="779"/>
      <c r="BB200" s="779"/>
      <c r="BC200" s="779"/>
      <c r="BD200" s="779"/>
      <c r="BE200" s="779"/>
      <c r="BF200" s="779"/>
      <c r="BG200" s="779"/>
      <c r="BH200" s="779"/>
      <c r="BI200" s="779"/>
      <c r="BJ200" s="779"/>
      <c r="BK200" s="779"/>
      <c r="BL200" s="779"/>
      <c r="BM200" s="779"/>
      <c r="BN200" s="779"/>
      <c r="BO200" s="779"/>
      <c r="BP200" s="779"/>
      <c r="BQ200" s="779"/>
      <c r="BR200" s="779"/>
      <c r="BS200" s="779"/>
      <c r="BT200" s="779"/>
      <c r="BU200" s="779"/>
      <c r="BV200" s="779"/>
      <c r="BW200" s="779"/>
      <c r="BX200" s="779"/>
      <c r="BY200" s="779"/>
      <c r="BZ200" s="779"/>
      <c r="CA200" s="779"/>
      <c r="CB200" s="779"/>
      <c r="CC200" s="779"/>
    </row>
    <row r="201" spans="1:81">
      <c r="A201" s="779"/>
      <c r="B201" s="779"/>
      <c r="C201" s="779"/>
      <c r="D201" s="779"/>
      <c r="E201" s="779"/>
      <c r="F201" s="779"/>
      <c r="G201" s="779"/>
      <c r="H201" s="779"/>
      <c r="I201" s="779"/>
      <c r="J201" s="779"/>
      <c r="K201" s="779"/>
      <c r="L201" s="779"/>
      <c r="M201" s="779"/>
      <c r="N201" s="779"/>
      <c r="O201" s="779"/>
      <c r="P201" s="779"/>
      <c r="Q201" s="779"/>
      <c r="R201" s="779"/>
      <c r="S201" s="779"/>
      <c r="T201" s="779"/>
      <c r="U201" s="779"/>
      <c r="V201" s="779"/>
      <c r="W201" s="779"/>
      <c r="X201" s="779"/>
      <c r="Y201" s="779"/>
      <c r="Z201" s="779"/>
      <c r="AA201" s="776"/>
      <c r="AB201" s="779"/>
      <c r="AC201" s="779"/>
      <c r="AD201" s="779"/>
      <c r="AE201" s="779"/>
      <c r="AF201" s="779"/>
      <c r="AG201" s="779"/>
      <c r="AH201" s="779"/>
      <c r="AI201" s="779"/>
      <c r="AJ201" s="779"/>
      <c r="AK201" s="779"/>
      <c r="AL201" s="779"/>
      <c r="AM201" s="779"/>
      <c r="AN201" s="779"/>
      <c r="AO201" s="779"/>
      <c r="AP201" s="779"/>
      <c r="AQ201" s="779"/>
      <c r="AR201" s="779"/>
      <c r="AS201" s="779"/>
      <c r="AT201" s="779"/>
      <c r="AU201" s="779"/>
      <c r="AV201" s="779"/>
      <c r="AW201" s="779"/>
      <c r="AX201" s="779"/>
      <c r="AY201" s="779"/>
      <c r="AZ201" s="779"/>
      <c r="BA201" s="779"/>
      <c r="BB201" s="779"/>
      <c r="BC201" s="779"/>
      <c r="BD201" s="779"/>
      <c r="BE201" s="779"/>
      <c r="BF201" s="779"/>
      <c r="BG201" s="779"/>
      <c r="BH201" s="779"/>
      <c r="BI201" s="779"/>
      <c r="BJ201" s="779"/>
      <c r="BK201" s="779"/>
      <c r="BL201" s="779"/>
      <c r="BM201" s="779"/>
      <c r="BN201" s="779"/>
      <c r="BO201" s="779"/>
      <c r="BP201" s="779"/>
      <c r="BQ201" s="779"/>
      <c r="BR201" s="779"/>
      <c r="BS201" s="779"/>
      <c r="BT201" s="779"/>
      <c r="BU201" s="779"/>
      <c r="BV201" s="779"/>
      <c r="BW201" s="779"/>
      <c r="BX201" s="779"/>
      <c r="BY201" s="779"/>
      <c r="BZ201" s="779"/>
      <c r="CA201" s="779"/>
      <c r="CB201" s="779"/>
      <c r="CC201" s="779"/>
    </row>
    <row r="202" spans="1:81">
      <c r="A202" s="779"/>
      <c r="B202" s="779"/>
      <c r="C202" s="779"/>
      <c r="D202" s="779"/>
      <c r="E202" s="779"/>
      <c r="F202" s="779"/>
      <c r="G202" s="779"/>
      <c r="H202" s="779"/>
      <c r="I202" s="779"/>
      <c r="J202" s="779"/>
      <c r="K202" s="779"/>
      <c r="L202" s="779"/>
      <c r="M202" s="779"/>
      <c r="N202" s="779"/>
      <c r="O202" s="779"/>
      <c r="P202" s="779"/>
      <c r="Q202" s="779"/>
      <c r="R202" s="779"/>
      <c r="S202" s="779"/>
      <c r="T202" s="779"/>
      <c r="U202" s="779"/>
      <c r="V202" s="779"/>
      <c r="W202" s="779"/>
      <c r="X202" s="779"/>
      <c r="Y202" s="779"/>
      <c r="Z202" s="779"/>
      <c r="AA202" s="776"/>
      <c r="AB202" s="779"/>
      <c r="AC202" s="779"/>
      <c r="AD202" s="779"/>
      <c r="AE202" s="779"/>
      <c r="AF202" s="779"/>
      <c r="AG202" s="779"/>
      <c r="AH202" s="779"/>
      <c r="AI202" s="779"/>
      <c r="AJ202" s="779"/>
      <c r="AK202" s="779"/>
      <c r="AL202" s="779"/>
      <c r="AM202" s="779"/>
      <c r="AN202" s="779"/>
      <c r="AO202" s="779"/>
      <c r="AP202" s="779"/>
      <c r="AQ202" s="779"/>
      <c r="AR202" s="779"/>
      <c r="AS202" s="779"/>
      <c r="AT202" s="779"/>
      <c r="AU202" s="779"/>
      <c r="AV202" s="779"/>
      <c r="AW202" s="779"/>
      <c r="AX202" s="779"/>
      <c r="AY202" s="779"/>
      <c r="AZ202" s="779"/>
      <c r="BA202" s="779"/>
      <c r="BB202" s="779"/>
      <c r="BC202" s="779"/>
      <c r="BD202" s="779"/>
      <c r="BE202" s="779"/>
      <c r="BF202" s="779"/>
      <c r="BG202" s="779"/>
      <c r="BH202" s="779"/>
      <c r="BI202" s="779"/>
      <c r="BJ202" s="779"/>
      <c r="BK202" s="779"/>
      <c r="BL202" s="779"/>
      <c r="BM202" s="779"/>
      <c r="BN202" s="779"/>
      <c r="BO202" s="779"/>
      <c r="BP202" s="779"/>
      <c r="BQ202" s="779"/>
      <c r="BR202" s="779"/>
      <c r="BS202" s="779"/>
      <c r="BT202" s="779"/>
      <c r="BU202" s="779"/>
      <c r="BV202" s="779"/>
      <c r="BW202" s="779"/>
      <c r="BX202" s="779"/>
      <c r="BY202" s="779"/>
      <c r="BZ202" s="779"/>
      <c r="CA202" s="779"/>
      <c r="CB202" s="779"/>
      <c r="CC202" s="779"/>
    </row>
    <row r="203" spans="1:81">
      <c r="A203" s="779"/>
      <c r="B203" s="779"/>
      <c r="C203" s="779"/>
      <c r="D203" s="779"/>
      <c r="E203" s="779"/>
      <c r="F203" s="779"/>
      <c r="G203" s="779"/>
      <c r="H203" s="779"/>
      <c r="I203" s="779"/>
      <c r="J203" s="779"/>
      <c r="K203" s="779"/>
      <c r="L203" s="779"/>
      <c r="M203" s="779"/>
      <c r="N203" s="779"/>
      <c r="O203" s="779"/>
      <c r="P203" s="779"/>
      <c r="Q203" s="779"/>
      <c r="R203" s="779"/>
      <c r="S203" s="779"/>
      <c r="T203" s="779"/>
      <c r="U203" s="779"/>
      <c r="V203" s="779"/>
      <c r="W203" s="779"/>
      <c r="X203" s="779"/>
      <c r="Y203" s="779"/>
      <c r="Z203" s="779"/>
      <c r="AA203" s="776"/>
      <c r="AB203" s="779"/>
      <c r="AC203" s="779"/>
      <c r="AD203" s="779"/>
      <c r="AE203" s="779"/>
      <c r="AF203" s="779"/>
      <c r="AG203" s="779"/>
      <c r="AH203" s="779"/>
      <c r="AI203" s="779"/>
      <c r="AJ203" s="779"/>
      <c r="AK203" s="779"/>
      <c r="AL203" s="779"/>
      <c r="AM203" s="779"/>
      <c r="AN203" s="779"/>
      <c r="AO203" s="779"/>
      <c r="AP203" s="779"/>
      <c r="AQ203" s="779"/>
      <c r="AR203" s="779"/>
      <c r="AS203" s="779"/>
      <c r="AT203" s="779"/>
      <c r="AU203" s="779"/>
      <c r="AV203" s="779"/>
      <c r="AW203" s="779"/>
      <c r="AX203" s="779"/>
      <c r="AY203" s="779"/>
      <c r="AZ203" s="779"/>
      <c r="BA203" s="779"/>
      <c r="BB203" s="779"/>
      <c r="BC203" s="779"/>
      <c r="BD203" s="779"/>
      <c r="BE203" s="779"/>
      <c r="BF203" s="779"/>
      <c r="BG203" s="779"/>
      <c r="BH203" s="779"/>
      <c r="BI203" s="779"/>
      <c r="BJ203" s="779"/>
      <c r="BK203" s="779"/>
      <c r="BL203" s="779"/>
      <c r="BM203" s="779"/>
      <c r="BN203" s="779"/>
      <c r="BO203" s="779"/>
      <c r="BP203" s="779"/>
      <c r="BQ203" s="779"/>
      <c r="BR203" s="779"/>
      <c r="BS203" s="779"/>
      <c r="BT203" s="779"/>
      <c r="BU203" s="779"/>
      <c r="BV203" s="779"/>
      <c r="BW203" s="779"/>
      <c r="BX203" s="779"/>
      <c r="BY203" s="779"/>
      <c r="BZ203" s="779"/>
      <c r="CA203" s="779"/>
      <c r="CB203" s="779"/>
      <c r="CC203" s="779"/>
    </row>
    <row r="204" spans="1:81">
      <c r="A204" s="779"/>
      <c r="B204" s="779"/>
      <c r="C204" s="779"/>
      <c r="D204" s="779"/>
      <c r="E204" s="779"/>
      <c r="F204" s="779"/>
      <c r="G204" s="779"/>
      <c r="H204" s="779"/>
      <c r="I204" s="779"/>
      <c r="J204" s="779"/>
      <c r="K204" s="779"/>
      <c r="L204" s="779"/>
      <c r="M204" s="779"/>
      <c r="N204" s="779"/>
      <c r="O204" s="779"/>
      <c r="P204" s="779"/>
      <c r="Q204" s="779"/>
      <c r="R204" s="779"/>
      <c r="S204" s="779"/>
      <c r="T204" s="779"/>
      <c r="U204" s="779"/>
      <c r="V204" s="779"/>
      <c r="W204" s="779"/>
      <c r="X204" s="779"/>
      <c r="Y204" s="779"/>
      <c r="Z204" s="779"/>
      <c r="AA204" s="776"/>
      <c r="AB204" s="779"/>
      <c r="AC204" s="779"/>
      <c r="AD204" s="779"/>
      <c r="AE204" s="779"/>
      <c r="AF204" s="779"/>
      <c r="AG204" s="779"/>
      <c r="AH204" s="779"/>
      <c r="AI204" s="779"/>
      <c r="AJ204" s="779"/>
      <c r="AK204" s="779"/>
      <c r="AL204" s="779"/>
      <c r="AM204" s="779"/>
      <c r="AN204" s="779"/>
      <c r="AO204" s="779"/>
      <c r="AP204" s="779"/>
      <c r="AQ204" s="779"/>
      <c r="AR204" s="779"/>
      <c r="AS204" s="779"/>
      <c r="AT204" s="779"/>
      <c r="AU204" s="779"/>
      <c r="AV204" s="779"/>
      <c r="AW204" s="779"/>
      <c r="AX204" s="779"/>
      <c r="AY204" s="779"/>
      <c r="AZ204" s="779"/>
      <c r="BA204" s="779"/>
      <c r="BB204" s="779"/>
      <c r="BC204" s="779"/>
      <c r="BD204" s="779"/>
      <c r="BE204" s="779"/>
      <c r="BF204" s="779"/>
      <c r="BG204" s="779"/>
      <c r="BH204" s="779"/>
      <c r="BI204" s="779"/>
      <c r="BJ204" s="779"/>
      <c r="BK204" s="779"/>
      <c r="BL204" s="779"/>
      <c r="BM204" s="779"/>
      <c r="BN204" s="779"/>
      <c r="BO204" s="779"/>
      <c r="BP204" s="779"/>
      <c r="BQ204" s="779"/>
      <c r="BR204" s="779"/>
      <c r="BS204" s="779"/>
      <c r="BT204" s="779"/>
      <c r="BU204" s="779"/>
      <c r="BV204" s="779"/>
      <c r="BW204" s="779"/>
      <c r="BX204" s="779"/>
      <c r="BY204" s="779"/>
      <c r="BZ204" s="779"/>
      <c r="CA204" s="779"/>
      <c r="CB204" s="779"/>
      <c r="CC204" s="779"/>
    </row>
    <row r="205" spans="1:81">
      <c r="A205" s="779"/>
      <c r="B205" s="779"/>
      <c r="C205" s="779"/>
      <c r="D205" s="779"/>
      <c r="E205" s="779"/>
      <c r="F205" s="779"/>
      <c r="G205" s="779"/>
      <c r="H205" s="779"/>
      <c r="I205" s="779"/>
      <c r="J205" s="779"/>
      <c r="K205" s="779"/>
      <c r="L205" s="779"/>
      <c r="M205" s="779"/>
      <c r="N205" s="779"/>
      <c r="O205" s="779"/>
      <c r="P205" s="779"/>
      <c r="Q205" s="779"/>
      <c r="R205" s="779"/>
      <c r="S205" s="779"/>
      <c r="T205" s="779"/>
      <c r="U205" s="779"/>
      <c r="V205" s="779"/>
      <c r="W205" s="779"/>
      <c r="X205" s="779"/>
      <c r="Y205" s="779"/>
      <c r="Z205" s="779"/>
      <c r="AA205" s="776"/>
      <c r="AB205" s="779"/>
      <c r="AC205" s="779"/>
      <c r="AD205" s="779"/>
      <c r="AE205" s="779"/>
      <c r="AF205" s="779"/>
      <c r="AG205" s="779"/>
      <c r="AH205" s="779"/>
      <c r="AI205" s="779"/>
      <c r="AJ205" s="779"/>
      <c r="AK205" s="779"/>
      <c r="AL205" s="779"/>
      <c r="AM205" s="779"/>
      <c r="AN205" s="779"/>
      <c r="AO205" s="779"/>
      <c r="AP205" s="779"/>
      <c r="AQ205" s="779"/>
      <c r="AR205" s="779"/>
      <c r="AS205" s="779"/>
      <c r="AT205" s="779"/>
      <c r="AU205" s="779"/>
      <c r="AV205" s="779"/>
      <c r="AW205" s="779"/>
      <c r="AX205" s="779"/>
      <c r="AY205" s="779"/>
      <c r="AZ205" s="779"/>
      <c r="BA205" s="779"/>
      <c r="BB205" s="779"/>
      <c r="BC205" s="779"/>
      <c r="BD205" s="779"/>
      <c r="BE205" s="779"/>
      <c r="BF205" s="779"/>
      <c r="BG205" s="779"/>
      <c r="BH205" s="779"/>
      <c r="BI205" s="779"/>
      <c r="BJ205" s="779"/>
      <c r="BK205" s="779"/>
      <c r="BL205" s="779"/>
      <c r="BM205" s="779"/>
      <c r="BN205" s="779"/>
      <c r="BO205" s="779"/>
      <c r="BP205" s="779"/>
      <c r="BQ205" s="779"/>
      <c r="BR205" s="779"/>
      <c r="BS205" s="779"/>
      <c r="BT205" s="779"/>
      <c r="BU205" s="779"/>
      <c r="BV205" s="779"/>
      <c r="BW205" s="779"/>
      <c r="BX205" s="779"/>
      <c r="BY205" s="779"/>
      <c r="BZ205" s="779"/>
      <c r="CA205" s="779"/>
      <c r="CB205" s="779"/>
      <c r="CC205" s="779"/>
    </row>
    <row r="206" spans="1:81">
      <c r="A206" s="779"/>
      <c r="B206" s="779"/>
      <c r="C206" s="779"/>
      <c r="D206" s="779"/>
      <c r="E206" s="779"/>
      <c r="F206" s="779"/>
      <c r="G206" s="779"/>
      <c r="H206" s="779"/>
      <c r="I206" s="779"/>
      <c r="J206" s="779"/>
      <c r="K206" s="779"/>
      <c r="L206" s="779"/>
      <c r="M206" s="779"/>
      <c r="N206" s="779"/>
      <c r="O206" s="779"/>
      <c r="P206" s="779"/>
      <c r="Q206" s="779"/>
      <c r="R206" s="779"/>
      <c r="S206" s="779"/>
      <c r="T206" s="779"/>
      <c r="U206" s="779"/>
      <c r="V206" s="779"/>
      <c r="W206" s="779"/>
      <c r="X206" s="779"/>
      <c r="Y206" s="779"/>
      <c r="Z206" s="779"/>
      <c r="AA206" s="776"/>
      <c r="AB206" s="779"/>
      <c r="AC206" s="779"/>
      <c r="AD206" s="779"/>
      <c r="AE206" s="779"/>
      <c r="AF206" s="779"/>
      <c r="AG206" s="779"/>
      <c r="AH206" s="779"/>
      <c r="AI206" s="779"/>
      <c r="AJ206" s="779"/>
      <c r="AK206" s="779"/>
      <c r="AL206" s="779"/>
      <c r="AM206" s="779"/>
      <c r="AN206" s="779"/>
      <c r="AO206" s="779"/>
      <c r="AP206" s="779"/>
      <c r="AQ206" s="779"/>
      <c r="AR206" s="779"/>
      <c r="AS206" s="779"/>
      <c r="AT206" s="779"/>
      <c r="AU206" s="779"/>
      <c r="AV206" s="779"/>
      <c r="AW206" s="779"/>
      <c r="AX206" s="779"/>
      <c r="AY206" s="779"/>
      <c r="AZ206" s="779"/>
      <c r="BA206" s="779"/>
      <c r="BB206" s="779"/>
      <c r="BC206" s="779"/>
      <c r="BD206" s="779"/>
      <c r="BE206" s="779"/>
      <c r="BF206" s="779"/>
      <c r="BG206" s="779"/>
      <c r="BH206" s="779"/>
      <c r="BI206" s="779"/>
      <c r="BJ206" s="779"/>
      <c r="BK206" s="779"/>
      <c r="BL206" s="779"/>
      <c r="BM206" s="779"/>
      <c r="BN206" s="779"/>
      <c r="BO206" s="779"/>
      <c r="BP206" s="779"/>
      <c r="BQ206" s="779"/>
      <c r="BR206" s="779"/>
      <c r="BS206" s="779"/>
      <c r="BT206" s="779"/>
      <c r="BU206" s="779"/>
      <c r="BV206" s="779"/>
      <c r="BW206" s="779"/>
      <c r="BX206" s="779"/>
      <c r="BY206" s="779"/>
      <c r="BZ206" s="779"/>
      <c r="CA206" s="779"/>
      <c r="CB206" s="779"/>
      <c r="CC206" s="779"/>
    </row>
    <row r="207" spans="1:81">
      <c r="A207" s="779"/>
      <c r="B207" s="779"/>
      <c r="C207" s="779"/>
      <c r="D207" s="779"/>
      <c r="E207" s="779"/>
      <c r="F207" s="779"/>
      <c r="G207" s="779"/>
      <c r="H207" s="779"/>
      <c r="I207" s="779"/>
      <c r="J207" s="779"/>
      <c r="K207" s="779"/>
      <c r="L207" s="779"/>
      <c r="M207" s="779"/>
      <c r="N207" s="779"/>
      <c r="O207" s="779"/>
      <c r="P207" s="779"/>
      <c r="Q207" s="779"/>
      <c r="R207" s="779"/>
      <c r="S207" s="779"/>
      <c r="T207" s="779"/>
      <c r="U207" s="779"/>
      <c r="V207" s="779"/>
      <c r="W207" s="779"/>
      <c r="X207" s="779"/>
      <c r="Y207" s="779"/>
      <c r="Z207" s="779"/>
      <c r="AA207" s="776"/>
      <c r="AB207" s="779"/>
      <c r="AC207" s="779"/>
      <c r="AD207" s="779"/>
      <c r="AE207" s="779"/>
      <c r="AF207" s="779"/>
      <c r="AG207" s="779"/>
      <c r="AH207" s="779"/>
      <c r="AI207" s="779"/>
      <c r="AJ207" s="779"/>
      <c r="AK207" s="779"/>
      <c r="AL207" s="779"/>
      <c r="AM207" s="779"/>
      <c r="AN207" s="779"/>
      <c r="AO207" s="779"/>
      <c r="AP207" s="779"/>
      <c r="AQ207" s="779"/>
      <c r="AR207" s="779"/>
      <c r="AS207" s="779"/>
      <c r="AT207" s="779"/>
      <c r="AU207" s="779"/>
      <c r="AV207" s="779"/>
      <c r="AW207" s="779"/>
      <c r="AX207" s="779"/>
      <c r="AY207" s="779"/>
      <c r="AZ207" s="779"/>
      <c r="BA207" s="779"/>
      <c r="BB207" s="779"/>
      <c r="BC207" s="779"/>
      <c r="BD207" s="779"/>
      <c r="BE207" s="779"/>
      <c r="BF207" s="779"/>
      <c r="BG207" s="779"/>
      <c r="BH207" s="779"/>
      <c r="BI207" s="779"/>
      <c r="BJ207" s="779"/>
      <c r="BK207" s="779"/>
      <c r="BL207" s="779"/>
      <c r="BM207" s="779"/>
      <c r="BN207" s="779"/>
      <c r="BO207" s="779"/>
      <c r="BP207" s="779"/>
      <c r="BQ207" s="779"/>
      <c r="BR207" s="779"/>
      <c r="BS207" s="779"/>
      <c r="BT207" s="779"/>
      <c r="BU207" s="779"/>
      <c r="BV207" s="779"/>
      <c r="BW207" s="779"/>
      <c r="BX207" s="779"/>
      <c r="BY207" s="779"/>
      <c r="BZ207" s="779"/>
      <c r="CA207" s="779"/>
      <c r="CB207" s="779"/>
      <c r="CC207" s="779"/>
    </row>
    <row r="208" spans="1:81">
      <c r="A208" s="779"/>
      <c r="B208" s="779"/>
      <c r="C208" s="779"/>
      <c r="D208" s="779"/>
      <c r="E208" s="779"/>
      <c r="F208" s="779"/>
      <c r="G208" s="779"/>
      <c r="H208" s="779"/>
      <c r="I208" s="779"/>
      <c r="J208" s="779"/>
      <c r="K208" s="779"/>
      <c r="L208" s="779"/>
      <c r="M208" s="779"/>
      <c r="N208" s="779"/>
      <c r="O208" s="779"/>
      <c r="P208" s="779"/>
      <c r="Q208" s="779"/>
      <c r="R208" s="779"/>
      <c r="S208" s="779"/>
      <c r="T208" s="779"/>
      <c r="U208" s="779"/>
      <c r="V208" s="779"/>
      <c r="W208" s="779"/>
      <c r="X208" s="779"/>
      <c r="Y208" s="779"/>
      <c r="Z208" s="779"/>
      <c r="AA208" s="776"/>
      <c r="AB208" s="779"/>
      <c r="AC208" s="779"/>
      <c r="AD208" s="779"/>
      <c r="AE208" s="779"/>
      <c r="AF208" s="779"/>
      <c r="AG208" s="779"/>
      <c r="AH208" s="779"/>
      <c r="AI208" s="779"/>
      <c r="AJ208" s="779"/>
      <c r="AK208" s="779"/>
      <c r="AL208" s="779"/>
      <c r="AM208" s="779"/>
      <c r="AN208" s="779"/>
      <c r="AO208" s="779"/>
      <c r="AP208" s="779"/>
      <c r="AQ208" s="779"/>
      <c r="AR208" s="779"/>
      <c r="AS208" s="779"/>
      <c r="AT208" s="779"/>
      <c r="AU208" s="779"/>
      <c r="AV208" s="779"/>
      <c r="AW208" s="779"/>
      <c r="AX208" s="779"/>
      <c r="AY208" s="779"/>
      <c r="AZ208" s="779"/>
      <c r="BA208" s="779"/>
      <c r="BB208" s="779"/>
      <c r="BC208" s="779"/>
      <c r="BD208" s="779"/>
      <c r="BE208" s="779"/>
      <c r="BF208" s="779"/>
      <c r="BG208" s="779"/>
      <c r="BH208" s="779"/>
      <c r="BI208" s="779"/>
      <c r="BJ208" s="779"/>
      <c r="BK208" s="779"/>
      <c r="BL208" s="779"/>
      <c r="BM208" s="779"/>
      <c r="BN208" s="779"/>
      <c r="BO208" s="779"/>
      <c r="BP208" s="779"/>
      <c r="BQ208" s="779"/>
      <c r="BR208" s="779"/>
      <c r="BS208" s="779"/>
      <c r="BT208" s="779"/>
      <c r="BU208" s="779"/>
      <c r="BV208" s="779"/>
      <c r="BW208" s="779"/>
      <c r="BX208" s="779"/>
      <c r="BY208" s="779"/>
      <c r="BZ208" s="779"/>
      <c r="CA208" s="779"/>
      <c r="CB208" s="779"/>
      <c r="CC208" s="779"/>
    </row>
    <row r="209" spans="1:81">
      <c r="A209" s="779"/>
      <c r="B209" s="779"/>
      <c r="C209" s="779"/>
      <c r="D209" s="779"/>
      <c r="E209" s="779"/>
      <c r="F209" s="779"/>
      <c r="G209" s="779"/>
      <c r="H209" s="779"/>
      <c r="I209" s="779"/>
      <c r="J209" s="779"/>
      <c r="K209" s="779"/>
      <c r="L209" s="779"/>
      <c r="M209" s="779"/>
      <c r="N209" s="779"/>
      <c r="O209" s="779"/>
      <c r="P209" s="779"/>
      <c r="Q209" s="779"/>
      <c r="R209" s="779"/>
      <c r="S209" s="779"/>
      <c r="T209" s="779"/>
      <c r="U209" s="779"/>
      <c r="V209" s="779"/>
      <c r="W209" s="779"/>
      <c r="X209" s="779"/>
      <c r="Y209" s="779"/>
      <c r="Z209" s="779"/>
      <c r="AA209" s="779"/>
      <c r="AB209" s="779"/>
      <c r="AC209" s="779"/>
      <c r="AD209" s="779"/>
      <c r="AE209" s="779"/>
      <c r="AF209" s="779"/>
      <c r="AG209" s="779"/>
      <c r="AH209" s="779"/>
      <c r="AI209" s="779"/>
      <c r="AJ209" s="779"/>
      <c r="AK209" s="779"/>
      <c r="AL209" s="779"/>
      <c r="AM209" s="779"/>
      <c r="AN209" s="779"/>
      <c r="AO209" s="779"/>
      <c r="AP209" s="779"/>
      <c r="AQ209" s="779"/>
      <c r="AR209" s="779"/>
      <c r="AS209" s="779"/>
      <c r="AT209" s="779"/>
      <c r="AU209" s="779"/>
      <c r="AV209" s="779"/>
      <c r="AW209" s="779"/>
      <c r="AX209" s="779"/>
      <c r="AY209" s="779"/>
      <c r="AZ209" s="779"/>
      <c r="BA209" s="779"/>
      <c r="BB209" s="779"/>
      <c r="BC209" s="779"/>
      <c r="BD209" s="779"/>
      <c r="BE209" s="779"/>
      <c r="BF209" s="779"/>
      <c r="BG209" s="779"/>
      <c r="BH209" s="779"/>
      <c r="BI209" s="779"/>
      <c r="BJ209" s="779"/>
      <c r="BK209" s="779"/>
      <c r="BL209" s="779"/>
      <c r="BM209" s="779"/>
      <c r="BN209" s="779"/>
      <c r="BO209" s="779"/>
      <c r="BP209" s="779"/>
      <c r="BQ209" s="779"/>
      <c r="BR209" s="779"/>
      <c r="BS209" s="779"/>
      <c r="BT209" s="779"/>
      <c r="BU209" s="779"/>
      <c r="BV209" s="779"/>
      <c r="BW209" s="779"/>
      <c r="BX209" s="779"/>
      <c r="BY209" s="779"/>
      <c r="BZ209" s="779"/>
      <c r="CA209" s="779"/>
      <c r="CB209" s="779"/>
      <c r="CC209" s="779"/>
    </row>
    <row r="210" spans="1:81">
      <c r="A210" s="779"/>
      <c r="B210" s="779"/>
      <c r="C210" s="779"/>
      <c r="D210" s="779"/>
      <c r="E210" s="779"/>
      <c r="F210" s="779"/>
      <c r="G210" s="779"/>
      <c r="H210" s="779"/>
      <c r="I210" s="779"/>
      <c r="J210" s="779"/>
      <c r="K210" s="779"/>
      <c r="L210" s="779"/>
      <c r="M210" s="779"/>
      <c r="N210" s="779"/>
      <c r="O210" s="779"/>
      <c r="P210" s="779"/>
      <c r="Q210" s="779"/>
      <c r="R210" s="779"/>
      <c r="S210" s="779"/>
      <c r="T210" s="779"/>
      <c r="U210" s="779"/>
      <c r="V210" s="779"/>
      <c r="W210" s="779"/>
      <c r="X210" s="779"/>
      <c r="Y210" s="779"/>
      <c r="Z210" s="779"/>
      <c r="AA210" s="779"/>
      <c r="AB210" s="779"/>
      <c r="AC210" s="779"/>
      <c r="AD210" s="779"/>
      <c r="AE210" s="779"/>
      <c r="AF210" s="779"/>
      <c r="AG210" s="779"/>
      <c r="AH210" s="779"/>
      <c r="AI210" s="779"/>
      <c r="AJ210" s="779"/>
      <c r="AK210" s="779"/>
      <c r="AL210" s="779"/>
      <c r="AM210" s="779"/>
      <c r="AN210" s="779"/>
      <c r="AO210" s="779"/>
      <c r="AP210" s="779"/>
      <c r="AQ210" s="779"/>
      <c r="AR210" s="779"/>
      <c r="AS210" s="779"/>
      <c r="AT210" s="779"/>
      <c r="AU210" s="779"/>
      <c r="AV210" s="779"/>
      <c r="AW210" s="779"/>
      <c r="AX210" s="779"/>
      <c r="AY210" s="779"/>
      <c r="AZ210" s="779"/>
      <c r="BA210" s="779"/>
      <c r="BB210" s="779"/>
      <c r="BC210" s="779"/>
      <c r="BD210" s="779"/>
      <c r="BE210" s="779"/>
      <c r="BF210" s="779"/>
      <c r="BG210" s="779"/>
      <c r="BH210" s="779"/>
      <c r="BI210" s="779"/>
      <c r="BJ210" s="779"/>
      <c r="BK210" s="779"/>
      <c r="BL210" s="779"/>
      <c r="BM210" s="779"/>
      <c r="BN210" s="779"/>
      <c r="BO210" s="779"/>
      <c r="BP210" s="779"/>
      <c r="BQ210" s="779"/>
      <c r="BR210" s="779"/>
      <c r="BS210" s="779"/>
      <c r="BT210" s="779"/>
      <c r="BU210" s="779"/>
      <c r="BV210" s="779"/>
      <c r="BW210" s="779"/>
      <c r="BX210" s="779"/>
      <c r="BY210" s="779"/>
      <c r="BZ210" s="779"/>
      <c r="CA210" s="779"/>
      <c r="CB210" s="779"/>
      <c r="CC210" s="779"/>
    </row>
    <row r="211" spans="1:81">
      <c r="A211" s="779"/>
      <c r="B211" s="779"/>
      <c r="C211" s="779"/>
      <c r="D211" s="779"/>
      <c r="E211" s="779"/>
      <c r="F211" s="779"/>
      <c r="G211" s="779"/>
      <c r="H211" s="779"/>
      <c r="I211" s="779"/>
      <c r="J211" s="779"/>
      <c r="K211" s="779"/>
      <c r="L211" s="779"/>
      <c r="M211" s="779"/>
      <c r="N211" s="779"/>
      <c r="O211" s="779"/>
      <c r="P211" s="779"/>
      <c r="Q211" s="779"/>
      <c r="R211" s="779"/>
      <c r="S211" s="779"/>
      <c r="T211" s="779"/>
      <c r="U211" s="779"/>
      <c r="V211" s="779"/>
      <c r="W211" s="779"/>
      <c r="X211" s="779"/>
      <c r="Y211" s="779"/>
      <c r="Z211" s="779"/>
      <c r="AA211" s="779"/>
      <c r="AB211" s="779"/>
      <c r="AC211" s="779"/>
      <c r="AD211" s="779"/>
      <c r="AE211" s="779"/>
      <c r="AF211" s="779"/>
      <c r="AG211" s="779"/>
      <c r="AH211" s="779"/>
      <c r="AI211" s="779"/>
      <c r="AJ211" s="779"/>
      <c r="AK211" s="779"/>
      <c r="AL211" s="779"/>
      <c r="AM211" s="779"/>
      <c r="AN211" s="779"/>
      <c r="AO211" s="779"/>
      <c r="AP211" s="779"/>
      <c r="AQ211" s="779"/>
      <c r="AR211" s="779"/>
      <c r="AS211" s="779"/>
      <c r="AT211" s="779"/>
      <c r="AU211" s="779"/>
      <c r="AV211" s="779"/>
      <c r="AW211" s="779"/>
      <c r="AX211" s="779"/>
      <c r="AY211" s="779"/>
      <c r="AZ211" s="779"/>
      <c r="BA211" s="779"/>
      <c r="BB211" s="779"/>
      <c r="BC211" s="779"/>
      <c r="BD211" s="779"/>
      <c r="BE211" s="779"/>
      <c r="BF211" s="779"/>
      <c r="BG211" s="779"/>
      <c r="BH211" s="779"/>
      <c r="BI211" s="779"/>
      <c r="BJ211" s="779"/>
      <c r="BK211" s="779"/>
      <c r="BL211" s="779"/>
      <c r="BM211" s="779"/>
      <c r="BN211" s="779"/>
      <c r="BO211" s="779"/>
      <c r="BP211" s="779"/>
      <c r="BQ211" s="779"/>
      <c r="BR211" s="779"/>
      <c r="BS211" s="779"/>
      <c r="BT211" s="779"/>
      <c r="BU211" s="779"/>
      <c r="BV211" s="779"/>
      <c r="BW211" s="779"/>
      <c r="BX211" s="779"/>
      <c r="BY211" s="779"/>
      <c r="BZ211" s="779"/>
      <c r="CA211" s="779"/>
      <c r="CB211" s="779"/>
      <c r="CC211" s="779"/>
    </row>
    <row r="212" spans="1:81">
      <c r="A212" s="779"/>
      <c r="B212" s="779"/>
      <c r="C212" s="779"/>
      <c r="D212" s="779"/>
      <c r="E212" s="779"/>
      <c r="F212" s="779"/>
      <c r="G212" s="779"/>
      <c r="H212" s="779"/>
      <c r="I212" s="779"/>
      <c r="J212" s="779"/>
      <c r="K212" s="779"/>
      <c r="L212" s="779"/>
      <c r="M212" s="779"/>
      <c r="N212" s="779"/>
      <c r="O212" s="779"/>
      <c r="P212" s="779"/>
      <c r="Q212" s="779"/>
      <c r="R212" s="779"/>
      <c r="S212" s="779"/>
      <c r="T212" s="779"/>
      <c r="U212" s="779"/>
      <c r="V212" s="779"/>
      <c r="W212" s="779"/>
      <c r="X212" s="779"/>
      <c r="Y212" s="779"/>
      <c r="Z212" s="779"/>
      <c r="AA212" s="779"/>
      <c r="AB212" s="779"/>
      <c r="AC212" s="779"/>
      <c r="AD212" s="779"/>
      <c r="AE212" s="779"/>
      <c r="AF212" s="779"/>
      <c r="AG212" s="779"/>
      <c r="AH212" s="779"/>
      <c r="AI212" s="779"/>
      <c r="AJ212" s="779"/>
      <c r="AK212" s="779"/>
      <c r="AL212" s="779"/>
      <c r="AM212" s="779"/>
      <c r="AN212" s="779"/>
      <c r="AO212" s="779"/>
      <c r="AP212" s="779"/>
      <c r="AQ212" s="779"/>
      <c r="AR212" s="779"/>
      <c r="AS212" s="779"/>
      <c r="AT212" s="779"/>
      <c r="AU212" s="779"/>
      <c r="AV212" s="779"/>
      <c r="AW212" s="779"/>
      <c r="AX212" s="779"/>
      <c r="AY212" s="779"/>
      <c r="AZ212" s="779"/>
      <c r="BA212" s="779"/>
      <c r="BB212" s="779"/>
      <c r="BC212" s="779"/>
      <c r="BD212" s="779"/>
      <c r="BE212" s="779"/>
      <c r="BF212" s="779"/>
      <c r="BG212" s="779"/>
      <c r="BH212" s="779"/>
      <c r="BI212" s="779"/>
      <c r="BJ212" s="779"/>
      <c r="BK212" s="779"/>
      <c r="BL212" s="779"/>
      <c r="BM212" s="779"/>
      <c r="BN212" s="779"/>
      <c r="BO212" s="779"/>
      <c r="BP212" s="779"/>
      <c r="BQ212" s="779"/>
      <c r="BR212" s="779"/>
      <c r="BS212" s="779"/>
      <c r="BT212" s="779"/>
      <c r="BU212" s="779"/>
      <c r="BV212" s="779"/>
      <c r="BW212" s="779"/>
      <c r="BX212" s="779"/>
      <c r="BY212" s="779"/>
      <c r="BZ212" s="779"/>
      <c r="CA212" s="779"/>
      <c r="CB212" s="779"/>
      <c r="CC212" s="779"/>
    </row>
    <row r="213" spans="1:81">
      <c r="A213" s="779"/>
      <c r="B213" s="779"/>
      <c r="C213" s="779"/>
      <c r="D213" s="779"/>
      <c r="E213" s="779"/>
      <c r="F213" s="779"/>
      <c r="G213" s="779"/>
      <c r="H213" s="779"/>
      <c r="I213" s="779"/>
      <c r="J213" s="779"/>
      <c r="K213" s="779"/>
      <c r="L213" s="779"/>
      <c r="M213" s="779"/>
      <c r="N213" s="779"/>
      <c r="O213" s="779"/>
      <c r="P213" s="779"/>
      <c r="Q213" s="779"/>
      <c r="R213" s="779"/>
      <c r="S213" s="779"/>
      <c r="T213" s="779"/>
      <c r="U213" s="779"/>
      <c r="V213" s="779"/>
      <c r="W213" s="779"/>
      <c r="X213" s="779"/>
      <c r="Y213" s="779"/>
      <c r="Z213" s="779"/>
      <c r="AA213" s="779"/>
      <c r="AB213" s="779"/>
      <c r="AC213" s="779"/>
      <c r="AD213" s="779"/>
      <c r="AE213" s="779"/>
      <c r="AF213" s="779"/>
      <c r="AG213" s="779"/>
      <c r="AH213" s="779"/>
      <c r="AI213" s="779"/>
      <c r="AJ213" s="779"/>
      <c r="AK213" s="779"/>
      <c r="AL213" s="779"/>
      <c r="AM213" s="779"/>
      <c r="AN213" s="779"/>
      <c r="AO213" s="779"/>
      <c r="AP213" s="779"/>
      <c r="AQ213" s="779"/>
      <c r="AR213" s="779"/>
      <c r="AS213" s="779"/>
      <c r="AT213" s="779"/>
      <c r="AU213" s="779"/>
      <c r="AV213" s="779"/>
      <c r="AW213" s="779"/>
      <c r="AX213" s="779"/>
      <c r="AY213" s="779"/>
      <c r="AZ213" s="779"/>
      <c r="BA213" s="779"/>
      <c r="BB213" s="779"/>
      <c r="BC213" s="779"/>
      <c r="BD213" s="779"/>
      <c r="BE213" s="779"/>
      <c r="BF213" s="779"/>
      <c r="BG213" s="779"/>
      <c r="BH213" s="779"/>
      <c r="BI213" s="779"/>
      <c r="BJ213" s="779"/>
      <c r="BK213" s="779"/>
      <c r="BL213" s="779"/>
      <c r="BM213" s="779"/>
      <c r="BN213" s="779"/>
      <c r="BO213" s="779"/>
      <c r="BP213" s="779"/>
      <c r="BQ213" s="779"/>
      <c r="BR213" s="779"/>
      <c r="BS213" s="779"/>
      <c r="BT213" s="779"/>
      <c r="BU213" s="779"/>
      <c r="BV213" s="779"/>
      <c r="BW213" s="779"/>
      <c r="BX213" s="779"/>
      <c r="BY213" s="779"/>
      <c r="BZ213" s="779"/>
      <c r="CA213" s="779"/>
      <c r="CB213" s="779"/>
      <c r="CC213" s="779"/>
    </row>
    <row r="214" spans="1:81">
      <c r="A214" s="779"/>
      <c r="B214" s="779"/>
      <c r="C214" s="779"/>
      <c r="D214" s="779"/>
      <c r="E214" s="779"/>
      <c r="F214" s="779"/>
      <c r="G214" s="779"/>
      <c r="H214" s="779"/>
      <c r="I214" s="779"/>
      <c r="J214" s="779"/>
      <c r="K214" s="779"/>
      <c r="L214" s="779"/>
      <c r="M214" s="779"/>
      <c r="N214" s="779"/>
      <c r="O214" s="779"/>
      <c r="P214" s="779"/>
      <c r="Q214" s="779"/>
      <c r="R214" s="779"/>
      <c r="S214" s="779"/>
      <c r="T214" s="779"/>
      <c r="U214" s="779"/>
      <c r="V214" s="779"/>
      <c r="W214" s="779"/>
      <c r="X214" s="779"/>
      <c r="Y214" s="779"/>
      <c r="Z214" s="779"/>
      <c r="AA214" s="779"/>
      <c r="AB214" s="779"/>
      <c r="AC214" s="779"/>
      <c r="AD214" s="779"/>
      <c r="AE214" s="779"/>
      <c r="AF214" s="779"/>
      <c r="AG214" s="779"/>
      <c r="AH214" s="779"/>
      <c r="AI214" s="779"/>
      <c r="AJ214" s="779"/>
      <c r="AK214" s="779"/>
      <c r="AL214" s="779"/>
      <c r="AM214" s="779"/>
      <c r="AN214" s="779"/>
      <c r="AO214" s="779"/>
      <c r="AP214" s="779"/>
      <c r="AQ214" s="779"/>
      <c r="AR214" s="779"/>
      <c r="AS214" s="779"/>
      <c r="AT214" s="779"/>
      <c r="AU214" s="779"/>
      <c r="AV214" s="779"/>
      <c r="AW214" s="779"/>
      <c r="AX214" s="779"/>
      <c r="AY214" s="779"/>
      <c r="AZ214" s="779"/>
      <c r="BA214" s="779"/>
      <c r="BB214" s="779"/>
      <c r="BC214" s="779"/>
      <c r="BD214" s="779"/>
      <c r="BE214" s="779"/>
      <c r="BF214" s="779"/>
      <c r="BG214" s="779"/>
      <c r="BH214" s="779"/>
      <c r="BI214" s="779"/>
      <c r="BJ214" s="779"/>
      <c r="BK214" s="779"/>
      <c r="BL214" s="779"/>
      <c r="BM214" s="779"/>
      <c r="BN214" s="779"/>
      <c r="BO214" s="779"/>
      <c r="BP214" s="779"/>
      <c r="BQ214" s="779"/>
      <c r="BR214" s="779"/>
      <c r="BS214" s="779"/>
      <c r="BT214" s="779"/>
      <c r="BU214" s="779"/>
      <c r="BV214" s="779"/>
      <c r="BW214" s="779"/>
      <c r="BX214" s="779"/>
      <c r="BY214" s="779"/>
      <c r="BZ214" s="779"/>
      <c r="CA214" s="779"/>
      <c r="CB214" s="779"/>
      <c r="CC214" s="779"/>
    </row>
    <row r="215" spans="1:81">
      <c r="A215" s="779"/>
      <c r="B215" s="779"/>
      <c r="C215" s="779"/>
      <c r="D215" s="779"/>
      <c r="E215" s="779"/>
      <c r="F215" s="779"/>
      <c r="G215" s="779"/>
      <c r="H215" s="779"/>
      <c r="I215" s="779"/>
      <c r="J215" s="779"/>
      <c r="K215" s="779"/>
      <c r="L215" s="779"/>
      <c r="M215" s="779"/>
      <c r="N215" s="779"/>
      <c r="O215" s="779"/>
      <c r="P215" s="779"/>
      <c r="Q215" s="779"/>
      <c r="R215" s="779"/>
      <c r="S215" s="779"/>
      <c r="T215" s="779"/>
      <c r="U215" s="779"/>
      <c r="V215" s="779"/>
      <c r="W215" s="779"/>
      <c r="X215" s="779"/>
      <c r="Y215" s="779"/>
      <c r="Z215" s="779"/>
      <c r="AA215" s="779"/>
      <c r="AB215" s="779"/>
      <c r="AC215" s="779"/>
      <c r="AD215" s="779"/>
      <c r="AE215" s="779"/>
      <c r="AF215" s="779"/>
      <c r="AG215" s="779"/>
      <c r="AH215" s="779"/>
      <c r="AI215" s="779"/>
      <c r="AJ215" s="779"/>
      <c r="AK215" s="779"/>
      <c r="AL215" s="779"/>
      <c r="AM215" s="779"/>
      <c r="AN215" s="779"/>
      <c r="AO215" s="779"/>
      <c r="AP215" s="779"/>
      <c r="AQ215" s="779"/>
      <c r="AR215" s="779"/>
      <c r="AS215" s="779"/>
      <c r="AT215" s="779"/>
      <c r="AU215" s="779"/>
      <c r="AV215" s="779"/>
      <c r="AW215" s="779"/>
      <c r="AX215" s="779"/>
      <c r="AY215" s="779"/>
      <c r="AZ215" s="779"/>
      <c r="BA215" s="779"/>
      <c r="BB215" s="779"/>
      <c r="BC215" s="779"/>
      <c r="BD215" s="779"/>
      <c r="BE215" s="779"/>
      <c r="BF215" s="779"/>
      <c r="BG215" s="779"/>
      <c r="BH215" s="779"/>
      <c r="BI215" s="779"/>
      <c r="BJ215" s="779"/>
      <c r="BK215" s="779"/>
      <c r="BL215" s="779"/>
      <c r="BM215" s="779"/>
      <c r="BN215" s="779"/>
      <c r="BO215" s="779"/>
      <c r="BP215" s="779"/>
      <c r="BQ215" s="779"/>
      <c r="BR215" s="779"/>
      <c r="BS215" s="779"/>
      <c r="BT215" s="779"/>
      <c r="BU215" s="779"/>
      <c r="BV215" s="779"/>
      <c r="BW215" s="779"/>
      <c r="BX215" s="779"/>
      <c r="BY215" s="779"/>
      <c r="BZ215" s="779"/>
      <c r="CA215" s="779"/>
      <c r="CB215" s="779"/>
      <c r="CC215" s="779"/>
    </row>
    <row r="216" spans="1:81">
      <c r="A216" s="779"/>
      <c r="B216" s="779"/>
      <c r="C216" s="779"/>
      <c r="D216" s="779"/>
      <c r="E216" s="779"/>
      <c r="F216" s="779"/>
      <c r="G216" s="779"/>
      <c r="H216" s="779"/>
      <c r="I216" s="779"/>
      <c r="J216" s="779"/>
      <c r="K216" s="779"/>
      <c r="L216" s="779"/>
      <c r="M216" s="779"/>
      <c r="N216" s="779"/>
      <c r="O216" s="779"/>
      <c r="P216" s="779"/>
      <c r="Q216" s="779"/>
      <c r="R216" s="779"/>
      <c r="S216" s="779"/>
      <c r="T216" s="779"/>
      <c r="U216" s="779"/>
      <c r="V216" s="779"/>
      <c r="W216" s="779"/>
      <c r="X216" s="779"/>
      <c r="Y216" s="779"/>
      <c r="Z216" s="779"/>
      <c r="AA216" s="779"/>
      <c r="AB216" s="779"/>
      <c r="AC216" s="779"/>
      <c r="AD216" s="779"/>
      <c r="AE216" s="779"/>
      <c r="AF216" s="779"/>
      <c r="AG216" s="779"/>
      <c r="AH216" s="779"/>
      <c r="AI216" s="779"/>
      <c r="AJ216" s="779"/>
      <c r="AK216" s="779"/>
      <c r="AL216" s="779"/>
      <c r="AM216" s="779"/>
      <c r="AN216" s="779"/>
      <c r="AO216" s="779"/>
      <c r="AP216" s="779"/>
      <c r="AQ216" s="779"/>
      <c r="AR216" s="779"/>
      <c r="AS216" s="779"/>
      <c r="AT216" s="779"/>
      <c r="AU216" s="779"/>
      <c r="AV216" s="779"/>
      <c r="AW216" s="779"/>
      <c r="AX216" s="779"/>
      <c r="AY216" s="779"/>
      <c r="AZ216" s="779"/>
      <c r="BA216" s="779"/>
      <c r="BB216" s="779"/>
      <c r="BC216" s="779"/>
      <c r="BD216" s="779"/>
      <c r="BE216" s="779"/>
      <c r="BF216" s="779"/>
      <c r="BG216" s="779"/>
      <c r="BH216" s="779"/>
      <c r="BI216" s="779"/>
      <c r="BJ216" s="779"/>
      <c r="BK216" s="779"/>
      <c r="BL216" s="779"/>
      <c r="BM216" s="779"/>
      <c r="BN216" s="779"/>
      <c r="BO216" s="779"/>
      <c r="BP216" s="779"/>
      <c r="BQ216" s="779"/>
      <c r="BR216" s="779"/>
      <c r="BS216" s="779"/>
      <c r="BT216" s="779"/>
      <c r="BU216" s="779"/>
      <c r="BV216" s="779"/>
      <c r="BW216" s="779"/>
      <c r="BX216" s="779"/>
      <c r="BY216" s="779"/>
      <c r="BZ216" s="779"/>
      <c r="CA216" s="779"/>
      <c r="CB216" s="779"/>
      <c r="CC216" s="779"/>
    </row>
    <row r="217" spans="1:81">
      <c r="A217" s="779"/>
      <c r="B217" s="779"/>
      <c r="C217" s="779"/>
      <c r="D217" s="779"/>
      <c r="E217" s="779"/>
      <c r="F217" s="779"/>
      <c r="G217" s="779"/>
      <c r="H217" s="779"/>
      <c r="I217" s="779"/>
      <c r="J217" s="779"/>
      <c r="K217" s="779"/>
      <c r="L217" s="779"/>
      <c r="M217" s="779"/>
      <c r="N217" s="779"/>
      <c r="O217" s="779"/>
      <c r="P217" s="779"/>
      <c r="Q217" s="779"/>
      <c r="R217" s="779"/>
      <c r="S217" s="779"/>
      <c r="T217" s="779"/>
      <c r="U217" s="779"/>
      <c r="V217" s="779"/>
      <c r="W217" s="779"/>
      <c r="X217" s="779"/>
      <c r="Y217" s="779"/>
      <c r="Z217" s="779"/>
      <c r="AA217" s="779"/>
      <c r="AB217" s="779"/>
      <c r="AC217" s="779"/>
      <c r="AD217" s="779"/>
      <c r="AE217" s="779"/>
      <c r="AF217" s="779"/>
      <c r="AG217" s="779"/>
      <c r="AH217" s="779"/>
      <c r="AI217" s="779"/>
      <c r="AJ217" s="779"/>
      <c r="AK217" s="779"/>
      <c r="AL217" s="779"/>
      <c r="AM217" s="779"/>
      <c r="AN217" s="779"/>
      <c r="AO217" s="779"/>
      <c r="AP217" s="779"/>
      <c r="AQ217" s="779"/>
      <c r="AR217" s="779"/>
      <c r="AS217" s="779"/>
      <c r="AT217" s="779"/>
      <c r="AU217" s="779"/>
      <c r="AV217" s="779"/>
      <c r="AW217" s="779"/>
      <c r="AX217" s="779"/>
      <c r="AY217" s="779"/>
      <c r="AZ217" s="779"/>
      <c r="BA217" s="779"/>
      <c r="BB217" s="779"/>
      <c r="BC217" s="779"/>
      <c r="BD217" s="779"/>
      <c r="BE217" s="779"/>
      <c r="BF217" s="779"/>
      <c r="BG217" s="779"/>
      <c r="BH217" s="779"/>
      <c r="BI217" s="779"/>
      <c r="BJ217" s="779"/>
      <c r="BK217" s="779"/>
      <c r="BL217" s="779"/>
      <c r="BM217" s="779"/>
      <c r="BN217" s="779"/>
      <c r="BO217" s="779"/>
      <c r="BP217" s="779"/>
      <c r="BQ217" s="779"/>
      <c r="BR217" s="779"/>
      <c r="BS217" s="779"/>
      <c r="BT217" s="779"/>
      <c r="BU217" s="779"/>
      <c r="BV217" s="779"/>
      <c r="BW217" s="779"/>
      <c r="BX217" s="779"/>
      <c r="BY217" s="779"/>
      <c r="BZ217" s="779"/>
      <c r="CA217" s="779"/>
      <c r="CB217" s="779"/>
      <c r="CC217" s="779"/>
    </row>
    <row r="218" spans="1:81">
      <c r="A218" s="779"/>
      <c r="B218" s="779"/>
      <c r="C218" s="779"/>
      <c r="D218" s="779"/>
      <c r="E218" s="779"/>
      <c r="F218" s="779"/>
      <c r="G218" s="779"/>
      <c r="H218" s="779"/>
      <c r="I218" s="779"/>
      <c r="J218" s="779"/>
      <c r="K218" s="779"/>
      <c r="L218" s="779"/>
      <c r="M218" s="779"/>
      <c r="N218" s="779"/>
      <c r="O218" s="779"/>
      <c r="P218" s="779"/>
      <c r="Q218" s="779"/>
      <c r="R218" s="779"/>
      <c r="S218" s="779"/>
      <c r="T218" s="779"/>
      <c r="U218" s="779"/>
      <c r="V218" s="779"/>
      <c r="W218" s="779"/>
      <c r="X218" s="779"/>
      <c r="Y218" s="779"/>
      <c r="Z218" s="779"/>
      <c r="AA218" s="779"/>
      <c r="AB218" s="779"/>
      <c r="AC218" s="779"/>
      <c r="AD218" s="779"/>
      <c r="AE218" s="779"/>
      <c r="AF218" s="779"/>
      <c r="AG218" s="779"/>
      <c r="AH218" s="779"/>
      <c r="AI218" s="779"/>
      <c r="AJ218" s="779"/>
      <c r="AK218" s="779"/>
      <c r="AL218" s="779"/>
      <c r="AM218" s="779"/>
      <c r="AN218" s="779"/>
      <c r="AO218" s="779"/>
      <c r="AP218" s="779"/>
      <c r="AQ218" s="779"/>
      <c r="AR218" s="779"/>
      <c r="AS218" s="779"/>
      <c r="AT218" s="779"/>
      <c r="AU218" s="779"/>
      <c r="AV218" s="779"/>
      <c r="AW218" s="779"/>
      <c r="AX218" s="779"/>
      <c r="AY218" s="779"/>
      <c r="AZ218" s="779"/>
      <c r="BA218" s="779"/>
      <c r="BB218" s="779"/>
      <c r="BC218" s="779"/>
      <c r="BD218" s="779"/>
      <c r="BE218" s="779"/>
      <c r="BF218" s="779"/>
      <c r="BG218" s="779"/>
      <c r="BH218" s="779"/>
      <c r="BI218" s="779"/>
      <c r="BJ218" s="779"/>
      <c r="BK218" s="779"/>
      <c r="BL218" s="779"/>
      <c r="BM218" s="779"/>
      <c r="BN218" s="779"/>
      <c r="BO218" s="779"/>
      <c r="BP218" s="779"/>
      <c r="BQ218" s="779"/>
      <c r="BR218" s="779"/>
      <c r="BS218" s="779"/>
      <c r="BT218" s="779"/>
      <c r="BU218" s="779"/>
      <c r="BV218" s="779"/>
      <c r="BW218" s="779"/>
      <c r="BX218" s="779"/>
      <c r="BY218" s="779"/>
      <c r="BZ218" s="779"/>
      <c r="CA218" s="779"/>
      <c r="CB218" s="779"/>
      <c r="CC218" s="779"/>
    </row>
    <row r="219" spans="1:81">
      <c r="A219" s="779"/>
      <c r="B219" s="779"/>
      <c r="C219" s="779"/>
      <c r="D219" s="779"/>
      <c r="E219" s="779"/>
      <c r="F219" s="779"/>
      <c r="G219" s="779"/>
      <c r="H219" s="779"/>
      <c r="I219" s="779"/>
      <c r="J219" s="779"/>
      <c r="K219" s="779"/>
      <c r="L219" s="779"/>
      <c r="M219" s="779"/>
      <c r="N219" s="779"/>
      <c r="O219" s="779"/>
      <c r="P219" s="779"/>
      <c r="Q219" s="779"/>
      <c r="R219" s="779"/>
      <c r="S219" s="779"/>
      <c r="T219" s="779"/>
      <c r="U219" s="779"/>
      <c r="V219" s="779"/>
      <c r="W219" s="779"/>
      <c r="X219" s="779"/>
      <c r="Y219" s="779"/>
      <c r="Z219" s="779"/>
      <c r="AA219" s="779"/>
      <c r="AB219" s="779"/>
      <c r="AC219" s="779"/>
      <c r="AD219" s="779"/>
      <c r="AE219" s="779"/>
      <c r="AF219" s="779"/>
      <c r="AG219" s="779"/>
      <c r="AH219" s="779"/>
      <c r="AI219" s="779"/>
      <c r="AJ219" s="779"/>
      <c r="AK219" s="779"/>
      <c r="AL219" s="779"/>
      <c r="AM219" s="779"/>
      <c r="AN219" s="779"/>
      <c r="AO219" s="779"/>
      <c r="AP219" s="779"/>
      <c r="AQ219" s="779"/>
      <c r="AR219" s="779"/>
      <c r="AS219" s="779"/>
      <c r="AT219" s="779"/>
      <c r="AU219" s="779"/>
      <c r="AV219" s="779"/>
      <c r="AW219" s="779"/>
      <c r="AX219" s="779"/>
      <c r="AY219" s="779"/>
      <c r="AZ219" s="779"/>
      <c r="BA219" s="779"/>
      <c r="BB219" s="779"/>
      <c r="BC219" s="779"/>
      <c r="BD219" s="779"/>
      <c r="BE219" s="779"/>
      <c r="BF219" s="779"/>
      <c r="BG219" s="779"/>
      <c r="BH219" s="779"/>
      <c r="BI219" s="779"/>
      <c r="BJ219" s="779"/>
      <c r="BK219" s="779"/>
      <c r="BL219" s="779"/>
      <c r="BM219" s="779"/>
      <c r="BN219" s="779"/>
      <c r="BO219" s="779"/>
      <c r="BP219" s="779"/>
      <c r="BQ219" s="779"/>
      <c r="BR219" s="779"/>
      <c r="BS219" s="779"/>
      <c r="BT219" s="779"/>
      <c r="BU219" s="779"/>
      <c r="BV219" s="779"/>
      <c r="BW219" s="779"/>
      <c r="BX219" s="779"/>
      <c r="BY219" s="779"/>
      <c r="BZ219" s="779"/>
      <c r="CA219" s="779"/>
      <c r="CB219" s="779"/>
      <c r="CC219" s="779"/>
    </row>
    <row r="220" spans="1:81">
      <c r="A220" s="779"/>
      <c r="B220" s="779"/>
      <c r="C220" s="779"/>
      <c r="D220" s="779"/>
      <c r="E220" s="779"/>
      <c r="F220" s="779"/>
      <c r="G220" s="779"/>
      <c r="H220" s="779"/>
      <c r="I220" s="779"/>
      <c r="J220" s="779"/>
      <c r="K220" s="779"/>
      <c r="L220" s="779"/>
      <c r="M220" s="779"/>
      <c r="N220" s="779"/>
      <c r="O220" s="779"/>
      <c r="P220" s="779"/>
      <c r="Q220" s="779"/>
      <c r="R220" s="779"/>
      <c r="S220" s="779"/>
      <c r="T220" s="779"/>
      <c r="U220" s="779"/>
      <c r="V220" s="779"/>
      <c r="W220" s="779"/>
      <c r="X220" s="779"/>
      <c r="Y220" s="779"/>
      <c r="Z220" s="779"/>
      <c r="AA220" s="779"/>
      <c r="AB220" s="779"/>
      <c r="AC220" s="779"/>
      <c r="AD220" s="779"/>
      <c r="AE220" s="779"/>
      <c r="AF220" s="779"/>
      <c r="AG220" s="779"/>
      <c r="AH220" s="779"/>
      <c r="AI220" s="779"/>
      <c r="AJ220" s="779"/>
      <c r="AK220" s="779"/>
      <c r="AL220" s="779"/>
      <c r="AM220" s="779"/>
      <c r="AN220" s="779"/>
      <c r="AO220" s="779"/>
      <c r="AP220" s="779"/>
      <c r="AQ220" s="779"/>
      <c r="AR220" s="779"/>
      <c r="AS220" s="779"/>
      <c r="AT220" s="779"/>
      <c r="AU220" s="779"/>
      <c r="AV220" s="779"/>
      <c r="AW220" s="779"/>
      <c r="AX220" s="779"/>
      <c r="AY220" s="779"/>
      <c r="AZ220" s="779"/>
      <c r="BA220" s="779"/>
      <c r="BB220" s="779"/>
      <c r="BC220" s="779"/>
      <c r="BD220" s="779"/>
      <c r="BE220" s="779"/>
      <c r="BF220" s="779"/>
      <c r="BG220" s="779"/>
      <c r="BH220" s="779"/>
      <c r="BI220" s="779"/>
      <c r="BJ220" s="779"/>
      <c r="BK220" s="779"/>
      <c r="BL220" s="779"/>
      <c r="BM220" s="779"/>
      <c r="BN220" s="779"/>
      <c r="BO220" s="779"/>
      <c r="BP220" s="779"/>
      <c r="BQ220" s="779"/>
      <c r="BR220" s="779"/>
      <c r="BS220" s="779"/>
      <c r="BT220" s="779"/>
      <c r="BU220" s="779"/>
      <c r="BV220" s="779"/>
      <c r="BW220" s="779"/>
      <c r="BX220" s="779"/>
      <c r="BY220" s="779"/>
      <c r="BZ220" s="779"/>
      <c r="CA220" s="779"/>
      <c r="CB220" s="779"/>
      <c r="CC220" s="779"/>
    </row>
    <row r="221" spans="1:81">
      <c r="A221" s="779"/>
      <c r="B221" s="779"/>
      <c r="C221" s="779"/>
      <c r="D221" s="779"/>
      <c r="E221" s="779"/>
      <c r="F221" s="779"/>
      <c r="G221" s="779"/>
      <c r="H221" s="779"/>
      <c r="I221" s="779"/>
      <c r="J221" s="779"/>
      <c r="K221" s="779"/>
      <c r="L221" s="779"/>
      <c r="M221" s="779"/>
      <c r="N221" s="779"/>
      <c r="O221" s="779"/>
      <c r="P221" s="779"/>
      <c r="Q221" s="779"/>
      <c r="R221" s="779"/>
      <c r="S221" s="779"/>
      <c r="T221" s="779"/>
      <c r="U221" s="779"/>
      <c r="V221" s="779"/>
      <c r="W221" s="779"/>
      <c r="X221" s="779"/>
      <c r="Y221" s="779"/>
      <c r="Z221" s="779"/>
      <c r="AA221" s="779"/>
      <c r="AB221" s="779"/>
      <c r="AC221" s="779"/>
      <c r="AD221" s="779"/>
      <c r="AE221" s="779"/>
      <c r="AF221" s="779"/>
      <c r="AG221" s="779"/>
      <c r="AH221" s="779"/>
      <c r="AI221" s="779"/>
      <c r="AJ221" s="779"/>
      <c r="AK221" s="779"/>
      <c r="AL221" s="779"/>
      <c r="AM221" s="779"/>
      <c r="AN221" s="779"/>
      <c r="AO221" s="779"/>
      <c r="AP221" s="779"/>
      <c r="AQ221" s="779"/>
      <c r="AR221" s="779"/>
      <c r="AS221" s="779"/>
      <c r="AT221" s="779"/>
      <c r="AU221" s="779"/>
      <c r="AV221" s="779"/>
      <c r="AW221" s="779"/>
      <c r="AX221" s="779"/>
      <c r="AY221" s="779"/>
      <c r="AZ221" s="779"/>
      <c r="BA221" s="779"/>
      <c r="BB221" s="779"/>
      <c r="BC221" s="779"/>
      <c r="BD221" s="779"/>
      <c r="BE221" s="779"/>
      <c r="BF221" s="779"/>
      <c r="BG221" s="779"/>
      <c r="BH221" s="779"/>
      <c r="BI221" s="779"/>
      <c r="BJ221" s="779"/>
      <c r="BK221" s="779"/>
      <c r="BL221" s="779"/>
      <c r="BM221" s="779"/>
      <c r="BN221" s="779"/>
      <c r="BO221" s="779"/>
      <c r="BP221" s="779"/>
      <c r="BQ221" s="779"/>
      <c r="BR221" s="779"/>
      <c r="BS221" s="779"/>
      <c r="BT221" s="779"/>
      <c r="BU221" s="779"/>
      <c r="BV221" s="779"/>
      <c r="BW221" s="779"/>
      <c r="BX221" s="779"/>
      <c r="BY221" s="779"/>
      <c r="BZ221" s="779"/>
      <c r="CA221" s="779"/>
      <c r="CB221" s="779"/>
      <c r="CC221" s="779"/>
    </row>
    <row r="222" spans="1:81">
      <c r="A222" s="779"/>
      <c r="B222" s="779"/>
      <c r="C222" s="779"/>
      <c r="D222" s="779"/>
      <c r="E222" s="779"/>
      <c r="F222" s="779"/>
      <c r="G222" s="779"/>
      <c r="H222" s="779"/>
      <c r="I222" s="779"/>
      <c r="J222" s="779"/>
      <c r="K222" s="779"/>
      <c r="L222" s="779"/>
      <c r="M222" s="779"/>
      <c r="N222" s="779"/>
      <c r="O222" s="779"/>
      <c r="P222" s="779"/>
      <c r="Q222" s="779"/>
      <c r="R222" s="779"/>
      <c r="S222" s="779"/>
      <c r="T222" s="779"/>
      <c r="U222" s="779"/>
      <c r="V222" s="779"/>
      <c r="W222" s="779"/>
      <c r="X222" s="779"/>
      <c r="Y222" s="779"/>
      <c r="Z222" s="779"/>
      <c r="AA222" s="779"/>
      <c r="AB222" s="779"/>
      <c r="AC222" s="779"/>
      <c r="AD222" s="779"/>
      <c r="AE222" s="779"/>
      <c r="AF222" s="779"/>
      <c r="AG222" s="779"/>
      <c r="AH222" s="779"/>
      <c r="AI222" s="779"/>
      <c r="AJ222" s="779"/>
      <c r="AK222" s="779"/>
      <c r="AL222" s="779"/>
      <c r="AM222" s="779"/>
      <c r="AN222" s="779"/>
      <c r="AO222" s="779"/>
      <c r="AP222" s="779"/>
      <c r="AQ222" s="779"/>
      <c r="AR222" s="779"/>
      <c r="AS222" s="779"/>
      <c r="AT222" s="779"/>
      <c r="AU222" s="779"/>
      <c r="AV222" s="779"/>
      <c r="AW222" s="779"/>
      <c r="AX222" s="779"/>
      <c r="AY222" s="779"/>
      <c r="AZ222" s="779"/>
      <c r="BA222" s="779"/>
      <c r="BB222" s="779"/>
      <c r="BC222" s="779"/>
      <c r="BD222" s="779"/>
      <c r="BE222" s="779"/>
      <c r="BF222" s="779"/>
      <c r="BG222" s="779"/>
      <c r="BH222" s="779"/>
      <c r="BI222" s="779"/>
      <c r="BJ222" s="779"/>
      <c r="BK222" s="779"/>
      <c r="BL222" s="779"/>
      <c r="BM222" s="779"/>
      <c r="BN222" s="779"/>
      <c r="BO222" s="779"/>
      <c r="BP222" s="779"/>
      <c r="BQ222" s="779"/>
      <c r="BR222" s="779"/>
      <c r="BS222" s="779"/>
      <c r="BT222" s="779"/>
      <c r="BU222" s="779"/>
      <c r="BV222" s="779"/>
      <c r="BW222" s="779"/>
      <c r="BX222" s="779"/>
      <c r="BY222" s="779"/>
      <c r="BZ222" s="779"/>
      <c r="CA222" s="779"/>
      <c r="CB222" s="779"/>
      <c r="CC222" s="779"/>
    </row>
    <row r="223" spans="1:81">
      <c r="A223" s="779"/>
      <c r="B223" s="779"/>
      <c r="C223" s="779"/>
      <c r="D223" s="779"/>
      <c r="E223" s="779"/>
      <c r="F223" s="779"/>
      <c r="G223" s="779"/>
      <c r="H223" s="779"/>
      <c r="I223" s="779"/>
      <c r="J223" s="779"/>
      <c r="K223" s="779"/>
      <c r="L223" s="779"/>
      <c r="M223" s="779"/>
      <c r="N223" s="779"/>
      <c r="O223" s="779"/>
      <c r="P223" s="779"/>
      <c r="Q223" s="779"/>
      <c r="R223" s="779"/>
      <c r="S223" s="779"/>
      <c r="T223" s="779"/>
      <c r="U223" s="779"/>
      <c r="V223" s="779"/>
      <c r="W223" s="779"/>
      <c r="X223" s="779"/>
      <c r="Y223" s="779"/>
      <c r="Z223" s="779"/>
      <c r="AA223" s="779"/>
      <c r="AB223" s="779"/>
      <c r="AC223" s="779"/>
      <c r="AD223" s="779"/>
      <c r="AE223" s="779"/>
      <c r="AF223" s="779"/>
      <c r="AG223" s="779"/>
      <c r="AH223" s="779"/>
      <c r="AI223" s="779"/>
      <c r="AJ223" s="779"/>
      <c r="AK223" s="779"/>
      <c r="AL223" s="779"/>
      <c r="AM223" s="779"/>
      <c r="AN223" s="779"/>
      <c r="AO223" s="779"/>
      <c r="AP223" s="779"/>
      <c r="AQ223" s="779"/>
      <c r="AR223" s="779"/>
      <c r="AS223" s="779"/>
      <c r="AT223" s="779"/>
      <c r="AU223" s="779"/>
      <c r="AV223" s="779"/>
      <c r="AW223" s="779"/>
      <c r="AX223" s="779"/>
      <c r="AY223" s="779"/>
      <c r="AZ223" s="779"/>
      <c r="BA223" s="779"/>
      <c r="BB223" s="779"/>
      <c r="BC223" s="779"/>
      <c r="BD223" s="779"/>
      <c r="BE223" s="779"/>
      <c r="BF223" s="779"/>
      <c r="BG223" s="779"/>
      <c r="BH223" s="779"/>
      <c r="BI223" s="779"/>
      <c r="BJ223" s="779"/>
      <c r="BK223" s="779"/>
      <c r="BL223" s="779"/>
      <c r="BM223" s="779"/>
      <c r="BN223" s="779"/>
      <c r="BO223" s="779"/>
      <c r="BP223" s="779"/>
      <c r="BQ223" s="779"/>
      <c r="BR223" s="779"/>
      <c r="BS223" s="779"/>
      <c r="BT223" s="779"/>
      <c r="BU223" s="779"/>
      <c r="BV223" s="779"/>
      <c r="BW223" s="779"/>
      <c r="BX223" s="779"/>
      <c r="BY223" s="779"/>
      <c r="BZ223" s="779"/>
      <c r="CA223" s="779"/>
      <c r="CB223" s="779"/>
      <c r="CC223" s="779"/>
    </row>
    <row r="224" spans="1:81">
      <c r="A224" s="779"/>
      <c r="B224" s="779"/>
      <c r="C224" s="779"/>
      <c r="D224" s="779"/>
      <c r="E224" s="779"/>
      <c r="F224" s="779"/>
      <c r="G224" s="779"/>
      <c r="H224" s="779"/>
      <c r="I224" s="779"/>
      <c r="J224" s="779"/>
      <c r="K224" s="779"/>
      <c r="L224" s="779"/>
      <c r="M224" s="779"/>
      <c r="N224" s="779"/>
      <c r="O224" s="779"/>
      <c r="P224" s="779"/>
      <c r="Q224" s="779"/>
      <c r="R224" s="779"/>
      <c r="S224" s="779"/>
      <c r="T224" s="779"/>
      <c r="U224" s="779"/>
      <c r="V224" s="779"/>
      <c r="W224" s="779"/>
      <c r="X224" s="779"/>
      <c r="Y224" s="779"/>
      <c r="Z224" s="779"/>
      <c r="AA224" s="779"/>
      <c r="AB224" s="779"/>
      <c r="AC224" s="779"/>
      <c r="AD224" s="779"/>
      <c r="AE224" s="779"/>
      <c r="AF224" s="779"/>
      <c r="AG224" s="779"/>
      <c r="AH224" s="779"/>
      <c r="AI224" s="779"/>
      <c r="AJ224" s="779"/>
      <c r="AK224" s="779"/>
      <c r="AL224" s="779"/>
      <c r="AM224" s="779"/>
      <c r="AN224" s="779"/>
      <c r="AO224" s="779"/>
      <c r="AP224" s="779"/>
      <c r="AQ224" s="779"/>
      <c r="AR224" s="779"/>
      <c r="AS224" s="779"/>
      <c r="AT224" s="779"/>
      <c r="AU224" s="779"/>
      <c r="AV224" s="779"/>
      <c r="AW224" s="779"/>
      <c r="AX224" s="779"/>
      <c r="AY224" s="779"/>
      <c r="AZ224" s="779"/>
      <c r="BA224" s="779"/>
      <c r="BB224" s="779"/>
      <c r="BC224" s="779"/>
      <c r="BD224" s="779"/>
      <c r="BE224" s="779"/>
      <c r="BF224" s="779"/>
      <c r="BG224" s="779"/>
      <c r="BH224" s="779"/>
      <c r="BI224" s="779"/>
      <c r="BJ224" s="779"/>
      <c r="BK224" s="779"/>
      <c r="BL224" s="779"/>
      <c r="BM224" s="779"/>
      <c r="BN224" s="779"/>
      <c r="BO224" s="779"/>
      <c r="BP224" s="779"/>
      <c r="BQ224" s="779"/>
      <c r="BR224" s="779"/>
      <c r="BS224" s="779"/>
      <c r="BT224" s="779"/>
      <c r="BU224" s="779"/>
      <c r="BV224" s="779"/>
      <c r="BW224" s="779"/>
      <c r="BX224" s="779"/>
      <c r="BY224" s="779"/>
      <c r="BZ224" s="779"/>
      <c r="CA224" s="779"/>
      <c r="CB224" s="779"/>
      <c r="CC224" s="779"/>
    </row>
    <row r="225" spans="1:81">
      <c r="A225" s="779"/>
      <c r="B225" s="779"/>
      <c r="C225" s="779"/>
      <c r="D225" s="779"/>
      <c r="E225" s="779"/>
      <c r="F225" s="779"/>
      <c r="G225" s="779"/>
      <c r="H225" s="779"/>
      <c r="I225" s="779"/>
      <c r="J225" s="779"/>
      <c r="K225" s="779"/>
      <c r="L225" s="779"/>
      <c r="M225" s="779"/>
      <c r="N225" s="779"/>
      <c r="O225" s="779"/>
      <c r="P225" s="779"/>
      <c r="Q225" s="779"/>
      <c r="R225" s="779"/>
      <c r="S225" s="779"/>
      <c r="T225" s="779"/>
      <c r="U225" s="779"/>
      <c r="V225" s="779"/>
      <c r="W225" s="779"/>
      <c r="X225" s="779"/>
      <c r="Y225" s="779"/>
      <c r="Z225" s="779"/>
      <c r="AA225" s="779"/>
      <c r="AB225" s="779"/>
      <c r="AC225" s="779"/>
      <c r="AD225" s="779"/>
      <c r="AE225" s="779"/>
      <c r="AF225" s="779"/>
      <c r="AG225" s="779"/>
      <c r="AH225" s="779"/>
      <c r="AI225" s="779"/>
      <c r="AJ225" s="779"/>
      <c r="AK225" s="779"/>
      <c r="AL225" s="779"/>
      <c r="AM225" s="779"/>
      <c r="AN225" s="779"/>
      <c r="AO225" s="779"/>
      <c r="AP225" s="779"/>
      <c r="AQ225" s="779"/>
      <c r="AR225" s="779"/>
      <c r="AS225" s="779"/>
      <c r="AT225" s="779"/>
      <c r="AU225" s="779"/>
      <c r="AV225" s="779"/>
      <c r="AW225" s="779"/>
      <c r="AX225" s="779"/>
      <c r="AY225" s="779"/>
      <c r="AZ225" s="779"/>
      <c r="BA225" s="779"/>
      <c r="BB225" s="779"/>
      <c r="BC225" s="779"/>
      <c r="BD225" s="779"/>
      <c r="BE225" s="779"/>
      <c r="BF225" s="779"/>
      <c r="BG225" s="779"/>
      <c r="BH225" s="779"/>
      <c r="BI225" s="779"/>
      <c r="BJ225" s="779"/>
      <c r="BK225" s="779"/>
      <c r="BL225" s="779"/>
      <c r="BM225" s="779"/>
      <c r="BN225" s="779"/>
      <c r="BO225" s="779"/>
      <c r="BP225" s="779"/>
      <c r="BQ225" s="779"/>
      <c r="BR225" s="779"/>
      <c r="BS225" s="779"/>
      <c r="BT225" s="779"/>
      <c r="BU225" s="779"/>
      <c r="BV225" s="779"/>
      <c r="BW225" s="779"/>
      <c r="BX225" s="779"/>
      <c r="BY225" s="779"/>
      <c r="BZ225" s="779"/>
      <c r="CA225" s="779"/>
      <c r="CB225" s="779"/>
      <c r="CC225" s="779"/>
    </row>
    <row r="226" spans="1:81">
      <c r="A226" s="779"/>
      <c r="B226" s="779"/>
      <c r="C226" s="779"/>
      <c r="D226" s="779"/>
      <c r="E226" s="779"/>
      <c r="F226" s="779"/>
      <c r="G226" s="779"/>
      <c r="H226" s="779"/>
      <c r="I226" s="779"/>
      <c r="J226" s="779"/>
      <c r="K226" s="779"/>
      <c r="L226" s="779"/>
      <c r="M226" s="779"/>
      <c r="N226" s="779"/>
      <c r="O226" s="779"/>
      <c r="P226" s="779"/>
      <c r="Q226" s="779"/>
      <c r="R226" s="779"/>
      <c r="S226" s="779"/>
      <c r="T226" s="779"/>
      <c r="U226" s="779"/>
      <c r="V226" s="779"/>
      <c r="W226" s="779"/>
      <c r="X226" s="779"/>
      <c r="Y226" s="779"/>
      <c r="Z226" s="779"/>
      <c r="AA226" s="779"/>
      <c r="AB226" s="779"/>
      <c r="AC226" s="779"/>
      <c r="AD226" s="779"/>
      <c r="AE226" s="779"/>
      <c r="AF226" s="779"/>
      <c r="AG226" s="779"/>
      <c r="AH226" s="779"/>
      <c r="AI226" s="779"/>
      <c r="AJ226" s="779"/>
      <c r="AK226" s="779"/>
      <c r="AL226" s="779"/>
      <c r="AM226" s="779"/>
      <c r="AN226" s="779"/>
      <c r="AO226" s="779"/>
      <c r="AP226" s="779"/>
      <c r="AQ226" s="779"/>
      <c r="AR226" s="779"/>
      <c r="AS226" s="779"/>
      <c r="AT226" s="779"/>
      <c r="AU226" s="779"/>
      <c r="AV226" s="779"/>
      <c r="AW226" s="779"/>
      <c r="AX226" s="779"/>
      <c r="AY226" s="779"/>
      <c r="AZ226" s="779"/>
      <c r="BA226" s="779"/>
      <c r="BB226" s="779"/>
      <c r="BC226" s="779"/>
      <c r="BD226" s="779"/>
      <c r="BE226" s="779"/>
      <c r="BF226" s="779"/>
      <c r="BG226" s="779"/>
      <c r="BH226" s="779"/>
      <c r="BI226" s="779"/>
      <c r="BJ226" s="779"/>
      <c r="BK226" s="779"/>
      <c r="BL226" s="779"/>
      <c r="BM226" s="779"/>
      <c r="BN226" s="779"/>
      <c r="BO226" s="779"/>
      <c r="BP226" s="779"/>
      <c r="BQ226" s="779"/>
      <c r="BR226" s="779"/>
      <c r="BS226" s="779"/>
      <c r="BT226" s="779"/>
      <c r="BU226" s="779"/>
      <c r="BV226" s="779"/>
      <c r="BW226" s="779"/>
      <c r="BX226" s="779"/>
      <c r="BY226" s="779"/>
      <c r="BZ226" s="779"/>
      <c r="CA226" s="779"/>
      <c r="CB226" s="779"/>
      <c r="CC226" s="779"/>
    </row>
    <row r="227" spans="1:81">
      <c r="A227" s="779"/>
      <c r="B227" s="779"/>
      <c r="C227" s="779"/>
      <c r="D227" s="779"/>
      <c r="E227" s="779"/>
      <c r="F227" s="779"/>
      <c r="G227" s="779"/>
      <c r="H227" s="779"/>
      <c r="I227" s="779"/>
      <c r="J227" s="779"/>
      <c r="K227" s="779"/>
      <c r="L227" s="779"/>
      <c r="M227" s="779"/>
      <c r="N227" s="779"/>
      <c r="O227" s="779"/>
      <c r="P227" s="779"/>
      <c r="Q227" s="779"/>
      <c r="R227" s="779"/>
      <c r="S227" s="779"/>
      <c r="T227" s="779"/>
      <c r="U227" s="779"/>
      <c r="V227" s="779"/>
      <c r="W227" s="779"/>
      <c r="X227" s="779"/>
      <c r="Y227" s="779"/>
      <c r="Z227" s="779"/>
      <c r="AA227" s="779"/>
      <c r="AB227" s="779"/>
      <c r="AC227" s="779"/>
      <c r="AD227" s="779"/>
      <c r="AE227" s="779"/>
      <c r="AF227" s="779"/>
      <c r="AG227" s="779"/>
      <c r="AH227" s="779"/>
      <c r="AI227" s="779"/>
      <c r="AJ227" s="779"/>
      <c r="AK227" s="779"/>
      <c r="AL227" s="779"/>
      <c r="AM227" s="779"/>
      <c r="AN227" s="779"/>
      <c r="AO227" s="779"/>
      <c r="AP227" s="779"/>
      <c r="AQ227" s="779"/>
      <c r="AR227" s="779"/>
      <c r="AS227" s="779"/>
      <c r="AT227" s="779"/>
      <c r="AU227" s="779"/>
      <c r="AV227" s="779"/>
      <c r="AW227" s="779"/>
      <c r="AX227" s="779"/>
      <c r="AY227" s="779"/>
      <c r="AZ227" s="779"/>
      <c r="BA227" s="779"/>
      <c r="BB227" s="779"/>
      <c r="BC227" s="779"/>
      <c r="BD227" s="779"/>
      <c r="BE227" s="779"/>
      <c r="BF227" s="779"/>
      <c r="BG227" s="779"/>
      <c r="BH227" s="779"/>
      <c r="BI227" s="779"/>
      <c r="BJ227" s="779"/>
      <c r="BK227" s="779"/>
      <c r="BL227" s="779"/>
      <c r="BM227" s="779"/>
      <c r="BN227" s="779"/>
      <c r="BO227" s="779"/>
      <c r="BP227" s="779"/>
      <c r="BQ227" s="779"/>
      <c r="BR227" s="779"/>
      <c r="BS227" s="779"/>
      <c r="BT227" s="779"/>
      <c r="BU227" s="779"/>
      <c r="BV227" s="779"/>
      <c r="BW227" s="779"/>
      <c r="BX227" s="779"/>
      <c r="BY227" s="779"/>
      <c r="BZ227" s="779"/>
      <c r="CA227" s="779"/>
      <c r="CB227" s="779"/>
      <c r="CC227" s="779"/>
    </row>
    <row r="228" spans="1:81">
      <c r="A228" s="779"/>
      <c r="B228" s="779"/>
      <c r="C228" s="779"/>
      <c r="D228" s="779"/>
      <c r="E228" s="779"/>
      <c r="F228" s="779"/>
      <c r="G228" s="779"/>
      <c r="H228" s="779"/>
      <c r="I228" s="779"/>
      <c r="J228" s="779"/>
      <c r="K228" s="779"/>
      <c r="L228" s="779"/>
      <c r="M228" s="779"/>
      <c r="N228" s="779"/>
      <c r="O228" s="779"/>
      <c r="P228" s="779"/>
      <c r="Q228" s="779"/>
      <c r="R228" s="779"/>
      <c r="S228" s="779"/>
      <c r="T228" s="779"/>
      <c r="U228" s="779"/>
      <c r="V228" s="779"/>
      <c r="W228" s="779"/>
      <c r="X228" s="779"/>
      <c r="Y228" s="779"/>
      <c r="Z228" s="779"/>
      <c r="AA228" s="779"/>
      <c r="AB228" s="779"/>
      <c r="AC228" s="779"/>
      <c r="AD228" s="779"/>
      <c r="AE228" s="779"/>
      <c r="AF228" s="779"/>
      <c r="AG228" s="779"/>
      <c r="AH228" s="779"/>
      <c r="AI228" s="779"/>
      <c r="AJ228" s="779"/>
      <c r="AK228" s="779"/>
      <c r="AL228" s="779"/>
      <c r="AM228" s="779"/>
      <c r="AN228" s="779"/>
      <c r="AO228" s="779"/>
      <c r="AP228" s="779"/>
      <c r="AQ228" s="779"/>
      <c r="AR228" s="779"/>
      <c r="AS228" s="779"/>
      <c r="AT228" s="779"/>
      <c r="AU228" s="779"/>
      <c r="AV228" s="779"/>
      <c r="AW228" s="779"/>
      <c r="AX228" s="779"/>
      <c r="AY228" s="779"/>
      <c r="AZ228" s="779"/>
      <c r="BA228" s="779"/>
      <c r="BB228" s="779"/>
      <c r="BC228" s="779"/>
      <c r="BD228" s="779"/>
      <c r="BE228" s="779"/>
      <c r="BF228" s="779"/>
      <c r="BG228" s="779"/>
      <c r="BH228" s="779"/>
      <c r="BI228" s="779"/>
      <c r="BJ228" s="779"/>
      <c r="BK228" s="779"/>
      <c r="BL228" s="779"/>
      <c r="BM228" s="779"/>
      <c r="BN228" s="779"/>
      <c r="BO228" s="779"/>
      <c r="BP228" s="779"/>
      <c r="BQ228" s="779"/>
      <c r="BR228" s="779"/>
      <c r="BS228" s="779"/>
      <c r="BT228" s="779"/>
      <c r="BU228" s="779"/>
      <c r="BV228" s="779"/>
      <c r="BW228" s="779"/>
      <c r="BX228" s="779"/>
      <c r="BY228" s="779"/>
      <c r="BZ228" s="779"/>
      <c r="CA228" s="779"/>
      <c r="CB228" s="779"/>
      <c r="CC228" s="779"/>
    </row>
    <row r="229" spans="1:81">
      <c r="A229" s="779"/>
      <c r="B229" s="779"/>
      <c r="C229" s="779"/>
      <c r="D229" s="779"/>
      <c r="E229" s="779"/>
      <c r="F229" s="779"/>
      <c r="G229" s="779"/>
      <c r="H229" s="779"/>
      <c r="I229" s="779"/>
      <c r="J229" s="779"/>
      <c r="K229" s="779"/>
      <c r="L229" s="779"/>
      <c r="M229" s="779"/>
      <c r="N229" s="779"/>
      <c r="O229" s="779"/>
      <c r="P229" s="779"/>
      <c r="Q229" s="779"/>
      <c r="R229" s="779"/>
      <c r="S229" s="779"/>
      <c r="T229" s="779"/>
      <c r="U229" s="779"/>
      <c r="V229" s="779"/>
      <c r="W229" s="779"/>
      <c r="X229" s="779"/>
      <c r="Y229" s="779"/>
      <c r="Z229" s="779"/>
      <c r="AA229" s="779"/>
      <c r="AB229" s="779"/>
      <c r="AC229" s="779"/>
      <c r="AD229" s="779"/>
      <c r="AE229" s="779"/>
      <c r="AF229" s="779"/>
      <c r="AG229" s="779"/>
      <c r="AH229" s="779"/>
      <c r="AI229" s="779"/>
      <c r="AJ229" s="779"/>
      <c r="AK229" s="779"/>
      <c r="AL229" s="779"/>
      <c r="AM229" s="779"/>
      <c r="AN229" s="779"/>
      <c r="AO229" s="779"/>
      <c r="AP229" s="779"/>
      <c r="AQ229" s="779"/>
      <c r="AR229" s="779"/>
      <c r="AS229" s="779"/>
      <c r="AT229" s="779"/>
      <c r="AU229" s="779"/>
      <c r="AV229" s="779"/>
      <c r="AW229" s="779"/>
      <c r="AX229" s="779"/>
      <c r="AY229" s="779"/>
      <c r="AZ229" s="779"/>
      <c r="BA229" s="779"/>
      <c r="BB229" s="779"/>
      <c r="BC229" s="779"/>
      <c r="BD229" s="779"/>
      <c r="BE229" s="779"/>
      <c r="BF229" s="779"/>
      <c r="BG229" s="779"/>
      <c r="BH229" s="779"/>
      <c r="BI229" s="779"/>
      <c r="BJ229" s="779"/>
      <c r="BK229" s="779"/>
      <c r="BL229" s="779"/>
      <c r="BM229" s="779"/>
      <c r="BN229" s="779"/>
      <c r="BO229" s="779"/>
      <c r="BP229" s="779"/>
      <c r="BQ229" s="779"/>
      <c r="BR229" s="779"/>
      <c r="BS229" s="779"/>
      <c r="BT229" s="779"/>
      <c r="BU229" s="779"/>
      <c r="BV229" s="779"/>
      <c r="BW229" s="779"/>
      <c r="BX229" s="779"/>
      <c r="BY229" s="779"/>
      <c r="BZ229" s="779"/>
      <c r="CA229" s="779"/>
      <c r="CB229" s="779"/>
      <c r="CC229" s="779"/>
    </row>
    <row r="230" spans="1:81">
      <c r="A230" s="779"/>
      <c r="B230" s="779"/>
      <c r="C230" s="779"/>
      <c r="D230" s="779"/>
      <c r="E230" s="779"/>
      <c r="F230" s="779"/>
      <c r="G230" s="779"/>
      <c r="H230" s="779"/>
      <c r="I230" s="779"/>
      <c r="J230" s="779"/>
      <c r="K230" s="779"/>
      <c r="L230" s="779"/>
      <c r="M230" s="779"/>
      <c r="N230" s="779"/>
      <c r="O230" s="779"/>
      <c r="P230" s="779"/>
      <c r="Q230" s="779"/>
      <c r="R230" s="779"/>
      <c r="S230" s="779"/>
      <c r="T230" s="779"/>
      <c r="U230" s="779"/>
      <c r="V230" s="779"/>
      <c r="W230" s="779"/>
      <c r="X230" s="779"/>
      <c r="Y230" s="779"/>
      <c r="Z230" s="779"/>
      <c r="AA230" s="779"/>
      <c r="AB230" s="779"/>
      <c r="AC230" s="779"/>
      <c r="AD230" s="779"/>
      <c r="AE230" s="779"/>
      <c r="AF230" s="779"/>
      <c r="AG230" s="779"/>
      <c r="AH230" s="779"/>
      <c r="AI230" s="779"/>
      <c r="AJ230" s="779"/>
      <c r="AK230" s="779"/>
      <c r="AL230" s="779"/>
      <c r="AM230" s="779"/>
      <c r="AN230" s="779"/>
      <c r="AO230" s="779"/>
      <c r="AP230" s="779"/>
      <c r="AQ230" s="779"/>
      <c r="AR230" s="779"/>
      <c r="AS230" s="779"/>
      <c r="AT230" s="779"/>
      <c r="AU230" s="779"/>
      <c r="AV230" s="779"/>
      <c r="AW230" s="779"/>
      <c r="AX230" s="779"/>
      <c r="AY230" s="779"/>
      <c r="AZ230" s="779"/>
      <c r="BA230" s="779"/>
      <c r="BB230" s="779"/>
      <c r="BC230" s="779"/>
      <c r="BD230" s="779"/>
      <c r="BE230" s="779"/>
      <c r="BF230" s="779"/>
      <c r="BG230" s="779"/>
      <c r="BH230" s="779"/>
      <c r="BI230" s="779"/>
      <c r="BJ230" s="779"/>
      <c r="BK230" s="779"/>
      <c r="BL230" s="779"/>
      <c r="BM230" s="779"/>
      <c r="BN230" s="779"/>
      <c r="BO230" s="779"/>
      <c r="BP230" s="779"/>
      <c r="BQ230" s="779"/>
      <c r="BR230" s="779"/>
      <c r="BS230" s="779"/>
      <c r="BT230" s="779"/>
      <c r="BU230" s="779"/>
      <c r="BV230" s="779"/>
      <c r="BW230" s="779"/>
      <c r="BX230" s="779"/>
      <c r="BY230" s="779"/>
      <c r="BZ230" s="779"/>
      <c r="CA230" s="779"/>
      <c r="CB230" s="779"/>
      <c r="CC230" s="779"/>
    </row>
    <row r="231" spans="1:81">
      <c r="A231" s="779"/>
      <c r="B231" s="779"/>
      <c r="C231" s="779"/>
      <c r="D231" s="779"/>
      <c r="E231" s="779"/>
      <c r="F231" s="779"/>
      <c r="G231" s="779"/>
      <c r="H231" s="779"/>
      <c r="I231" s="779"/>
      <c r="J231" s="779"/>
      <c r="K231" s="779"/>
      <c r="L231" s="779"/>
      <c r="M231" s="779"/>
      <c r="N231" s="779"/>
      <c r="O231" s="779"/>
      <c r="P231" s="779"/>
      <c r="Q231" s="779"/>
      <c r="R231" s="779"/>
      <c r="S231" s="779"/>
      <c r="T231" s="779"/>
      <c r="U231" s="779"/>
      <c r="V231" s="779"/>
      <c r="W231" s="779"/>
      <c r="X231" s="779"/>
      <c r="Y231" s="779"/>
      <c r="Z231" s="779"/>
      <c r="AA231" s="779"/>
      <c r="AB231" s="779"/>
      <c r="AC231" s="779"/>
      <c r="AD231" s="779"/>
      <c r="AE231" s="779"/>
      <c r="AF231" s="779"/>
      <c r="AG231" s="779"/>
      <c r="AH231" s="779"/>
      <c r="AI231" s="779"/>
      <c r="AJ231" s="779"/>
      <c r="AK231" s="779"/>
      <c r="AL231" s="779"/>
      <c r="AM231" s="779"/>
      <c r="AN231" s="779"/>
      <c r="AO231" s="779"/>
      <c r="AP231" s="779"/>
      <c r="AQ231" s="779"/>
      <c r="AR231" s="779"/>
      <c r="AS231" s="779"/>
      <c r="AT231" s="779"/>
      <c r="AU231" s="779"/>
      <c r="AV231" s="779"/>
      <c r="AW231" s="779"/>
      <c r="AX231" s="779"/>
      <c r="AY231" s="779"/>
      <c r="AZ231" s="779"/>
      <c r="BA231" s="779"/>
      <c r="BB231" s="779"/>
      <c r="BC231" s="779"/>
      <c r="BD231" s="779"/>
      <c r="BE231" s="779"/>
      <c r="BF231" s="779"/>
      <c r="BG231" s="779"/>
      <c r="BH231" s="779"/>
      <c r="BI231" s="779"/>
      <c r="BJ231" s="779"/>
      <c r="BK231" s="779"/>
      <c r="BL231" s="779"/>
      <c r="BM231" s="779"/>
      <c r="BN231" s="779"/>
      <c r="BO231" s="779"/>
      <c r="BP231" s="779"/>
      <c r="BQ231" s="779"/>
      <c r="BR231" s="779"/>
      <c r="BS231" s="779"/>
      <c r="BT231" s="779"/>
      <c r="BU231" s="779"/>
      <c r="BV231" s="779"/>
      <c r="BW231" s="779"/>
      <c r="BX231" s="779"/>
      <c r="BY231" s="779"/>
      <c r="BZ231" s="779"/>
      <c r="CA231" s="779"/>
      <c r="CB231" s="779"/>
      <c r="CC231" s="779"/>
    </row>
    <row r="232" spans="1:81">
      <c r="A232" s="779"/>
      <c r="B232" s="779"/>
      <c r="C232" s="779"/>
      <c r="D232" s="779"/>
      <c r="E232" s="779"/>
      <c r="F232" s="779"/>
      <c r="G232" s="779"/>
      <c r="H232" s="779"/>
      <c r="I232" s="779"/>
      <c r="J232" s="779"/>
      <c r="K232" s="779"/>
      <c r="L232" s="779"/>
      <c r="M232" s="779"/>
      <c r="N232" s="779"/>
      <c r="O232" s="779"/>
      <c r="P232" s="779"/>
      <c r="Q232" s="779"/>
      <c r="R232" s="779"/>
      <c r="S232" s="779"/>
      <c r="T232" s="779"/>
      <c r="U232" s="779"/>
      <c r="V232" s="779"/>
      <c r="W232" s="779"/>
      <c r="X232" s="779"/>
      <c r="Y232" s="779"/>
      <c r="Z232" s="779"/>
      <c r="AA232" s="779"/>
      <c r="AB232" s="779"/>
      <c r="AC232" s="779"/>
      <c r="AD232" s="779"/>
      <c r="AE232" s="779"/>
      <c r="AF232" s="779"/>
      <c r="AG232" s="779"/>
      <c r="AH232" s="779"/>
      <c r="AI232" s="779"/>
      <c r="AJ232" s="779"/>
      <c r="AK232" s="779"/>
      <c r="AL232" s="779"/>
      <c r="AM232" s="779"/>
      <c r="AN232" s="779"/>
      <c r="AO232" s="779"/>
      <c r="AP232" s="779"/>
      <c r="AQ232" s="779"/>
      <c r="AR232" s="779"/>
      <c r="AS232" s="779"/>
      <c r="AT232" s="779"/>
      <c r="AU232" s="779"/>
      <c r="AV232" s="779"/>
      <c r="AW232" s="779"/>
      <c r="AX232" s="779"/>
      <c r="AY232" s="779"/>
      <c r="AZ232" s="779"/>
      <c r="BA232" s="779"/>
      <c r="BB232" s="779"/>
      <c r="BC232" s="779"/>
      <c r="BD232" s="779"/>
      <c r="BE232" s="779"/>
      <c r="BF232" s="779"/>
      <c r="BG232" s="779"/>
      <c r="BH232" s="779"/>
      <c r="BI232" s="779"/>
      <c r="BJ232" s="779"/>
      <c r="BK232" s="779"/>
      <c r="BL232" s="779"/>
      <c r="BM232" s="779"/>
      <c r="BN232" s="779"/>
      <c r="BO232" s="779"/>
      <c r="BP232" s="779"/>
      <c r="BQ232" s="779"/>
      <c r="BR232" s="779"/>
      <c r="BS232" s="779"/>
      <c r="BT232" s="779"/>
      <c r="BU232" s="779"/>
      <c r="BV232" s="779"/>
      <c r="BW232" s="779"/>
      <c r="BX232" s="779"/>
      <c r="BY232" s="779"/>
      <c r="BZ232" s="779"/>
      <c r="CA232" s="779"/>
      <c r="CB232" s="779"/>
      <c r="CC232" s="779"/>
    </row>
    <row r="233" spans="1:81">
      <c r="A233" s="779"/>
      <c r="B233" s="779"/>
      <c r="C233" s="779"/>
      <c r="D233" s="779"/>
      <c r="E233" s="779"/>
      <c r="F233" s="779"/>
      <c r="G233" s="779"/>
      <c r="H233" s="779"/>
      <c r="I233" s="779"/>
      <c r="J233" s="779"/>
      <c r="K233" s="779"/>
      <c r="L233" s="779"/>
      <c r="M233" s="779"/>
      <c r="N233" s="779"/>
      <c r="O233" s="779"/>
      <c r="P233" s="779"/>
      <c r="Q233" s="779"/>
      <c r="R233" s="779"/>
      <c r="S233" s="779"/>
      <c r="T233" s="779"/>
      <c r="U233" s="779"/>
      <c r="V233" s="779"/>
      <c r="W233" s="779"/>
      <c r="X233" s="779"/>
      <c r="Y233" s="779"/>
      <c r="Z233" s="779"/>
      <c r="AA233" s="779"/>
      <c r="AB233" s="779"/>
      <c r="AC233" s="779"/>
      <c r="AD233" s="779"/>
      <c r="AE233" s="779"/>
      <c r="AF233" s="779"/>
      <c r="AG233" s="779"/>
      <c r="AH233" s="779"/>
      <c r="AI233" s="779"/>
      <c r="AJ233" s="779"/>
      <c r="AK233" s="779"/>
      <c r="AL233" s="779"/>
      <c r="AM233" s="779"/>
      <c r="AN233" s="779"/>
      <c r="AO233" s="779"/>
      <c r="AP233" s="779"/>
      <c r="AQ233" s="779"/>
      <c r="AR233" s="779"/>
      <c r="AS233" s="779"/>
      <c r="AT233" s="779"/>
      <c r="AU233" s="779"/>
      <c r="AV233" s="779"/>
      <c r="AW233" s="779"/>
      <c r="AX233" s="779"/>
      <c r="AY233" s="779"/>
      <c r="AZ233" s="779"/>
      <c r="BA233" s="779"/>
      <c r="BB233" s="779"/>
      <c r="BC233" s="779"/>
      <c r="BD233" s="779"/>
      <c r="BE233" s="779"/>
      <c r="BF233" s="779"/>
      <c r="BG233" s="779"/>
      <c r="BH233" s="779"/>
      <c r="BI233" s="779"/>
      <c r="BJ233" s="779"/>
      <c r="BK233" s="779"/>
      <c r="BL233" s="779"/>
      <c r="BM233" s="779"/>
      <c r="BN233" s="779"/>
      <c r="BO233" s="779"/>
      <c r="BP233" s="779"/>
      <c r="BQ233" s="779"/>
      <c r="BR233" s="779"/>
      <c r="BS233" s="779"/>
      <c r="BT233" s="779"/>
      <c r="BU233" s="779"/>
      <c r="BV233" s="779"/>
      <c r="BW233" s="779"/>
      <c r="BX233" s="779"/>
      <c r="BY233" s="779"/>
      <c r="BZ233" s="779"/>
      <c r="CA233" s="779"/>
      <c r="CB233" s="779"/>
      <c r="CC233" s="779"/>
    </row>
    <row r="234" spans="1:81">
      <c r="A234" s="779"/>
      <c r="B234" s="779"/>
      <c r="C234" s="779"/>
      <c r="D234" s="779"/>
      <c r="E234" s="779"/>
      <c r="F234" s="779"/>
      <c r="G234" s="779"/>
      <c r="H234" s="779"/>
      <c r="I234" s="779"/>
      <c r="J234" s="779"/>
      <c r="K234" s="779"/>
      <c r="L234" s="779"/>
      <c r="M234" s="779"/>
      <c r="N234" s="779"/>
      <c r="O234" s="779"/>
      <c r="P234" s="779"/>
      <c r="Q234" s="779"/>
      <c r="R234" s="779"/>
      <c r="S234" s="779"/>
      <c r="T234" s="779"/>
      <c r="U234" s="779"/>
      <c r="V234" s="779"/>
      <c r="W234" s="779"/>
      <c r="X234" s="779"/>
      <c r="Y234" s="779"/>
      <c r="Z234" s="779"/>
      <c r="AA234" s="779"/>
      <c r="AB234" s="779"/>
      <c r="AC234" s="779"/>
      <c r="AD234" s="779"/>
      <c r="AE234" s="779"/>
      <c r="AF234" s="779"/>
      <c r="AG234" s="779"/>
      <c r="AH234" s="779"/>
      <c r="AI234" s="779"/>
      <c r="AJ234" s="779"/>
      <c r="AK234" s="779"/>
      <c r="AL234" s="779"/>
      <c r="AM234" s="779"/>
      <c r="AN234" s="779"/>
      <c r="AO234" s="779"/>
      <c r="AP234" s="779"/>
      <c r="AQ234" s="779"/>
      <c r="AR234" s="779"/>
      <c r="AS234" s="779"/>
      <c r="AT234" s="779"/>
      <c r="AU234" s="779"/>
      <c r="AV234" s="779"/>
      <c r="AW234" s="779"/>
      <c r="AX234" s="779"/>
      <c r="AY234" s="779"/>
      <c r="AZ234" s="779"/>
      <c r="BA234" s="779"/>
      <c r="BB234" s="779"/>
      <c r="BC234" s="779"/>
      <c r="BD234" s="779"/>
      <c r="BE234" s="779"/>
      <c r="BF234" s="779"/>
      <c r="BG234" s="779"/>
      <c r="BH234" s="779"/>
      <c r="BI234" s="779"/>
      <c r="BJ234" s="779"/>
      <c r="BK234" s="779"/>
      <c r="BL234" s="779"/>
      <c r="BM234" s="779"/>
      <c r="BN234" s="779"/>
      <c r="BO234" s="779"/>
      <c r="BP234" s="779"/>
      <c r="BQ234" s="779"/>
      <c r="BR234" s="779"/>
      <c r="BS234" s="779"/>
      <c r="BT234" s="779"/>
      <c r="BU234" s="779"/>
      <c r="BV234" s="779"/>
      <c r="BW234" s="779"/>
      <c r="BX234" s="779"/>
      <c r="BY234" s="779"/>
      <c r="BZ234" s="779"/>
      <c r="CA234" s="779"/>
      <c r="CB234" s="779"/>
      <c r="CC234" s="779"/>
    </row>
    <row r="235" spans="1:81">
      <c r="A235" s="779"/>
      <c r="B235" s="779"/>
      <c r="C235" s="779"/>
      <c r="D235" s="779"/>
      <c r="E235" s="779"/>
      <c r="F235" s="779"/>
      <c r="G235" s="779"/>
      <c r="H235" s="779"/>
      <c r="I235" s="779"/>
      <c r="J235" s="779"/>
      <c r="K235" s="779"/>
      <c r="L235" s="779"/>
      <c r="M235" s="779"/>
      <c r="N235" s="779"/>
      <c r="O235" s="779"/>
      <c r="P235" s="779"/>
      <c r="Q235" s="779"/>
      <c r="R235" s="779"/>
      <c r="S235" s="779"/>
      <c r="T235" s="779"/>
      <c r="U235" s="779"/>
      <c r="V235" s="779"/>
      <c r="W235" s="779"/>
      <c r="X235" s="779"/>
      <c r="Y235" s="779"/>
      <c r="Z235" s="779"/>
      <c r="AA235" s="779"/>
      <c r="AB235" s="779"/>
      <c r="AC235" s="779"/>
      <c r="AD235" s="779"/>
      <c r="AE235" s="779"/>
      <c r="AF235" s="779"/>
      <c r="AG235" s="779"/>
      <c r="AH235" s="779"/>
      <c r="AI235" s="779"/>
      <c r="AJ235" s="779"/>
      <c r="AK235" s="779"/>
      <c r="AL235" s="779"/>
      <c r="AM235" s="779"/>
      <c r="AN235" s="779"/>
      <c r="AO235" s="779"/>
      <c r="AP235" s="779"/>
      <c r="AQ235" s="779"/>
      <c r="AR235" s="779"/>
      <c r="AS235" s="779"/>
      <c r="AT235" s="779"/>
      <c r="AU235" s="779"/>
      <c r="AV235" s="779"/>
      <c r="AW235" s="779"/>
      <c r="AX235" s="779"/>
      <c r="AY235" s="779"/>
      <c r="AZ235" s="779"/>
      <c r="BA235" s="779"/>
      <c r="BB235" s="779"/>
      <c r="BC235" s="779"/>
      <c r="BD235" s="779"/>
      <c r="BE235" s="779"/>
      <c r="BF235" s="779"/>
      <c r="BG235" s="779"/>
      <c r="BH235" s="779"/>
      <c r="BI235" s="779"/>
      <c r="BJ235" s="779"/>
      <c r="BK235" s="779"/>
      <c r="BL235" s="779"/>
      <c r="BM235" s="779"/>
      <c r="BN235" s="779"/>
      <c r="BO235" s="779"/>
      <c r="BP235" s="779"/>
      <c r="BQ235" s="779"/>
      <c r="BR235" s="779"/>
      <c r="BS235" s="779"/>
      <c r="BT235" s="779"/>
      <c r="BU235" s="779"/>
      <c r="BV235" s="779"/>
      <c r="BW235" s="779"/>
      <c r="BX235" s="779"/>
      <c r="BY235" s="779"/>
      <c r="BZ235" s="779"/>
      <c r="CA235" s="779"/>
      <c r="CB235" s="779"/>
      <c r="CC235" s="779"/>
    </row>
    <row r="236" spans="1:81">
      <c r="A236" s="779"/>
      <c r="B236" s="779"/>
      <c r="C236" s="779"/>
      <c r="D236" s="779"/>
      <c r="E236" s="779"/>
      <c r="F236" s="779"/>
      <c r="G236" s="779"/>
      <c r="H236" s="779"/>
      <c r="I236" s="779"/>
      <c r="J236" s="779"/>
      <c r="K236" s="779"/>
      <c r="L236" s="779"/>
      <c r="M236" s="779"/>
      <c r="N236" s="779"/>
      <c r="O236" s="779"/>
      <c r="P236" s="779"/>
      <c r="Q236" s="779"/>
      <c r="R236" s="779"/>
      <c r="S236" s="779"/>
      <c r="T236" s="779"/>
      <c r="U236" s="779"/>
      <c r="V236" s="779"/>
      <c r="W236" s="779"/>
      <c r="X236" s="779"/>
      <c r="Y236" s="779"/>
      <c r="Z236" s="779"/>
      <c r="AA236" s="779"/>
      <c r="AB236" s="779"/>
      <c r="AC236" s="779"/>
      <c r="AD236" s="779"/>
      <c r="AE236" s="779"/>
      <c r="AF236" s="779"/>
      <c r="AG236" s="779"/>
      <c r="AH236" s="779"/>
      <c r="AI236" s="779"/>
      <c r="AJ236" s="779"/>
      <c r="AK236" s="779"/>
      <c r="AL236" s="779"/>
      <c r="AM236" s="779"/>
      <c r="AN236" s="779"/>
      <c r="AO236" s="779"/>
      <c r="AP236" s="779"/>
      <c r="AQ236" s="779"/>
      <c r="AR236" s="779"/>
      <c r="AS236" s="779"/>
      <c r="AT236" s="779"/>
      <c r="AU236" s="779"/>
      <c r="AV236" s="779"/>
      <c r="AW236" s="779"/>
      <c r="AX236" s="779"/>
      <c r="AY236" s="779"/>
      <c r="AZ236" s="779"/>
      <c r="BA236" s="779"/>
      <c r="BB236" s="779"/>
      <c r="BC236" s="779"/>
      <c r="BD236" s="779"/>
      <c r="BE236" s="779"/>
      <c r="BF236" s="779"/>
      <c r="BG236" s="779"/>
      <c r="BH236" s="779"/>
      <c r="BI236" s="779"/>
      <c r="BJ236" s="779"/>
      <c r="BK236" s="779"/>
      <c r="BL236" s="779"/>
      <c r="BM236" s="779"/>
      <c r="BN236" s="779"/>
      <c r="BO236" s="779"/>
      <c r="BP236" s="779"/>
      <c r="BQ236" s="779"/>
      <c r="BR236" s="779"/>
      <c r="BS236" s="779"/>
      <c r="BT236" s="779"/>
      <c r="BU236" s="779"/>
      <c r="BV236" s="779"/>
      <c r="BW236" s="779"/>
      <c r="BX236" s="779"/>
      <c r="BY236" s="779"/>
      <c r="BZ236" s="779"/>
      <c r="CA236" s="779"/>
      <c r="CB236" s="779"/>
      <c r="CC236" s="779"/>
    </row>
    <row r="237" spans="1:81">
      <c r="A237" s="779"/>
      <c r="B237" s="779"/>
      <c r="C237" s="779"/>
      <c r="D237" s="779"/>
      <c r="E237" s="779"/>
      <c r="F237" s="779"/>
      <c r="G237" s="779"/>
      <c r="H237" s="779"/>
      <c r="I237" s="779"/>
      <c r="J237" s="779"/>
      <c r="K237" s="779"/>
      <c r="L237" s="779"/>
      <c r="M237" s="779"/>
      <c r="N237" s="779"/>
      <c r="O237" s="779"/>
      <c r="P237" s="779"/>
      <c r="Q237" s="779"/>
      <c r="R237" s="779"/>
      <c r="S237" s="779"/>
      <c r="T237" s="779"/>
      <c r="U237" s="779"/>
      <c r="V237" s="779"/>
      <c r="W237" s="779"/>
      <c r="X237" s="779"/>
      <c r="Y237" s="779"/>
      <c r="Z237" s="779"/>
      <c r="AA237" s="779"/>
      <c r="AB237" s="779"/>
      <c r="AC237" s="779"/>
      <c r="AD237" s="779"/>
      <c r="AE237" s="779"/>
      <c r="AF237" s="779"/>
      <c r="AG237" s="779"/>
      <c r="AH237" s="779"/>
      <c r="AI237" s="779"/>
      <c r="AJ237" s="779"/>
      <c r="AK237" s="779"/>
      <c r="AL237" s="779"/>
      <c r="AM237" s="779"/>
      <c r="AN237" s="779"/>
      <c r="AO237" s="779"/>
      <c r="AP237" s="779"/>
      <c r="AQ237" s="779"/>
      <c r="AR237" s="779"/>
      <c r="AS237" s="779"/>
      <c r="AT237" s="779"/>
      <c r="AU237" s="779"/>
      <c r="AV237" s="779"/>
      <c r="AW237" s="779"/>
      <c r="AX237" s="779"/>
      <c r="AY237" s="779"/>
      <c r="AZ237" s="779"/>
      <c r="BA237" s="779"/>
      <c r="BB237" s="779"/>
      <c r="BC237" s="779"/>
      <c r="BD237" s="779"/>
      <c r="BE237" s="779"/>
      <c r="BF237" s="779"/>
      <c r="BG237" s="779"/>
      <c r="BH237" s="779"/>
      <c r="BI237" s="779"/>
      <c r="BJ237" s="779"/>
      <c r="BK237" s="779"/>
      <c r="BL237" s="779"/>
      <c r="BM237" s="779"/>
      <c r="BN237" s="779"/>
      <c r="BO237" s="779"/>
      <c r="BP237" s="779"/>
      <c r="BQ237" s="779"/>
      <c r="BR237" s="779"/>
      <c r="BS237" s="779"/>
      <c r="BT237" s="779"/>
      <c r="BU237" s="779"/>
      <c r="BV237" s="779"/>
      <c r="BW237" s="779"/>
      <c r="BX237" s="779"/>
      <c r="BY237" s="779"/>
      <c r="BZ237" s="779"/>
      <c r="CA237" s="779"/>
      <c r="CB237" s="779"/>
      <c r="CC237" s="779"/>
    </row>
    <row r="238" spans="1:81">
      <c r="A238" s="779"/>
      <c r="B238" s="779"/>
      <c r="C238" s="779"/>
      <c r="D238" s="779"/>
      <c r="E238" s="779"/>
      <c r="F238" s="779"/>
      <c r="G238" s="779"/>
      <c r="H238" s="779"/>
      <c r="I238" s="779"/>
      <c r="J238" s="779"/>
      <c r="K238" s="779"/>
      <c r="L238" s="779"/>
      <c r="M238" s="779"/>
      <c r="N238" s="779"/>
      <c r="O238" s="779"/>
      <c r="P238" s="779"/>
      <c r="Q238" s="779"/>
      <c r="R238" s="779"/>
      <c r="S238" s="779"/>
      <c r="T238" s="779"/>
      <c r="U238" s="779"/>
      <c r="V238" s="779"/>
      <c r="W238" s="779"/>
      <c r="X238" s="779"/>
      <c r="Y238" s="779"/>
      <c r="Z238" s="779"/>
      <c r="AA238" s="779"/>
      <c r="AB238" s="779"/>
      <c r="AC238" s="779"/>
      <c r="AD238" s="779"/>
      <c r="AE238" s="779"/>
      <c r="AF238" s="779"/>
      <c r="AG238" s="779"/>
      <c r="AH238" s="779"/>
      <c r="AI238" s="779"/>
      <c r="AJ238" s="779"/>
      <c r="AK238" s="779"/>
      <c r="AL238" s="779"/>
      <c r="AM238" s="779"/>
      <c r="AN238" s="779"/>
      <c r="AO238" s="779"/>
      <c r="AP238" s="779"/>
      <c r="AQ238" s="779"/>
      <c r="AR238" s="779"/>
      <c r="AS238" s="779"/>
      <c r="AT238" s="779"/>
      <c r="AU238" s="779"/>
      <c r="AV238" s="779"/>
      <c r="AW238" s="779"/>
      <c r="AX238" s="779"/>
      <c r="AY238" s="779"/>
      <c r="AZ238" s="779"/>
      <c r="BA238" s="779"/>
      <c r="BB238" s="779"/>
      <c r="BC238" s="779"/>
      <c r="BD238" s="779"/>
      <c r="BE238" s="779"/>
      <c r="BF238" s="779"/>
      <c r="BG238" s="779"/>
      <c r="BH238" s="779"/>
      <c r="BI238" s="779"/>
      <c r="BJ238" s="779"/>
      <c r="BK238" s="779"/>
      <c r="BL238" s="779"/>
      <c r="BM238" s="779"/>
      <c r="BN238" s="779"/>
      <c r="BO238" s="779"/>
      <c r="BP238" s="779"/>
      <c r="BQ238" s="779"/>
      <c r="BR238" s="779"/>
      <c r="BS238" s="779"/>
      <c r="BT238" s="779"/>
      <c r="BU238" s="779"/>
      <c r="BV238" s="779"/>
      <c r="BW238" s="779"/>
      <c r="BX238" s="779"/>
      <c r="BY238" s="779"/>
      <c r="BZ238" s="779"/>
      <c r="CA238" s="779"/>
      <c r="CB238" s="779"/>
      <c r="CC238" s="779"/>
    </row>
    <row r="239" spans="1:81">
      <c r="A239" s="779"/>
      <c r="B239" s="779"/>
      <c r="C239" s="779"/>
      <c r="D239" s="779"/>
      <c r="E239" s="779"/>
      <c r="F239" s="779"/>
      <c r="G239" s="779"/>
      <c r="H239" s="779"/>
      <c r="I239" s="779"/>
      <c r="J239" s="779"/>
      <c r="K239" s="779"/>
      <c r="L239" s="779"/>
      <c r="M239" s="779"/>
      <c r="N239" s="779"/>
      <c r="O239" s="779"/>
      <c r="P239" s="779"/>
      <c r="Q239" s="779"/>
      <c r="R239" s="779"/>
      <c r="S239" s="779"/>
      <c r="T239" s="779"/>
      <c r="U239" s="779"/>
      <c r="V239" s="779"/>
      <c r="W239" s="779"/>
      <c r="X239" s="779"/>
      <c r="Y239" s="779"/>
      <c r="Z239" s="779"/>
      <c r="AA239" s="779"/>
      <c r="AB239" s="779"/>
      <c r="AC239" s="779"/>
      <c r="AD239" s="779"/>
      <c r="AE239" s="779"/>
      <c r="AF239" s="779"/>
      <c r="AG239" s="779"/>
      <c r="AH239" s="779"/>
      <c r="AI239" s="779"/>
      <c r="AJ239" s="779"/>
      <c r="AK239" s="779"/>
      <c r="AL239" s="779"/>
      <c r="AM239" s="779"/>
      <c r="AN239" s="779"/>
      <c r="AO239" s="779"/>
      <c r="AP239" s="779"/>
      <c r="AQ239" s="779"/>
      <c r="AR239" s="779"/>
      <c r="AS239" s="779"/>
      <c r="AT239" s="779"/>
      <c r="AU239" s="779"/>
      <c r="AV239" s="779"/>
      <c r="AW239" s="779"/>
      <c r="AX239" s="779"/>
      <c r="AY239" s="779"/>
      <c r="AZ239" s="779"/>
      <c r="BA239" s="779"/>
      <c r="BB239" s="779"/>
      <c r="BC239" s="779"/>
      <c r="BD239" s="779"/>
      <c r="BE239" s="779"/>
      <c r="BF239" s="779"/>
      <c r="BG239" s="779"/>
      <c r="BH239" s="779"/>
      <c r="BI239" s="779"/>
      <c r="BJ239" s="779"/>
      <c r="BK239" s="779"/>
      <c r="BL239" s="779"/>
      <c r="BM239" s="779"/>
      <c r="BN239" s="779"/>
      <c r="BO239" s="779"/>
      <c r="BP239" s="779"/>
      <c r="BQ239" s="779"/>
      <c r="BR239" s="779"/>
      <c r="BS239" s="779"/>
      <c r="BT239" s="779"/>
      <c r="BU239" s="779"/>
      <c r="BV239" s="779"/>
      <c r="BW239" s="779"/>
      <c r="BX239" s="779"/>
      <c r="BY239" s="779"/>
      <c r="BZ239" s="779"/>
      <c r="CA239" s="779"/>
      <c r="CB239" s="779"/>
      <c r="CC239" s="779"/>
    </row>
    <row r="240" spans="1:81">
      <c r="A240" s="779"/>
      <c r="B240" s="779"/>
      <c r="C240" s="779"/>
      <c r="D240" s="779"/>
      <c r="E240" s="779"/>
      <c r="F240" s="779"/>
      <c r="G240" s="779"/>
      <c r="H240" s="779"/>
      <c r="I240" s="779"/>
      <c r="J240" s="779"/>
      <c r="K240" s="779"/>
      <c r="L240" s="779"/>
      <c r="M240" s="779"/>
      <c r="N240" s="779"/>
      <c r="O240" s="779"/>
      <c r="P240" s="779"/>
      <c r="Q240" s="779"/>
      <c r="R240" s="779"/>
      <c r="S240" s="779"/>
      <c r="T240" s="779"/>
      <c r="U240" s="779"/>
      <c r="V240" s="779"/>
      <c r="W240" s="779"/>
      <c r="X240" s="779"/>
      <c r="Y240" s="779"/>
      <c r="Z240" s="779"/>
      <c r="AA240" s="779"/>
      <c r="AB240" s="779"/>
      <c r="AC240" s="779"/>
      <c r="AD240" s="779"/>
      <c r="AE240" s="779"/>
      <c r="AF240" s="779"/>
      <c r="AG240" s="779"/>
      <c r="AH240" s="779"/>
      <c r="AI240" s="779"/>
      <c r="AJ240" s="779"/>
      <c r="AK240" s="779"/>
      <c r="AL240" s="779"/>
      <c r="AM240" s="779"/>
      <c r="AN240" s="779"/>
      <c r="AO240" s="779"/>
      <c r="AP240" s="779"/>
      <c r="AQ240" s="779"/>
      <c r="AR240" s="779"/>
      <c r="AS240" s="779"/>
      <c r="AT240" s="779"/>
      <c r="AU240" s="779"/>
      <c r="AV240" s="779"/>
      <c r="AW240" s="779"/>
      <c r="AX240" s="779"/>
      <c r="AY240" s="779"/>
      <c r="AZ240" s="779"/>
      <c r="BA240" s="779"/>
      <c r="BB240" s="779"/>
      <c r="BC240" s="779"/>
      <c r="BD240" s="779"/>
      <c r="BE240" s="779"/>
      <c r="BF240" s="779"/>
      <c r="BG240" s="779"/>
      <c r="BH240" s="779"/>
      <c r="BI240" s="779"/>
      <c r="BJ240" s="779"/>
      <c r="BK240" s="779"/>
      <c r="BL240" s="779"/>
      <c r="BM240" s="779"/>
      <c r="BN240" s="779"/>
      <c r="BO240" s="779"/>
      <c r="BP240" s="779"/>
      <c r="BQ240" s="779"/>
      <c r="BR240" s="779"/>
      <c r="BS240" s="779"/>
      <c r="BT240" s="779"/>
      <c r="BU240" s="779"/>
      <c r="BV240" s="779"/>
      <c r="BW240" s="779"/>
      <c r="BX240" s="779"/>
      <c r="BY240" s="779"/>
      <c r="BZ240" s="779"/>
      <c r="CA240" s="779"/>
      <c r="CB240" s="779"/>
      <c r="CC240" s="779"/>
    </row>
    <row r="241" spans="1:81">
      <c r="A241" s="779"/>
      <c r="B241" s="779"/>
      <c r="C241" s="779"/>
      <c r="D241" s="779"/>
      <c r="E241" s="779"/>
      <c r="F241" s="779"/>
      <c r="G241" s="779"/>
      <c r="H241" s="779"/>
      <c r="I241" s="779"/>
      <c r="J241" s="779"/>
      <c r="K241" s="779"/>
      <c r="L241" s="779"/>
      <c r="M241" s="779"/>
      <c r="N241" s="779"/>
      <c r="O241" s="779"/>
      <c r="P241" s="779"/>
      <c r="Q241" s="779"/>
      <c r="R241" s="779"/>
      <c r="S241" s="779"/>
      <c r="T241" s="779"/>
      <c r="U241" s="779"/>
      <c r="V241" s="779"/>
      <c r="W241" s="779"/>
      <c r="X241" s="779"/>
      <c r="Y241" s="779"/>
      <c r="Z241" s="779"/>
      <c r="AA241" s="779"/>
      <c r="AB241" s="779"/>
      <c r="AC241" s="779"/>
      <c r="AD241" s="779"/>
      <c r="AE241" s="779"/>
      <c r="AF241" s="779"/>
      <c r="AG241" s="779"/>
      <c r="AH241" s="779"/>
      <c r="AI241" s="779"/>
      <c r="AJ241" s="779"/>
      <c r="AK241" s="779"/>
      <c r="AL241" s="779"/>
      <c r="AM241" s="779"/>
      <c r="AN241" s="779"/>
      <c r="AO241" s="779"/>
      <c r="AP241" s="779"/>
      <c r="AQ241" s="779"/>
      <c r="AR241" s="779"/>
      <c r="AS241" s="779"/>
      <c r="AT241" s="779"/>
      <c r="AU241" s="779"/>
      <c r="AV241" s="779"/>
      <c r="AW241" s="779"/>
      <c r="AX241" s="779"/>
      <c r="AY241" s="779"/>
      <c r="AZ241" s="779"/>
      <c r="BA241" s="779"/>
      <c r="BB241" s="779"/>
      <c r="BC241" s="779"/>
      <c r="BD241" s="779"/>
      <c r="BE241" s="779"/>
      <c r="BF241" s="779"/>
      <c r="BG241" s="779"/>
      <c r="BH241" s="779"/>
      <c r="BI241" s="779"/>
      <c r="BJ241" s="779"/>
      <c r="BK241" s="779"/>
      <c r="BL241" s="779"/>
      <c r="BM241" s="779"/>
      <c r="BN241" s="779"/>
      <c r="BO241" s="779"/>
      <c r="BP241" s="779"/>
      <c r="BQ241" s="779"/>
      <c r="BR241" s="779"/>
      <c r="BS241" s="779"/>
      <c r="BT241" s="779"/>
      <c r="BU241" s="779"/>
      <c r="BV241" s="779"/>
      <c r="BW241" s="779"/>
      <c r="BX241" s="779"/>
      <c r="BY241" s="779"/>
      <c r="BZ241" s="779"/>
      <c r="CA241" s="779"/>
      <c r="CB241" s="779"/>
      <c r="CC241" s="779"/>
    </row>
    <row r="242" spans="1:81">
      <c r="A242" s="779"/>
      <c r="B242" s="779"/>
      <c r="C242" s="779"/>
      <c r="D242" s="779"/>
      <c r="E242" s="779"/>
      <c r="F242" s="779"/>
      <c r="G242" s="779"/>
      <c r="H242" s="779"/>
      <c r="I242" s="779"/>
      <c r="J242" s="779"/>
      <c r="K242" s="779"/>
      <c r="L242" s="779"/>
      <c r="M242" s="779"/>
      <c r="N242" s="779"/>
      <c r="O242" s="779"/>
      <c r="P242" s="779"/>
      <c r="Q242" s="779"/>
      <c r="R242" s="779"/>
      <c r="S242" s="779"/>
      <c r="T242" s="779"/>
      <c r="U242" s="779"/>
      <c r="V242" s="779"/>
      <c r="W242" s="779"/>
      <c r="X242" s="779"/>
      <c r="Y242" s="779"/>
      <c r="Z242" s="779"/>
      <c r="AA242" s="779"/>
      <c r="AB242" s="779"/>
      <c r="AC242" s="779"/>
      <c r="AD242" s="779"/>
      <c r="AE242" s="779"/>
      <c r="AF242" s="779"/>
      <c r="AG242" s="779"/>
      <c r="AH242" s="779"/>
      <c r="AI242" s="779"/>
      <c r="AJ242" s="779"/>
      <c r="AK242" s="779"/>
      <c r="AL242" s="779"/>
      <c r="AM242" s="779"/>
      <c r="AN242" s="779"/>
      <c r="AO242" s="779"/>
      <c r="AP242" s="779"/>
      <c r="AQ242" s="779"/>
      <c r="AR242" s="779"/>
      <c r="AS242" s="779"/>
      <c r="AT242" s="779"/>
      <c r="AU242" s="779"/>
      <c r="AV242" s="779"/>
      <c r="AW242" s="779"/>
      <c r="AX242" s="779"/>
      <c r="AY242" s="779"/>
      <c r="AZ242" s="779"/>
      <c r="BA242" s="779"/>
      <c r="BB242" s="779"/>
      <c r="BC242" s="779"/>
      <c r="BD242" s="779"/>
      <c r="BE242" s="779"/>
      <c r="BF242" s="779"/>
      <c r="BG242" s="779"/>
      <c r="BH242" s="779"/>
      <c r="BI242" s="779"/>
      <c r="BJ242" s="779"/>
      <c r="BK242" s="779"/>
      <c r="BL242" s="779"/>
      <c r="BM242" s="779"/>
      <c r="BN242" s="779"/>
      <c r="BO242" s="779"/>
      <c r="BP242" s="779"/>
      <c r="BQ242" s="779"/>
      <c r="BR242" s="779"/>
      <c r="BS242" s="779"/>
      <c r="BT242" s="779"/>
      <c r="BU242" s="779"/>
      <c r="BV242" s="779"/>
      <c r="BW242" s="779"/>
      <c r="BX242" s="779"/>
      <c r="BY242" s="779"/>
      <c r="BZ242" s="779"/>
      <c r="CA242" s="779"/>
      <c r="CB242" s="779"/>
      <c r="CC242" s="779"/>
    </row>
    <row r="243" spans="1:81">
      <c r="A243" s="779"/>
      <c r="B243" s="779"/>
      <c r="C243" s="779"/>
      <c r="D243" s="779"/>
      <c r="E243" s="779"/>
      <c r="F243" s="779"/>
      <c r="G243" s="779"/>
      <c r="H243" s="779"/>
      <c r="I243" s="779"/>
      <c r="J243" s="779"/>
      <c r="K243" s="779"/>
      <c r="L243" s="779"/>
      <c r="M243" s="779"/>
      <c r="N243" s="779"/>
      <c r="O243" s="779"/>
      <c r="P243" s="779"/>
      <c r="Q243" s="779"/>
      <c r="R243" s="779"/>
      <c r="S243" s="779"/>
      <c r="T243" s="779"/>
      <c r="U243" s="779"/>
      <c r="V243" s="779"/>
      <c r="W243" s="779"/>
      <c r="X243" s="779"/>
      <c r="Y243" s="779"/>
      <c r="Z243" s="779"/>
      <c r="AA243" s="779"/>
      <c r="AB243" s="779"/>
      <c r="AC243" s="779"/>
      <c r="AD243" s="779"/>
      <c r="AE243" s="779"/>
      <c r="AF243" s="779"/>
      <c r="AG243" s="779"/>
      <c r="AH243" s="779"/>
      <c r="AI243" s="779"/>
      <c r="AJ243" s="779"/>
      <c r="AK243" s="779"/>
      <c r="AL243" s="779"/>
      <c r="AM243" s="779"/>
      <c r="AN243" s="779"/>
      <c r="AO243" s="779"/>
      <c r="AP243" s="779"/>
      <c r="AQ243" s="779"/>
      <c r="AR243" s="779"/>
      <c r="AS243" s="779"/>
      <c r="AT243" s="779"/>
      <c r="AU243" s="779"/>
      <c r="AV243" s="779"/>
      <c r="AW243" s="779"/>
      <c r="AX243" s="779"/>
      <c r="AY243" s="779"/>
      <c r="AZ243" s="779"/>
      <c r="BA243" s="779"/>
      <c r="BB243" s="779"/>
      <c r="BC243" s="779"/>
      <c r="BD243" s="779"/>
      <c r="BE243" s="779"/>
      <c r="BF243" s="779"/>
      <c r="BG243" s="779"/>
      <c r="BH243" s="779"/>
      <c r="BI243" s="779"/>
      <c r="BJ243" s="779"/>
      <c r="BK243" s="779"/>
      <c r="BL243" s="779"/>
      <c r="BM243" s="779"/>
      <c r="BN243" s="779"/>
      <c r="BO243" s="779"/>
      <c r="BP243" s="779"/>
      <c r="BQ243" s="779"/>
      <c r="BR243" s="779"/>
      <c r="BS243" s="779"/>
      <c r="BT243" s="779"/>
      <c r="BU243" s="779"/>
      <c r="BV243" s="779"/>
      <c r="BW243" s="779"/>
      <c r="BX243" s="779"/>
      <c r="BY243" s="779"/>
      <c r="BZ243" s="779"/>
      <c r="CA243" s="779"/>
      <c r="CB243" s="779"/>
      <c r="CC243" s="779"/>
    </row>
    <row r="244" spans="1:81">
      <c r="A244" s="779"/>
      <c r="B244" s="779"/>
      <c r="C244" s="779"/>
      <c r="D244" s="779"/>
      <c r="E244" s="779"/>
      <c r="F244" s="779"/>
      <c r="G244" s="779"/>
      <c r="H244" s="779"/>
      <c r="I244" s="779"/>
      <c r="J244" s="779"/>
      <c r="K244" s="779"/>
      <c r="L244" s="779"/>
      <c r="M244" s="779"/>
      <c r="N244" s="779"/>
      <c r="O244" s="779"/>
      <c r="P244" s="779"/>
      <c r="Q244" s="779"/>
      <c r="R244" s="779"/>
      <c r="S244" s="779"/>
      <c r="T244" s="779"/>
      <c r="U244" s="779"/>
      <c r="V244" s="779"/>
      <c r="W244" s="779"/>
      <c r="X244" s="779"/>
      <c r="Y244" s="779"/>
      <c r="Z244" s="779"/>
      <c r="AA244" s="779"/>
      <c r="AB244" s="779"/>
      <c r="AC244" s="779"/>
      <c r="AD244" s="779"/>
      <c r="AE244" s="779"/>
      <c r="AF244" s="779"/>
      <c r="AG244" s="779"/>
      <c r="AH244" s="779"/>
      <c r="AI244" s="779"/>
      <c r="AJ244" s="779"/>
      <c r="AK244" s="779"/>
      <c r="AL244" s="779"/>
      <c r="AM244" s="779"/>
      <c r="AN244" s="779"/>
      <c r="AO244" s="779"/>
      <c r="AP244" s="779"/>
      <c r="AQ244" s="779"/>
      <c r="AR244" s="779"/>
      <c r="AS244" s="779"/>
      <c r="AT244" s="779"/>
      <c r="AU244" s="779"/>
      <c r="AV244" s="779"/>
      <c r="AW244" s="779"/>
      <c r="AX244" s="779"/>
      <c r="AY244" s="779"/>
      <c r="AZ244" s="779"/>
      <c r="BA244" s="779"/>
      <c r="BB244" s="779"/>
      <c r="BC244" s="779"/>
      <c r="BD244" s="779"/>
      <c r="BE244" s="779"/>
      <c r="BF244" s="779"/>
      <c r="BG244" s="779"/>
      <c r="BH244" s="779"/>
      <c r="BI244" s="779"/>
      <c r="BJ244" s="779"/>
      <c r="BK244" s="779"/>
      <c r="BL244" s="779"/>
      <c r="BM244" s="779"/>
      <c r="BN244" s="779"/>
      <c r="BO244" s="779"/>
      <c r="BP244" s="779"/>
      <c r="BQ244" s="779"/>
      <c r="BR244" s="779"/>
      <c r="BS244" s="779"/>
      <c r="BT244" s="779"/>
      <c r="BU244" s="779"/>
      <c r="BV244" s="779"/>
      <c r="BW244" s="779"/>
      <c r="BX244" s="779"/>
      <c r="BY244" s="779"/>
      <c r="BZ244" s="779"/>
      <c r="CA244" s="779"/>
      <c r="CB244" s="779"/>
      <c r="CC244" s="779"/>
    </row>
    <row r="245" spans="1:81">
      <c r="A245" s="779"/>
      <c r="B245" s="779"/>
      <c r="C245" s="779"/>
      <c r="D245" s="779"/>
      <c r="E245" s="779"/>
      <c r="F245" s="779"/>
      <c r="G245" s="779"/>
      <c r="H245" s="779"/>
      <c r="I245" s="779"/>
      <c r="J245" s="779"/>
      <c r="K245" s="779"/>
      <c r="L245" s="779"/>
      <c r="M245" s="779"/>
      <c r="N245" s="779"/>
      <c r="O245" s="779"/>
      <c r="P245" s="779"/>
      <c r="Q245" s="779"/>
      <c r="R245" s="779"/>
      <c r="S245" s="779"/>
      <c r="T245" s="779"/>
      <c r="U245" s="779"/>
      <c r="V245" s="779"/>
      <c r="W245" s="779"/>
      <c r="X245" s="779"/>
      <c r="Y245" s="779"/>
      <c r="Z245" s="779"/>
      <c r="AA245" s="779"/>
      <c r="AB245" s="779"/>
      <c r="AC245" s="779"/>
      <c r="AD245" s="779"/>
      <c r="AE245" s="779"/>
      <c r="AF245" s="779"/>
      <c r="AG245" s="779"/>
      <c r="AH245" s="779"/>
      <c r="AI245" s="779"/>
      <c r="AJ245" s="779"/>
      <c r="AK245" s="779"/>
      <c r="AL245" s="779"/>
      <c r="AM245" s="779"/>
      <c r="AN245" s="779"/>
      <c r="AO245" s="779"/>
      <c r="AP245" s="779"/>
      <c r="AQ245" s="779"/>
      <c r="AR245" s="779"/>
      <c r="AS245" s="779"/>
      <c r="AT245" s="779"/>
      <c r="AU245" s="779"/>
      <c r="AV245" s="779"/>
      <c r="AW245" s="779"/>
      <c r="AX245" s="779"/>
      <c r="AY245" s="779"/>
      <c r="AZ245" s="779"/>
      <c r="BA245" s="779"/>
      <c r="BB245" s="779"/>
      <c r="BC245" s="779"/>
      <c r="BD245" s="779"/>
      <c r="BE245" s="779"/>
      <c r="BF245" s="779"/>
      <c r="BG245" s="779"/>
      <c r="BH245" s="779"/>
      <c r="BI245" s="779"/>
      <c r="BJ245" s="779"/>
      <c r="BK245" s="779"/>
      <c r="BL245" s="779"/>
      <c r="BM245" s="779"/>
      <c r="BN245" s="779"/>
      <c r="BO245" s="779"/>
      <c r="BP245" s="779"/>
      <c r="BQ245" s="779"/>
      <c r="BR245" s="779"/>
      <c r="BS245" s="779"/>
      <c r="BT245" s="779"/>
      <c r="BU245" s="779"/>
      <c r="BV245" s="779"/>
      <c r="BW245" s="779"/>
      <c r="BX245" s="779"/>
      <c r="BY245" s="779"/>
      <c r="BZ245" s="779"/>
      <c r="CA245" s="779"/>
      <c r="CB245" s="779"/>
      <c r="CC245" s="779"/>
    </row>
    <row r="246" spans="1:81">
      <c r="A246" s="779"/>
      <c r="B246" s="779"/>
      <c r="C246" s="779"/>
      <c r="D246" s="779"/>
      <c r="E246" s="779"/>
      <c r="F246" s="779"/>
      <c r="G246" s="779"/>
      <c r="H246" s="779"/>
      <c r="I246" s="779"/>
      <c r="J246" s="779"/>
      <c r="K246" s="779"/>
      <c r="L246" s="779"/>
      <c r="M246" s="779"/>
      <c r="N246" s="779"/>
      <c r="O246" s="779"/>
      <c r="P246" s="779"/>
      <c r="Q246" s="779"/>
      <c r="R246" s="779"/>
      <c r="S246" s="779"/>
      <c r="T246" s="779"/>
      <c r="U246" s="779"/>
      <c r="V246" s="779"/>
      <c r="W246" s="779"/>
      <c r="X246" s="779"/>
      <c r="Y246" s="779"/>
      <c r="Z246" s="779"/>
      <c r="AA246" s="779"/>
      <c r="AB246" s="779"/>
      <c r="AC246" s="779"/>
      <c r="AD246" s="779"/>
      <c r="AE246" s="779"/>
      <c r="AF246" s="779"/>
      <c r="AG246" s="779"/>
      <c r="AH246" s="779"/>
      <c r="AI246" s="779"/>
      <c r="AJ246" s="779"/>
      <c r="AK246" s="779"/>
      <c r="AL246" s="779"/>
      <c r="AM246" s="779"/>
      <c r="AN246" s="779"/>
      <c r="AO246" s="779"/>
      <c r="AP246" s="779"/>
      <c r="AQ246" s="779"/>
      <c r="AR246" s="779"/>
      <c r="AS246" s="779"/>
      <c r="AT246" s="779"/>
      <c r="AU246" s="779"/>
      <c r="AV246" s="779"/>
      <c r="AW246" s="779"/>
      <c r="AX246" s="779"/>
      <c r="AY246" s="779"/>
      <c r="AZ246" s="779"/>
      <c r="BA246" s="779"/>
      <c r="BB246" s="779"/>
      <c r="BC246" s="779"/>
      <c r="BD246" s="779"/>
      <c r="BE246" s="779"/>
      <c r="BF246" s="779"/>
      <c r="BG246" s="779"/>
      <c r="BH246" s="779"/>
      <c r="BI246" s="779"/>
      <c r="BJ246" s="779"/>
      <c r="BK246" s="779"/>
      <c r="BL246" s="779"/>
      <c r="BM246" s="779"/>
      <c r="BN246" s="779"/>
      <c r="BO246" s="779"/>
      <c r="BP246" s="779"/>
      <c r="BQ246" s="779"/>
      <c r="BR246" s="779"/>
      <c r="BS246" s="779"/>
      <c r="BT246" s="779"/>
      <c r="BU246" s="779"/>
      <c r="BV246" s="779"/>
      <c r="BW246" s="779"/>
      <c r="BX246" s="779"/>
      <c r="BY246" s="779"/>
      <c r="BZ246" s="779"/>
      <c r="CA246" s="779"/>
      <c r="CB246" s="779"/>
      <c r="CC246" s="779"/>
    </row>
    <row r="247" spans="1:81">
      <c r="A247" s="779"/>
      <c r="B247" s="779"/>
      <c r="C247" s="779"/>
      <c r="D247" s="779"/>
      <c r="E247" s="779"/>
      <c r="F247" s="779"/>
      <c r="G247" s="779"/>
      <c r="H247" s="779"/>
      <c r="I247" s="779"/>
      <c r="J247" s="779"/>
      <c r="K247" s="779"/>
      <c r="L247" s="779"/>
      <c r="M247" s="779"/>
      <c r="N247" s="779"/>
      <c r="O247" s="779"/>
      <c r="P247" s="779"/>
      <c r="Q247" s="779"/>
      <c r="R247" s="779"/>
      <c r="S247" s="779"/>
      <c r="T247" s="779"/>
      <c r="U247" s="779"/>
      <c r="V247" s="779"/>
      <c r="W247" s="779"/>
      <c r="X247" s="779"/>
      <c r="Y247" s="779"/>
      <c r="Z247" s="779"/>
      <c r="AA247" s="779"/>
      <c r="AB247" s="779"/>
      <c r="AC247" s="779"/>
      <c r="AD247" s="779"/>
      <c r="AE247" s="779"/>
      <c r="AF247" s="779"/>
      <c r="AG247" s="779"/>
      <c r="AH247" s="779"/>
      <c r="AI247" s="779"/>
      <c r="AJ247" s="779"/>
      <c r="AK247" s="779"/>
      <c r="AL247" s="779"/>
      <c r="AM247" s="779"/>
      <c r="AN247" s="779"/>
      <c r="AO247" s="779"/>
      <c r="AP247" s="779"/>
      <c r="AQ247" s="779"/>
      <c r="AR247" s="779"/>
      <c r="AS247" s="779"/>
      <c r="AT247" s="779"/>
      <c r="AU247" s="779"/>
      <c r="AV247" s="779"/>
      <c r="AW247" s="779"/>
      <c r="AX247" s="779"/>
      <c r="AY247" s="779"/>
      <c r="AZ247" s="779"/>
      <c r="BA247" s="779"/>
      <c r="BB247" s="779"/>
      <c r="BC247" s="779"/>
      <c r="BD247" s="779"/>
      <c r="BE247" s="779"/>
      <c r="BF247" s="779"/>
      <c r="BG247" s="779"/>
      <c r="BH247" s="779"/>
      <c r="BI247" s="779"/>
      <c r="BJ247" s="779"/>
      <c r="BK247" s="779"/>
      <c r="BL247" s="779"/>
      <c r="BM247" s="779"/>
      <c r="BN247" s="779"/>
      <c r="BO247" s="779"/>
      <c r="BP247" s="779"/>
      <c r="BQ247" s="779"/>
      <c r="BR247" s="779"/>
      <c r="BS247" s="779"/>
      <c r="BT247" s="779"/>
      <c r="BU247" s="779"/>
      <c r="BV247" s="779"/>
      <c r="BW247" s="779"/>
      <c r="BX247" s="779"/>
      <c r="BY247" s="779"/>
      <c r="BZ247" s="779"/>
      <c r="CA247" s="779"/>
      <c r="CB247" s="779"/>
      <c r="CC247" s="779"/>
    </row>
    <row r="248" spans="1:81">
      <c r="A248" s="779"/>
      <c r="B248" s="779"/>
      <c r="C248" s="779"/>
      <c r="D248" s="779"/>
      <c r="E248" s="779"/>
      <c r="F248" s="779"/>
      <c r="G248" s="779"/>
      <c r="H248" s="779"/>
      <c r="I248" s="779"/>
      <c r="J248" s="779"/>
      <c r="K248" s="779"/>
      <c r="L248" s="779"/>
      <c r="M248" s="779"/>
      <c r="N248" s="779"/>
      <c r="O248" s="779"/>
      <c r="P248" s="779"/>
      <c r="Q248" s="779"/>
      <c r="R248" s="779"/>
      <c r="S248" s="779"/>
      <c r="T248" s="779"/>
      <c r="U248" s="779"/>
      <c r="V248" s="779"/>
      <c r="W248" s="779"/>
      <c r="X248" s="779"/>
      <c r="Y248" s="779"/>
      <c r="Z248" s="779"/>
      <c r="AA248" s="779"/>
      <c r="AB248" s="779"/>
      <c r="AC248" s="779"/>
      <c r="AD248" s="779"/>
      <c r="AE248" s="779"/>
      <c r="AF248" s="779"/>
      <c r="AG248" s="779"/>
      <c r="AH248" s="779"/>
      <c r="AI248" s="779"/>
      <c r="AJ248" s="779"/>
      <c r="AK248" s="779"/>
      <c r="AL248" s="779"/>
      <c r="AM248" s="779"/>
      <c r="AN248" s="779"/>
      <c r="AO248" s="779"/>
      <c r="AP248" s="779"/>
      <c r="AQ248" s="779"/>
      <c r="AR248" s="779"/>
      <c r="AS248" s="779"/>
      <c r="AT248" s="779"/>
      <c r="AU248" s="779"/>
      <c r="AV248" s="779"/>
      <c r="AW248" s="779"/>
      <c r="AX248" s="779"/>
      <c r="AY248" s="779"/>
      <c r="AZ248" s="779"/>
      <c r="BA248" s="779"/>
      <c r="BB248" s="779"/>
      <c r="BC248" s="779"/>
      <c r="BD248" s="779"/>
      <c r="BE248" s="779"/>
      <c r="BF248" s="779"/>
      <c r="BG248" s="779"/>
      <c r="BH248" s="779"/>
      <c r="BI248" s="779"/>
      <c r="BJ248" s="779"/>
      <c r="BK248" s="779"/>
      <c r="BL248" s="779"/>
      <c r="BM248" s="779"/>
      <c r="BN248" s="779"/>
      <c r="BO248" s="779"/>
      <c r="BP248" s="779"/>
      <c r="BQ248" s="779"/>
      <c r="BR248" s="779"/>
      <c r="BS248" s="779"/>
      <c r="BT248" s="779"/>
      <c r="BU248" s="779"/>
      <c r="BV248" s="779"/>
      <c r="BW248" s="779"/>
      <c r="BX248" s="779"/>
      <c r="BY248" s="779"/>
      <c r="BZ248" s="779"/>
      <c r="CA248" s="779"/>
      <c r="CB248" s="779"/>
      <c r="CC248" s="779"/>
    </row>
    <row r="249" spans="1:81">
      <c r="A249" s="779"/>
      <c r="B249" s="779"/>
      <c r="C249" s="779"/>
      <c r="D249" s="779"/>
      <c r="E249" s="779"/>
      <c r="F249" s="779"/>
      <c r="G249" s="779"/>
      <c r="H249" s="779"/>
      <c r="I249" s="779"/>
      <c r="J249" s="779"/>
      <c r="K249" s="779"/>
      <c r="L249" s="779"/>
      <c r="M249" s="779"/>
      <c r="N249" s="779"/>
      <c r="O249" s="779"/>
      <c r="P249" s="779"/>
      <c r="Q249" s="779"/>
      <c r="R249" s="779"/>
      <c r="S249" s="779"/>
      <c r="T249" s="779"/>
      <c r="U249" s="779"/>
      <c r="V249" s="779"/>
      <c r="W249" s="779"/>
      <c r="X249" s="779"/>
      <c r="Y249" s="779"/>
      <c r="Z249" s="779"/>
      <c r="AA249" s="779"/>
      <c r="AB249" s="779"/>
      <c r="AC249" s="779"/>
      <c r="AD249" s="779"/>
      <c r="AE249" s="779"/>
      <c r="AF249" s="779"/>
      <c r="AG249" s="779"/>
      <c r="AH249" s="779"/>
      <c r="AI249" s="779"/>
      <c r="AJ249" s="779"/>
      <c r="AK249" s="779"/>
      <c r="AL249" s="779"/>
      <c r="AM249" s="779"/>
      <c r="AN249" s="779"/>
      <c r="AO249" s="779"/>
      <c r="AP249" s="779"/>
      <c r="AQ249" s="779"/>
      <c r="AR249" s="779"/>
      <c r="AS249" s="779"/>
      <c r="AT249" s="779"/>
      <c r="AU249" s="779"/>
      <c r="AV249" s="779"/>
      <c r="AW249" s="779"/>
      <c r="AX249" s="779"/>
      <c r="AY249" s="779"/>
      <c r="AZ249" s="779"/>
      <c r="BA249" s="779"/>
      <c r="BB249" s="779"/>
      <c r="BC249" s="779"/>
      <c r="BD249" s="779"/>
      <c r="BE249" s="779"/>
      <c r="BF249" s="779"/>
      <c r="BG249" s="779"/>
      <c r="BH249" s="779"/>
      <c r="BI249" s="779"/>
      <c r="BJ249" s="779"/>
      <c r="BK249" s="779"/>
      <c r="BL249" s="779"/>
      <c r="BM249" s="779"/>
      <c r="BN249" s="779"/>
      <c r="BO249" s="779"/>
      <c r="BP249" s="779"/>
      <c r="BQ249" s="779"/>
      <c r="BR249" s="779"/>
      <c r="BS249" s="779"/>
      <c r="BT249" s="779"/>
      <c r="BU249" s="779"/>
      <c r="BV249" s="779"/>
      <c r="BW249" s="779"/>
      <c r="BX249" s="779"/>
      <c r="BY249" s="779"/>
      <c r="BZ249" s="779"/>
      <c r="CA249" s="779"/>
      <c r="CB249" s="779"/>
      <c r="CC249" s="779"/>
    </row>
    <row r="250" spans="1:81">
      <c r="A250" s="779"/>
      <c r="B250" s="779"/>
      <c r="C250" s="779"/>
      <c r="D250" s="779"/>
      <c r="E250" s="779"/>
      <c r="F250" s="779"/>
      <c r="G250" s="779"/>
      <c r="H250" s="779"/>
      <c r="I250" s="779"/>
      <c r="J250" s="779"/>
      <c r="K250" s="779"/>
      <c r="L250" s="779"/>
      <c r="M250" s="779"/>
      <c r="N250" s="779"/>
      <c r="O250" s="779"/>
      <c r="P250" s="779"/>
      <c r="Q250" s="779"/>
      <c r="R250" s="779"/>
      <c r="S250" s="779"/>
      <c r="T250" s="779"/>
      <c r="U250" s="779"/>
      <c r="V250" s="779"/>
      <c r="W250" s="779"/>
      <c r="X250" s="779"/>
      <c r="Y250" s="779"/>
      <c r="Z250" s="779"/>
      <c r="AA250" s="779"/>
      <c r="AB250" s="779"/>
      <c r="AC250" s="779"/>
      <c r="AD250" s="779"/>
      <c r="AE250" s="779"/>
      <c r="AF250" s="779"/>
      <c r="AG250" s="779"/>
      <c r="AH250" s="779"/>
      <c r="AI250" s="779"/>
      <c r="AJ250" s="779"/>
      <c r="AK250" s="779"/>
      <c r="AL250" s="779"/>
      <c r="AM250" s="779"/>
      <c r="AN250" s="779"/>
      <c r="AO250" s="779"/>
      <c r="AP250" s="779"/>
      <c r="AQ250" s="779"/>
      <c r="AR250" s="779"/>
      <c r="AS250" s="779"/>
      <c r="AT250" s="779"/>
      <c r="AU250" s="779"/>
      <c r="AV250" s="779"/>
      <c r="AW250" s="779"/>
      <c r="AX250" s="779"/>
      <c r="AY250" s="779"/>
      <c r="AZ250" s="779"/>
      <c r="BA250" s="779"/>
      <c r="BB250" s="779"/>
      <c r="BC250" s="779"/>
      <c r="BD250" s="779"/>
      <c r="BE250" s="779"/>
      <c r="BF250" s="779"/>
      <c r="BG250" s="779"/>
      <c r="BH250" s="779"/>
      <c r="BI250" s="779"/>
      <c r="BJ250" s="779"/>
      <c r="BK250" s="779"/>
      <c r="BL250" s="779"/>
      <c r="BM250" s="779"/>
      <c r="BN250" s="779"/>
      <c r="BO250" s="779"/>
      <c r="BP250" s="779"/>
      <c r="BQ250" s="779"/>
      <c r="BR250" s="779"/>
      <c r="BS250" s="779"/>
      <c r="BT250" s="779"/>
      <c r="BU250" s="779"/>
      <c r="BV250" s="779"/>
      <c r="BW250" s="779"/>
      <c r="BX250" s="779"/>
      <c r="BY250" s="779"/>
      <c r="BZ250" s="779"/>
      <c r="CA250" s="779"/>
      <c r="CB250" s="779"/>
      <c r="CC250" s="779"/>
    </row>
    <row r="251" spans="1:81">
      <c r="A251" s="779"/>
      <c r="B251" s="779"/>
      <c r="C251" s="779"/>
      <c r="D251" s="779"/>
      <c r="E251" s="779"/>
      <c r="F251" s="779"/>
      <c r="G251" s="779"/>
      <c r="H251" s="779"/>
      <c r="I251" s="779"/>
      <c r="J251" s="779"/>
      <c r="K251" s="779"/>
      <c r="L251" s="779"/>
      <c r="M251" s="779"/>
      <c r="N251" s="779"/>
      <c r="O251" s="779"/>
      <c r="P251" s="779"/>
      <c r="Q251" s="779"/>
      <c r="R251" s="779"/>
      <c r="S251" s="779"/>
      <c r="T251" s="779"/>
      <c r="U251" s="779"/>
      <c r="V251" s="779"/>
      <c r="W251" s="779"/>
      <c r="X251" s="779"/>
      <c r="Y251" s="779"/>
      <c r="Z251" s="779"/>
      <c r="AA251" s="779"/>
      <c r="AB251" s="779"/>
      <c r="AC251" s="779"/>
      <c r="AD251" s="779"/>
      <c r="AE251" s="779"/>
      <c r="AF251" s="779"/>
      <c r="AG251" s="779"/>
      <c r="AH251" s="779"/>
      <c r="AI251" s="779"/>
      <c r="AJ251" s="779"/>
      <c r="AK251" s="779"/>
      <c r="AL251" s="779"/>
      <c r="AM251" s="779"/>
      <c r="AN251" s="779"/>
      <c r="AO251" s="779"/>
      <c r="AP251" s="779"/>
      <c r="AQ251" s="779"/>
      <c r="AR251" s="779"/>
      <c r="AS251" s="779"/>
      <c r="AT251" s="779"/>
      <c r="AU251" s="779"/>
      <c r="AV251" s="779"/>
      <c r="AW251" s="779"/>
      <c r="AX251" s="779"/>
      <c r="AY251" s="779"/>
      <c r="AZ251" s="779"/>
      <c r="BA251" s="779"/>
      <c r="BB251" s="779"/>
      <c r="BC251" s="779"/>
      <c r="BD251" s="779"/>
      <c r="BE251" s="779"/>
      <c r="BF251" s="779"/>
      <c r="BG251" s="779"/>
      <c r="BH251" s="779"/>
      <c r="BI251" s="779"/>
      <c r="BJ251" s="779"/>
      <c r="BK251" s="779"/>
      <c r="BL251" s="779"/>
      <c r="BM251" s="779"/>
      <c r="BN251" s="779"/>
      <c r="BO251" s="779"/>
      <c r="BP251" s="779"/>
      <c r="BQ251" s="779"/>
      <c r="BR251" s="779"/>
      <c r="BS251" s="779"/>
      <c r="BT251" s="779"/>
      <c r="BU251" s="779"/>
      <c r="BV251" s="779"/>
      <c r="BW251" s="779"/>
      <c r="BX251" s="779"/>
      <c r="BY251" s="779"/>
      <c r="BZ251" s="779"/>
      <c r="CA251" s="779"/>
      <c r="CB251" s="779"/>
      <c r="CC251" s="779"/>
    </row>
    <row r="252" spans="1:81">
      <c r="A252" s="779"/>
      <c r="B252" s="779"/>
      <c r="C252" s="779"/>
      <c r="D252" s="779"/>
      <c r="E252" s="779"/>
      <c r="F252" s="779"/>
      <c r="G252" s="779"/>
      <c r="H252" s="779"/>
      <c r="I252" s="779"/>
      <c r="J252" s="779"/>
      <c r="K252" s="779"/>
      <c r="L252" s="779"/>
      <c r="M252" s="779"/>
      <c r="N252" s="779"/>
      <c r="O252" s="779"/>
      <c r="P252" s="779"/>
      <c r="Q252" s="779"/>
      <c r="R252" s="779"/>
      <c r="S252" s="779"/>
      <c r="T252" s="779"/>
      <c r="U252" s="779"/>
      <c r="V252" s="779"/>
      <c r="W252" s="779"/>
      <c r="X252" s="779"/>
      <c r="Y252" s="779"/>
      <c r="Z252" s="779"/>
      <c r="AA252" s="779"/>
      <c r="AB252" s="779"/>
      <c r="AC252" s="779"/>
      <c r="AD252" s="779"/>
      <c r="AE252" s="779"/>
      <c r="AF252" s="779"/>
      <c r="AG252" s="779"/>
      <c r="AH252" s="779"/>
      <c r="AI252" s="779"/>
      <c r="AJ252" s="779"/>
      <c r="AK252" s="779"/>
      <c r="AL252" s="779"/>
      <c r="AM252" s="779"/>
      <c r="AN252" s="779"/>
      <c r="AO252" s="779"/>
      <c r="AP252" s="779"/>
      <c r="AQ252" s="779"/>
      <c r="AR252" s="779"/>
      <c r="AS252" s="779"/>
      <c r="AT252" s="779"/>
      <c r="AU252" s="779"/>
      <c r="AV252" s="779"/>
      <c r="AW252" s="779"/>
      <c r="AX252" s="779"/>
      <c r="AY252" s="779"/>
      <c r="AZ252" s="779"/>
      <c r="BA252" s="779"/>
      <c r="BB252" s="779"/>
      <c r="BC252" s="779"/>
      <c r="BD252" s="779"/>
      <c r="BE252" s="779"/>
      <c r="BF252" s="779"/>
      <c r="BG252" s="779"/>
      <c r="BH252" s="779"/>
      <c r="BI252" s="779"/>
      <c r="BJ252" s="779"/>
      <c r="BK252" s="779"/>
      <c r="BL252" s="779"/>
      <c r="BM252" s="779"/>
      <c r="BN252" s="779"/>
      <c r="BO252" s="779"/>
      <c r="BP252" s="779"/>
      <c r="BQ252" s="779"/>
      <c r="BR252" s="779"/>
      <c r="BS252" s="779"/>
      <c r="BT252" s="779"/>
      <c r="BU252" s="779"/>
      <c r="BV252" s="779"/>
      <c r="BW252" s="779"/>
      <c r="BX252" s="779"/>
      <c r="BY252" s="779"/>
      <c r="BZ252" s="779"/>
      <c r="CA252" s="779"/>
      <c r="CB252" s="779"/>
      <c r="CC252" s="779"/>
    </row>
    <row r="253" spans="1:81">
      <c r="A253" s="779"/>
      <c r="B253" s="779"/>
      <c r="C253" s="779"/>
      <c r="D253" s="779"/>
      <c r="E253" s="779"/>
      <c r="F253" s="779"/>
      <c r="G253" s="779"/>
      <c r="H253" s="779"/>
      <c r="I253" s="779"/>
      <c r="J253" s="779"/>
      <c r="K253" s="779"/>
      <c r="L253" s="779"/>
      <c r="M253" s="779"/>
      <c r="N253" s="779"/>
      <c r="O253" s="779"/>
      <c r="P253" s="779"/>
      <c r="Q253" s="779"/>
      <c r="R253" s="779"/>
      <c r="S253" s="779"/>
      <c r="T253" s="779"/>
      <c r="U253" s="779"/>
      <c r="V253" s="779"/>
      <c r="W253" s="779"/>
      <c r="X253" s="779"/>
      <c r="Y253" s="779"/>
      <c r="Z253" s="779"/>
      <c r="AA253" s="779"/>
      <c r="AB253" s="779"/>
      <c r="AC253" s="779"/>
      <c r="AD253" s="779"/>
      <c r="AE253" s="779"/>
      <c r="AF253" s="779"/>
      <c r="AG253" s="779"/>
      <c r="AH253" s="779"/>
      <c r="AI253" s="779"/>
      <c r="AJ253" s="779"/>
      <c r="AK253" s="779"/>
      <c r="AL253" s="779"/>
      <c r="AM253" s="779"/>
      <c r="AN253" s="779"/>
      <c r="AO253" s="779"/>
      <c r="AP253" s="779"/>
      <c r="AQ253" s="779"/>
      <c r="AR253" s="779"/>
      <c r="AS253" s="779"/>
      <c r="AT253" s="779"/>
      <c r="AU253" s="779"/>
      <c r="AV253" s="779"/>
      <c r="AW253" s="779"/>
      <c r="AX253" s="779"/>
      <c r="AY253" s="779"/>
      <c r="AZ253" s="779"/>
      <c r="BA253" s="779"/>
      <c r="BB253" s="779"/>
      <c r="BC253" s="779"/>
      <c r="BD253" s="779"/>
      <c r="BE253" s="779"/>
      <c r="BF253" s="779"/>
      <c r="BG253" s="779"/>
      <c r="BH253" s="779"/>
      <c r="BI253" s="779"/>
      <c r="BJ253" s="779"/>
      <c r="BK253" s="779"/>
      <c r="BL253" s="779"/>
      <c r="BM253" s="779"/>
      <c r="BN253" s="779"/>
      <c r="BO253" s="779"/>
      <c r="BP253" s="779"/>
      <c r="BQ253" s="779"/>
      <c r="BR253" s="779"/>
      <c r="BS253" s="779"/>
      <c r="BT253" s="779"/>
      <c r="BU253" s="779"/>
      <c r="BV253" s="779"/>
      <c r="BW253" s="779"/>
      <c r="BX253" s="779"/>
      <c r="BY253" s="779"/>
      <c r="BZ253" s="779"/>
      <c r="CA253" s="779"/>
      <c r="CB253" s="779"/>
      <c r="CC253" s="779"/>
    </row>
    <row r="254" spans="1:81">
      <c r="A254" s="779"/>
      <c r="B254" s="779"/>
      <c r="C254" s="779"/>
      <c r="D254" s="779"/>
      <c r="E254" s="779"/>
      <c r="F254" s="779"/>
      <c r="G254" s="779"/>
      <c r="H254" s="779"/>
      <c r="I254" s="779"/>
      <c r="J254" s="779"/>
      <c r="K254" s="779"/>
      <c r="L254" s="779"/>
      <c r="M254" s="779"/>
      <c r="N254" s="779"/>
      <c r="O254" s="779"/>
      <c r="P254" s="779"/>
      <c r="Q254" s="779"/>
      <c r="R254" s="779"/>
      <c r="S254" s="779"/>
      <c r="T254" s="779"/>
      <c r="U254" s="779"/>
      <c r="V254" s="779"/>
      <c r="W254" s="779"/>
      <c r="X254" s="779"/>
      <c r="Y254" s="779"/>
      <c r="Z254" s="779"/>
      <c r="AA254" s="779"/>
      <c r="AB254" s="779"/>
      <c r="AC254" s="779"/>
      <c r="AD254" s="779"/>
      <c r="AE254" s="779"/>
      <c r="AF254" s="779"/>
      <c r="AG254" s="779"/>
      <c r="AH254" s="779"/>
      <c r="AI254" s="779"/>
      <c r="AJ254" s="779"/>
      <c r="AK254" s="779"/>
      <c r="AL254" s="779"/>
      <c r="AM254" s="779"/>
      <c r="AN254" s="779"/>
      <c r="AO254" s="779"/>
      <c r="AP254" s="779"/>
      <c r="AQ254" s="779"/>
      <c r="AR254" s="779"/>
      <c r="AS254" s="779"/>
      <c r="AT254" s="779"/>
      <c r="AU254" s="779"/>
      <c r="AV254" s="779"/>
      <c r="AW254" s="779"/>
      <c r="AX254" s="779"/>
      <c r="AY254" s="779"/>
      <c r="AZ254" s="779"/>
      <c r="BA254" s="779"/>
      <c r="BB254" s="779"/>
      <c r="BC254" s="779"/>
      <c r="BD254" s="779"/>
      <c r="BE254" s="779"/>
      <c r="BF254" s="779"/>
      <c r="BG254" s="779"/>
      <c r="BH254" s="779"/>
      <c r="BI254" s="779"/>
      <c r="BJ254" s="779"/>
      <c r="BK254" s="779"/>
      <c r="BL254" s="779"/>
      <c r="BM254" s="779"/>
      <c r="BN254" s="779"/>
      <c r="BO254" s="779"/>
      <c r="BP254" s="779"/>
      <c r="BQ254" s="779"/>
      <c r="BR254" s="779"/>
      <c r="BS254" s="779"/>
      <c r="BT254" s="779"/>
      <c r="BU254" s="779"/>
      <c r="BV254" s="779"/>
      <c r="BW254" s="779"/>
      <c r="BX254" s="779"/>
      <c r="BY254" s="779"/>
      <c r="BZ254" s="779"/>
      <c r="CA254" s="779"/>
      <c r="CB254" s="779"/>
      <c r="CC254" s="779"/>
    </row>
    <row r="255" spans="1:81">
      <c r="A255" s="779"/>
      <c r="B255" s="779"/>
      <c r="C255" s="779"/>
      <c r="D255" s="779"/>
      <c r="E255" s="779"/>
      <c r="F255" s="779"/>
      <c r="G255" s="779"/>
      <c r="H255" s="779"/>
      <c r="I255" s="779"/>
      <c r="J255" s="779"/>
      <c r="K255" s="779"/>
      <c r="L255" s="779"/>
      <c r="M255" s="779"/>
      <c r="N255" s="779"/>
      <c r="O255" s="779"/>
      <c r="P255" s="779"/>
      <c r="Q255" s="779"/>
      <c r="R255" s="779"/>
      <c r="S255" s="779"/>
      <c r="T255" s="779"/>
      <c r="U255" s="779"/>
      <c r="V255" s="779"/>
      <c r="W255" s="779"/>
      <c r="X255" s="779"/>
      <c r="Y255" s="779"/>
      <c r="Z255" s="779"/>
      <c r="AA255" s="779"/>
      <c r="AB255" s="779"/>
      <c r="AC255" s="779"/>
      <c r="AD255" s="779"/>
      <c r="AE255" s="779"/>
      <c r="AF255" s="779"/>
      <c r="AG255" s="779"/>
      <c r="AH255" s="779"/>
      <c r="AI255" s="779"/>
      <c r="AJ255" s="779"/>
      <c r="AK255" s="779"/>
      <c r="AL255" s="779"/>
      <c r="AM255" s="779"/>
      <c r="AN255" s="779"/>
      <c r="AO255" s="779"/>
      <c r="AP255" s="779"/>
      <c r="AQ255" s="779"/>
      <c r="AR255" s="779"/>
      <c r="AS255" s="779"/>
      <c r="AT255" s="779"/>
      <c r="AU255" s="779"/>
      <c r="AV255" s="779"/>
      <c r="AW255" s="779"/>
      <c r="AX255" s="779"/>
      <c r="AY255" s="779"/>
      <c r="AZ255" s="779"/>
      <c r="BA255" s="779"/>
      <c r="BB255" s="779"/>
      <c r="BC255" s="779"/>
      <c r="BD255" s="779"/>
      <c r="BE255" s="779"/>
      <c r="BF255" s="779"/>
      <c r="BG255" s="779"/>
      <c r="BH255" s="779"/>
      <c r="BI255" s="779"/>
      <c r="BJ255" s="779"/>
      <c r="BK255" s="779"/>
      <c r="BL255" s="779"/>
      <c r="BM255" s="779"/>
      <c r="BN255" s="779"/>
      <c r="BO255" s="779"/>
      <c r="BP255" s="779"/>
      <c r="BQ255" s="779"/>
      <c r="BR255" s="779"/>
      <c r="BS255" s="779"/>
      <c r="BT255" s="779"/>
      <c r="BU255" s="779"/>
      <c r="BV255" s="779"/>
      <c r="BW255" s="779"/>
      <c r="BX255" s="779"/>
      <c r="BY255" s="779"/>
      <c r="BZ255" s="779"/>
      <c r="CA255" s="779"/>
      <c r="CB255" s="779"/>
      <c r="CC255" s="779"/>
    </row>
    <row r="256" spans="1:81">
      <c r="A256" s="779"/>
      <c r="B256" s="779"/>
      <c r="C256" s="779"/>
      <c r="D256" s="779"/>
      <c r="E256" s="779"/>
      <c r="F256" s="779"/>
      <c r="G256" s="779"/>
      <c r="H256" s="779"/>
      <c r="I256" s="779"/>
      <c r="J256" s="779"/>
      <c r="K256" s="779"/>
      <c r="L256" s="779"/>
      <c r="M256" s="779"/>
      <c r="N256" s="779"/>
      <c r="O256" s="779"/>
      <c r="P256" s="779"/>
      <c r="Q256" s="779"/>
      <c r="R256" s="779"/>
      <c r="S256" s="779"/>
      <c r="T256" s="779"/>
      <c r="U256" s="779"/>
      <c r="V256" s="779"/>
      <c r="W256" s="779"/>
      <c r="X256" s="779"/>
      <c r="Y256" s="779"/>
      <c r="Z256" s="779"/>
      <c r="AA256" s="779"/>
      <c r="AB256" s="779"/>
      <c r="AC256" s="779"/>
      <c r="AD256" s="779"/>
      <c r="AE256" s="779"/>
      <c r="AF256" s="779"/>
      <c r="AG256" s="779"/>
      <c r="AH256" s="779"/>
      <c r="AI256" s="779"/>
      <c r="AJ256" s="779"/>
      <c r="AK256" s="779"/>
      <c r="AL256" s="779"/>
      <c r="AM256" s="779"/>
      <c r="AN256" s="779"/>
      <c r="AO256" s="779"/>
      <c r="AP256" s="779"/>
      <c r="AQ256" s="779"/>
      <c r="AR256" s="779"/>
      <c r="AS256" s="779"/>
      <c r="AT256" s="779"/>
      <c r="AU256" s="779"/>
      <c r="AV256" s="779"/>
      <c r="AW256" s="779"/>
      <c r="AX256" s="779"/>
      <c r="AY256" s="779"/>
      <c r="AZ256" s="779"/>
      <c r="BA256" s="779"/>
      <c r="BB256" s="779"/>
      <c r="BC256" s="779"/>
      <c r="BD256" s="779"/>
      <c r="BE256" s="779"/>
      <c r="BF256" s="779"/>
      <c r="BG256" s="779"/>
      <c r="BH256" s="779"/>
      <c r="BI256" s="779"/>
      <c r="BJ256" s="779"/>
      <c r="BK256" s="779"/>
      <c r="BL256" s="779"/>
      <c r="BM256" s="779"/>
      <c r="BN256" s="779"/>
      <c r="BO256" s="779"/>
      <c r="BP256" s="779"/>
      <c r="BQ256" s="779"/>
      <c r="BR256" s="779"/>
      <c r="BS256" s="779"/>
      <c r="BT256" s="779"/>
      <c r="BU256" s="779"/>
      <c r="BV256" s="779"/>
      <c r="BW256" s="779"/>
      <c r="BX256" s="779"/>
      <c r="BY256" s="779"/>
      <c r="BZ256" s="779"/>
      <c r="CA256" s="779"/>
      <c r="CB256" s="779"/>
      <c r="CC256" s="779"/>
    </row>
    <row r="257" spans="1:81">
      <c r="A257" s="779"/>
      <c r="B257" s="779"/>
      <c r="C257" s="779"/>
      <c r="D257" s="779"/>
      <c r="E257" s="779"/>
      <c r="F257" s="779"/>
      <c r="G257" s="779"/>
      <c r="H257" s="779"/>
      <c r="I257" s="779"/>
      <c r="J257" s="779"/>
      <c r="K257" s="779"/>
      <c r="L257" s="779"/>
      <c r="M257" s="779"/>
      <c r="N257" s="779"/>
      <c r="O257" s="779"/>
      <c r="P257" s="779"/>
      <c r="Q257" s="779"/>
      <c r="R257" s="779"/>
      <c r="S257" s="779"/>
      <c r="T257" s="779"/>
      <c r="U257" s="779"/>
      <c r="V257" s="779"/>
      <c r="W257" s="779"/>
      <c r="X257" s="779"/>
      <c r="Y257" s="779"/>
      <c r="Z257" s="779"/>
      <c r="AA257" s="779"/>
      <c r="AB257" s="779"/>
      <c r="AC257" s="779"/>
      <c r="AD257" s="779"/>
      <c r="AE257" s="779"/>
      <c r="AF257" s="779"/>
      <c r="AG257" s="779"/>
      <c r="AH257" s="779"/>
      <c r="AI257" s="779"/>
      <c r="AJ257" s="779"/>
      <c r="AK257" s="779"/>
      <c r="AL257" s="779"/>
      <c r="AM257" s="779"/>
      <c r="AN257" s="779"/>
      <c r="AO257" s="779"/>
      <c r="AP257" s="779"/>
      <c r="AQ257" s="779"/>
      <c r="AR257" s="779"/>
      <c r="AS257" s="779"/>
      <c r="AT257" s="779"/>
      <c r="AU257" s="779"/>
      <c r="AV257" s="779"/>
      <c r="AW257" s="779"/>
      <c r="AX257" s="779"/>
      <c r="AY257" s="779"/>
      <c r="AZ257" s="779"/>
      <c r="BA257" s="779"/>
      <c r="BB257" s="779"/>
      <c r="BC257" s="779"/>
      <c r="BD257" s="779"/>
      <c r="BE257" s="779"/>
      <c r="BF257" s="779"/>
      <c r="BG257" s="779"/>
      <c r="BH257" s="779"/>
      <c r="BI257" s="779"/>
      <c r="BJ257" s="779"/>
      <c r="BK257" s="779"/>
      <c r="BL257" s="779"/>
      <c r="BM257" s="779"/>
      <c r="BN257" s="779"/>
      <c r="BO257" s="779"/>
      <c r="BP257" s="779"/>
      <c r="BQ257" s="779"/>
      <c r="BR257" s="779"/>
      <c r="BS257" s="779"/>
      <c r="BT257" s="779"/>
      <c r="BU257" s="779"/>
      <c r="BV257" s="779"/>
      <c r="BW257" s="779"/>
      <c r="BX257" s="779"/>
      <c r="BY257" s="779"/>
      <c r="BZ257" s="779"/>
      <c r="CA257" s="779"/>
      <c r="CB257" s="779"/>
      <c r="CC257" s="779"/>
    </row>
    <row r="258" spans="1:81">
      <c r="A258" s="779"/>
      <c r="B258" s="779"/>
      <c r="C258" s="779"/>
      <c r="D258" s="779"/>
      <c r="E258" s="779"/>
      <c r="F258" s="779"/>
      <c r="G258" s="779"/>
      <c r="H258" s="779"/>
      <c r="I258" s="779"/>
      <c r="J258" s="779"/>
      <c r="K258" s="779"/>
      <c r="L258" s="779"/>
      <c r="M258" s="779"/>
      <c r="N258" s="779"/>
      <c r="O258" s="779"/>
      <c r="P258" s="779"/>
      <c r="Q258" s="779"/>
      <c r="R258" s="779"/>
      <c r="S258" s="779"/>
      <c r="T258" s="779"/>
      <c r="U258" s="779"/>
      <c r="V258" s="779"/>
      <c r="W258" s="779"/>
      <c r="X258" s="779"/>
      <c r="Y258" s="779"/>
      <c r="Z258" s="779"/>
      <c r="AA258" s="779"/>
      <c r="AB258" s="779"/>
      <c r="AC258" s="779"/>
      <c r="AD258" s="779"/>
      <c r="AE258" s="779"/>
      <c r="AF258" s="779"/>
      <c r="AG258" s="779"/>
      <c r="AH258" s="779"/>
      <c r="AI258" s="779"/>
      <c r="AJ258" s="779"/>
      <c r="AK258" s="779"/>
      <c r="AL258" s="779"/>
      <c r="AM258" s="779"/>
      <c r="AN258" s="779"/>
      <c r="AO258" s="779"/>
      <c r="AP258" s="779"/>
      <c r="AQ258" s="779"/>
      <c r="AR258" s="779"/>
      <c r="AS258" s="779"/>
      <c r="AT258" s="779"/>
      <c r="AU258" s="779"/>
      <c r="AV258" s="779"/>
      <c r="AW258" s="779"/>
      <c r="AX258" s="779"/>
      <c r="AY258" s="779"/>
      <c r="AZ258" s="779"/>
      <c r="BA258" s="779"/>
      <c r="BB258" s="779"/>
      <c r="BC258" s="779"/>
      <c r="BD258" s="779"/>
      <c r="BE258" s="779"/>
      <c r="BF258" s="779"/>
      <c r="BG258" s="779"/>
      <c r="BH258" s="779"/>
      <c r="BI258" s="779"/>
      <c r="BJ258" s="779"/>
      <c r="BK258" s="779"/>
      <c r="BL258" s="779"/>
      <c r="BM258" s="779"/>
      <c r="BN258" s="779"/>
      <c r="BO258" s="779"/>
      <c r="BP258" s="779"/>
      <c r="BQ258" s="779"/>
      <c r="BR258" s="779"/>
      <c r="BS258" s="779"/>
      <c r="BT258" s="779"/>
      <c r="BU258" s="779"/>
      <c r="BV258" s="779"/>
      <c r="BW258" s="779"/>
      <c r="BX258" s="779"/>
      <c r="BY258" s="779"/>
      <c r="BZ258" s="779"/>
      <c r="CA258" s="779"/>
      <c r="CB258" s="779"/>
      <c r="CC258" s="779"/>
    </row>
    <row r="259" spans="1:81">
      <c r="A259" s="779"/>
      <c r="B259" s="779"/>
      <c r="C259" s="779"/>
      <c r="D259" s="779"/>
      <c r="E259" s="779"/>
      <c r="F259" s="779"/>
      <c r="G259" s="779"/>
      <c r="H259" s="779"/>
      <c r="I259" s="779"/>
      <c r="J259" s="779"/>
      <c r="K259" s="779"/>
      <c r="L259" s="779"/>
      <c r="M259" s="779"/>
      <c r="N259" s="779"/>
      <c r="O259" s="779"/>
      <c r="P259" s="779"/>
      <c r="Q259" s="779"/>
      <c r="R259" s="779"/>
      <c r="S259" s="779"/>
      <c r="T259" s="779"/>
      <c r="U259" s="779"/>
      <c r="V259" s="779"/>
      <c r="W259" s="779"/>
      <c r="X259" s="779"/>
      <c r="Y259" s="779"/>
      <c r="Z259" s="779"/>
      <c r="AA259" s="779"/>
      <c r="AB259" s="779"/>
      <c r="AC259" s="779"/>
      <c r="AD259" s="779"/>
      <c r="AE259" s="779"/>
      <c r="AF259" s="779"/>
      <c r="AG259" s="779"/>
      <c r="AH259" s="779"/>
      <c r="AI259" s="779"/>
      <c r="AJ259" s="779"/>
      <c r="AK259" s="779"/>
      <c r="AL259" s="779"/>
      <c r="AM259" s="779"/>
      <c r="AN259" s="779"/>
      <c r="AO259" s="779"/>
      <c r="AP259" s="779"/>
      <c r="AQ259" s="779"/>
      <c r="AR259" s="779"/>
      <c r="AS259" s="779"/>
      <c r="AT259" s="779"/>
      <c r="AU259" s="779"/>
      <c r="AV259" s="779"/>
      <c r="AW259" s="779"/>
      <c r="AX259" s="779"/>
      <c r="AY259" s="779"/>
      <c r="AZ259" s="779"/>
      <c r="BA259" s="779"/>
      <c r="BB259" s="779"/>
      <c r="BC259" s="779"/>
      <c r="BD259" s="779"/>
      <c r="BE259" s="779"/>
      <c r="BF259" s="779"/>
      <c r="BG259" s="779"/>
      <c r="BH259" s="779"/>
      <c r="BI259" s="779"/>
      <c r="BJ259" s="779"/>
      <c r="BK259" s="779"/>
      <c r="BL259" s="779"/>
      <c r="BM259" s="779"/>
      <c r="BN259" s="779"/>
      <c r="BO259" s="779"/>
      <c r="BP259" s="779"/>
      <c r="BQ259" s="779"/>
      <c r="BR259" s="779"/>
      <c r="BS259" s="779"/>
      <c r="BT259" s="779"/>
      <c r="BU259" s="779"/>
      <c r="BV259" s="779"/>
      <c r="BW259" s="779"/>
      <c r="BX259" s="779"/>
      <c r="BY259" s="779"/>
      <c r="BZ259" s="779"/>
      <c r="CA259" s="779"/>
      <c r="CB259" s="779"/>
      <c r="CC259" s="779"/>
    </row>
    <row r="260" spans="1:81">
      <c r="A260" s="779"/>
      <c r="B260" s="779"/>
      <c r="C260" s="779"/>
      <c r="D260" s="779"/>
      <c r="E260" s="779"/>
      <c r="F260" s="779"/>
      <c r="G260" s="779"/>
      <c r="H260" s="779"/>
      <c r="I260" s="779"/>
      <c r="J260" s="779"/>
      <c r="K260" s="779"/>
      <c r="L260" s="779"/>
      <c r="M260" s="779"/>
      <c r="N260" s="779"/>
      <c r="O260" s="779"/>
      <c r="P260" s="779"/>
      <c r="Q260" s="779"/>
      <c r="R260" s="779"/>
      <c r="S260" s="779"/>
      <c r="T260" s="779"/>
      <c r="U260" s="779"/>
      <c r="V260" s="779"/>
      <c r="W260" s="779"/>
      <c r="X260" s="779"/>
      <c r="Y260" s="779"/>
      <c r="Z260" s="779"/>
      <c r="AA260" s="779"/>
      <c r="AB260" s="779"/>
      <c r="AC260" s="779"/>
      <c r="AD260" s="779"/>
      <c r="AE260" s="779"/>
      <c r="AF260" s="779"/>
      <c r="AG260" s="779"/>
      <c r="AH260" s="779"/>
      <c r="AI260" s="779"/>
      <c r="AJ260" s="779"/>
      <c r="AK260" s="779"/>
      <c r="AL260" s="779"/>
      <c r="AM260" s="779"/>
      <c r="AN260" s="779"/>
      <c r="AO260" s="779"/>
      <c r="AP260" s="779"/>
      <c r="AQ260" s="779"/>
      <c r="AR260" s="779"/>
      <c r="AS260" s="779"/>
      <c r="AT260" s="779"/>
      <c r="AU260" s="779"/>
      <c r="AV260" s="779"/>
      <c r="AW260" s="779"/>
      <c r="AX260" s="779"/>
      <c r="AY260" s="779"/>
      <c r="AZ260" s="779"/>
      <c r="BA260" s="779"/>
      <c r="BB260" s="779"/>
      <c r="BC260" s="779"/>
      <c r="BD260" s="779"/>
      <c r="BE260" s="779"/>
      <c r="BF260" s="779"/>
      <c r="BG260" s="779"/>
      <c r="BH260" s="779"/>
      <c r="BI260" s="779"/>
      <c r="BJ260" s="779"/>
      <c r="BK260" s="779"/>
      <c r="BL260" s="779"/>
      <c r="BM260" s="779"/>
      <c r="BN260" s="779"/>
      <c r="BO260" s="779"/>
      <c r="BP260" s="779"/>
      <c r="BQ260" s="779"/>
      <c r="BR260" s="779"/>
      <c r="BS260" s="779"/>
      <c r="BT260" s="779"/>
      <c r="BU260" s="779"/>
      <c r="BV260" s="779"/>
      <c r="BW260" s="779"/>
      <c r="BX260" s="779"/>
      <c r="BY260" s="779"/>
      <c r="BZ260" s="779"/>
      <c r="CA260" s="779"/>
      <c r="CB260" s="779"/>
      <c r="CC260" s="779"/>
    </row>
    <row r="261" spans="1:81">
      <c r="A261" s="779"/>
      <c r="B261" s="779"/>
      <c r="C261" s="779"/>
      <c r="D261" s="779"/>
      <c r="E261" s="779"/>
      <c r="F261" s="779"/>
      <c r="G261" s="779"/>
      <c r="H261" s="779"/>
      <c r="I261" s="779"/>
      <c r="J261" s="779"/>
      <c r="K261" s="779"/>
      <c r="L261" s="779"/>
      <c r="M261" s="779"/>
      <c r="N261" s="779"/>
      <c r="O261" s="779"/>
      <c r="P261" s="779"/>
      <c r="Q261" s="779"/>
      <c r="R261" s="779"/>
      <c r="S261" s="779"/>
      <c r="T261" s="779"/>
      <c r="U261" s="779"/>
      <c r="V261" s="779"/>
      <c r="W261" s="779"/>
      <c r="X261" s="779"/>
      <c r="Y261" s="779"/>
      <c r="Z261" s="779"/>
      <c r="AA261" s="779"/>
      <c r="AB261" s="779"/>
      <c r="AC261" s="779"/>
      <c r="AD261" s="779"/>
      <c r="AE261" s="779"/>
      <c r="AF261" s="779"/>
      <c r="AG261" s="779"/>
      <c r="AH261" s="779"/>
      <c r="AI261" s="779"/>
      <c r="AJ261" s="779"/>
      <c r="AK261" s="779"/>
      <c r="AL261" s="779"/>
      <c r="AM261" s="779"/>
      <c r="AN261" s="779"/>
      <c r="AO261" s="779"/>
      <c r="AP261" s="779"/>
      <c r="AQ261" s="779"/>
      <c r="AR261" s="779"/>
      <c r="AS261" s="779"/>
      <c r="AT261" s="779"/>
      <c r="AU261" s="779"/>
      <c r="AV261" s="779"/>
      <c r="AW261" s="779"/>
      <c r="AX261" s="779"/>
      <c r="AY261" s="779"/>
      <c r="AZ261" s="779"/>
      <c r="BA261" s="779"/>
      <c r="BB261" s="779"/>
      <c r="BC261" s="779"/>
      <c r="BD261" s="779"/>
      <c r="BE261" s="779"/>
      <c r="BF261" s="779"/>
      <c r="BG261" s="779"/>
      <c r="BH261" s="779"/>
      <c r="BI261" s="779"/>
      <c r="BJ261" s="779"/>
      <c r="BK261" s="779"/>
      <c r="BL261" s="779"/>
      <c r="BM261" s="779"/>
      <c r="BN261" s="779"/>
      <c r="BO261" s="779"/>
      <c r="BP261" s="779"/>
      <c r="BQ261" s="779"/>
      <c r="BR261" s="779"/>
      <c r="BS261" s="779"/>
      <c r="BT261" s="779"/>
      <c r="BU261" s="779"/>
      <c r="BV261" s="779"/>
      <c r="BW261" s="779"/>
      <c r="BX261" s="779"/>
      <c r="BY261" s="779"/>
      <c r="BZ261" s="779"/>
      <c r="CA261" s="779"/>
      <c r="CB261" s="779"/>
      <c r="CC261" s="779"/>
    </row>
    <row r="262" spans="1:81">
      <c r="A262" s="779"/>
      <c r="B262" s="779"/>
      <c r="C262" s="779"/>
      <c r="D262" s="779"/>
      <c r="E262" s="779"/>
      <c r="F262" s="779"/>
      <c r="G262" s="779"/>
      <c r="H262" s="779"/>
      <c r="I262" s="779"/>
      <c r="J262" s="779"/>
      <c r="K262" s="779"/>
      <c r="L262" s="779"/>
      <c r="M262" s="779"/>
      <c r="N262" s="779"/>
      <c r="O262" s="779"/>
      <c r="P262" s="779"/>
      <c r="Q262" s="779"/>
      <c r="R262" s="779"/>
      <c r="S262" s="779"/>
      <c r="T262" s="779"/>
      <c r="U262" s="779"/>
      <c r="V262" s="779"/>
      <c r="W262" s="779"/>
      <c r="X262" s="779"/>
      <c r="Y262" s="779"/>
      <c r="Z262" s="779"/>
      <c r="AA262" s="779"/>
      <c r="AB262" s="779"/>
      <c r="AC262" s="779"/>
      <c r="AD262" s="779"/>
      <c r="AE262" s="779"/>
      <c r="AF262" s="779"/>
      <c r="AG262" s="779"/>
      <c r="AH262" s="779"/>
      <c r="AI262" s="779"/>
      <c r="AJ262" s="779"/>
      <c r="AK262" s="779"/>
      <c r="AL262" s="779"/>
      <c r="AM262" s="779"/>
      <c r="AN262" s="779"/>
      <c r="AO262" s="779"/>
      <c r="AP262" s="779"/>
      <c r="AQ262" s="779"/>
      <c r="AR262" s="779"/>
      <c r="AS262" s="779"/>
      <c r="AT262" s="779"/>
      <c r="AU262" s="779"/>
      <c r="AV262" s="779"/>
      <c r="AW262" s="779"/>
      <c r="AX262" s="779"/>
      <c r="AY262" s="779"/>
      <c r="AZ262" s="779"/>
      <c r="BA262" s="779"/>
      <c r="BB262" s="779"/>
      <c r="BC262" s="779"/>
      <c r="BD262" s="779"/>
      <c r="BE262" s="779"/>
      <c r="BF262" s="779"/>
      <c r="BG262" s="779"/>
      <c r="BH262" s="779"/>
      <c r="BI262" s="779"/>
      <c r="BJ262" s="779"/>
      <c r="BK262" s="779"/>
      <c r="BL262" s="779"/>
      <c r="BM262" s="779"/>
      <c r="BN262" s="779"/>
      <c r="BO262" s="779"/>
      <c r="BP262" s="779"/>
      <c r="BQ262" s="779"/>
      <c r="BR262" s="779"/>
      <c r="BS262" s="779"/>
      <c r="BT262" s="779"/>
      <c r="BU262" s="779"/>
      <c r="BV262" s="779"/>
      <c r="BW262" s="779"/>
      <c r="BX262" s="779"/>
      <c r="BY262" s="779"/>
      <c r="BZ262" s="779"/>
      <c r="CA262" s="779"/>
      <c r="CB262" s="779"/>
      <c r="CC262" s="779"/>
    </row>
    <row r="263" spans="1:81">
      <c r="A263" s="779"/>
      <c r="B263" s="779"/>
      <c r="C263" s="779"/>
      <c r="D263" s="779"/>
      <c r="E263" s="779"/>
      <c r="F263" s="779"/>
      <c r="G263" s="779"/>
      <c r="H263" s="779"/>
      <c r="I263" s="779"/>
      <c r="J263" s="779"/>
      <c r="K263" s="779"/>
      <c r="L263" s="779"/>
      <c r="M263" s="779"/>
      <c r="N263" s="779"/>
      <c r="O263" s="779"/>
      <c r="P263" s="779"/>
      <c r="Q263" s="779"/>
      <c r="R263" s="779"/>
      <c r="S263" s="779"/>
      <c r="T263" s="779"/>
      <c r="U263" s="779"/>
      <c r="V263" s="779"/>
      <c r="W263" s="779"/>
      <c r="X263" s="779"/>
      <c r="Y263" s="779"/>
      <c r="Z263" s="779"/>
      <c r="AA263" s="779"/>
      <c r="AB263" s="779"/>
      <c r="AC263" s="779"/>
      <c r="AD263" s="779"/>
      <c r="AE263" s="779"/>
      <c r="AF263" s="779"/>
      <c r="AG263" s="779"/>
      <c r="AH263" s="779"/>
      <c r="AI263" s="779"/>
      <c r="AJ263" s="779"/>
      <c r="AK263" s="779"/>
      <c r="AL263" s="779"/>
      <c r="AM263" s="779"/>
      <c r="AN263" s="779"/>
      <c r="AO263" s="779"/>
      <c r="AP263" s="779"/>
      <c r="AQ263" s="779"/>
      <c r="AR263" s="779"/>
      <c r="AS263" s="779"/>
      <c r="AT263" s="779"/>
      <c r="AU263" s="779"/>
      <c r="AV263" s="779"/>
      <c r="AW263" s="779"/>
      <c r="AX263" s="779"/>
      <c r="AY263" s="779"/>
      <c r="AZ263" s="779"/>
      <c r="BA263" s="779"/>
      <c r="BB263" s="779"/>
      <c r="BC263" s="779"/>
      <c r="BD263" s="779"/>
      <c r="BE263" s="779"/>
      <c r="BF263" s="779"/>
      <c r="BG263" s="779"/>
      <c r="BH263" s="779"/>
      <c r="BI263" s="779"/>
      <c r="BJ263" s="779"/>
      <c r="BK263" s="779"/>
      <c r="BL263" s="779"/>
      <c r="BM263" s="779"/>
      <c r="BN263" s="779"/>
      <c r="BO263" s="779"/>
      <c r="BP263" s="779"/>
      <c r="BQ263" s="779"/>
      <c r="BR263" s="779"/>
      <c r="BS263" s="779"/>
      <c r="BT263" s="779"/>
      <c r="BU263" s="779"/>
      <c r="BV263" s="779"/>
      <c r="BW263" s="779"/>
      <c r="BX263" s="779"/>
      <c r="BY263" s="779"/>
      <c r="BZ263" s="779"/>
      <c r="CA263" s="779"/>
      <c r="CB263" s="779"/>
      <c r="CC263" s="779"/>
    </row>
    <row r="264" spans="1:81">
      <c r="A264" s="779"/>
      <c r="B264" s="779"/>
      <c r="C264" s="779"/>
      <c r="D264" s="779"/>
      <c r="E264" s="779"/>
      <c r="F264" s="779"/>
      <c r="G264" s="779"/>
      <c r="H264" s="779"/>
      <c r="I264" s="779"/>
      <c r="J264" s="779"/>
      <c r="K264" s="779"/>
      <c r="L264" s="779"/>
      <c r="M264" s="779"/>
      <c r="N264" s="779"/>
      <c r="O264" s="779"/>
      <c r="P264" s="779"/>
      <c r="Q264" s="779"/>
      <c r="R264" s="779"/>
      <c r="S264" s="779"/>
      <c r="T264" s="779"/>
      <c r="U264" s="779"/>
      <c r="V264" s="779"/>
      <c r="W264" s="779"/>
      <c r="X264" s="779"/>
      <c r="Y264" s="779"/>
      <c r="Z264" s="779"/>
      <c r="AA264" s="779"/>
      <c r="AB264" s="779"/>
      <c r="AC264" s="779"/>
      <c r="AD264" s="779"/>
      <c r="AE264" s="779"/>
      <c r="AF264" s="779"/>
      <c r="AG264" s="779"/>
      <c r="AH264" s="779"/>
      <c r="AI264" s="779"/>
      <c r="AJ264" s="779"/>
      <c r="AK264" s="779"/>
      <c r="AL264" s="779"/>
      <c r="AM264" s="779"/>
      <c r="AN264" s="779"/>
      <c r="AO264" s="779"/>
      <c r="AP264" s="779"/>
      <c r="AQ264" s="779"/>
      <c r="AR264" s="779"/>
      <c r="AS264" s="779"/>
      <c r="AT264" s="779"/>
      <c r="AU264" s="779"/>
      <c r="AV264" s="779"/>
      <c r="AW264" s="779"/>
      <c r="AX264" s="779"/>
      <c r="AY264" s="779"/>
      <c r="AZ264" s="779"/>
      <c r="BA264" s="779"/>
      <c r="BB264" s="779"/>
      <c r="BC264" s="779"/>
      <c r="BD264" s="779"/>
      <c r="BE264" s="779"/>
      <c r="BF264" s="779"/>
      <c r="BG264" s="779"/>
      <c r="BH264" s="779"/>
      <c r="BI264" s="779"/>
      <c r="BJ264" s="779"/>
      <c r="BK264" s="779"/>
      <c r="BL264" s="779"/>
      <c r="BM264" s="779"/>
      <c r="BN264" s="779"/>
      <c r="BO264" s="779"/>
      <c r="BP264" s="779"/>
      <c r="BQ264" s="779"/>
      <c r="BR264" s="779"/>
      <c r="BS264" s="779"/>
      <c r="BT264" s="779"/>
      <c r="BU264" s="779"/>
      <c r="BV264" s="779"/>
      <c r="BW264" s="779"/>
      <c r="BX264" s="779"/>
      <c r="BY264" s="779"/>
      <c r="BZ264" s="779"/>
      <c r="CA264" s="779"/>
      <c r="CB264" s="779"/>
      <c r="CC264" s="779"/>
    </row>
    <row r="265" spans="1:81">
      <c r="A265" s="779"/>
      <c r="B265" s="779"/>
      <c r="C265" s="779"/>
      <c r="D265" s="779"/>
      <c r="E265" s="779"/>
      <c r="F265" s="779"/>
      <c r="G265" s="779"/>
      <c r="H265" s="779"/>
      <c r="I265" s="779"/>
      <c r="J265" s="779"/>
      <c r="K265" s="779"/>
      <c r="L265" s="779"/>
      <c r="M265" s="779"/>
      <c r="N265" s="779"/>
      <c r="O265" s="779"/>
      <c r="P265" s="779"/>
      <c r="Q265" s="779"/>
      <c r="R265" s="779"/>
      <c r="S265" s="779"/>
      <c r="T265" s="779"/>
      <c r="U265" s="779"/>
      <c r="V265" s="779"/>
      <c r="W265" s="779"/>
      <c r="X265" s="779"/>
      <c r="Y265" s="779"/>
      <c r="Z265" s="779"/>
      <c r="AA265" s="779"/>
      <c r="AB265" s="779"/>
      <c r="AC265" s="779"/>
      <c r="AD265" s="779"/>
      <c r="AE265" s="779"/>
      <c r="AF265" s="779"/>
      <c r="AG265" s="779"/>
      <c r="AH265" s="779"/>
      <c r="AI265" s="779"/>
      <c r="AJ265" s="779"/>
      <c r="AK265" s="779"/>
      <c r="AL265" s="779"/>
      <c r="AM265" s="779"/>
      <c r="AN265" s="779"/>
      <c r="AO265" s="779"/>
      <c r="AP265" s="779"/>
      <c r="AQ265" s="779"/>
      <c r="AR265" s="779"/>
      <c r="AS265" s="779"/>
      <c r="AT265" s="779"/>
      <c r="AU265" s="779"/>
      <c r="AV265" s="779"/>
      <c r="AW265" s="779"/>
      <c r="AX265" s="779"/>
      <c r="AY265" s="779"/>
      <c r="AZ265" s="779"/>
      <c r="BA265" s="779"/>
      <c r="BB265" s="779"/>
      <c r="BC265" s="779"/>
      <c r="BD265" s="779"/>
      <c r="BE265" s="779"/>
      <c r="BF265" s="779"/>
      <c r="BG265" s="779"/>
      <c r="BH265" s="779"/>
      <c r="BI265" s="779"/>
      <c r="BJ265" s="779"/>
      <c r="BK265" s="779"/>
      <c r="BL265" s="779"/>
      <c r="BM265" s="779"/>
      <c r="BN265" s="779"/>
      <c r="BO265" s="779"/>
      <c r="BP265" s="779"/>
      <c r="BQ265" s="779"/>
      <c r="BR265" s="779"/>
      <c r="BS265" s="779"/>
      <c r="BT265" s="779"/>
      <c r="BU265" s="779"/>
      <c r="BV265" s="779"/>
      <c r="BW265" s="779"/>
      <c r="BX265" s="779"/>
      <c r="BY265" s="779"/>
      <c r="BZ265" s="779"/>
      <c r="CA265" s="779"/>
      <c r="CB265" s="779"/>
      <c r="CC265" s="779"/>
    </row>
    <row r="266" spans="1:81">
      <c r="A266" s="779"/>
      <c r="B266" s="779"/>
      <c r="C266" s="779"/>
      <c r="D266" s="779"/>
      <c r="E266" s="779"/>
      <c r="F266" s="779"/>
      <c r="G266" s="779"/>
      <c r="H266" s="779"/>
      <c r="I266" s="779"/>
      <c r="J266" s="779"/>
      <c r="K266" s="779"/>
      <c r="L266" s="779"/>
      <c r="M266" s="779"/>
      <c r="N266" s="779"/>
      <c r="O266" s="779"/>
      <c r="P266" s="779"/>
      <c r="Q266" s="779"/>
      <c r="R266" s="779"/>
      <c r="S266" s="779"/>
      <c r="T266" s="779"/>
      <c r="U266" s="779"/>
      <c r="V266" s="779"/>
      <c r="W266" s="779"/>
      <c r="X266" s="779"/>
      <c r="Y266" s="779"/>
      <c r="Z266" s="779"/>
      <c r="AA266" s="779"/>
      <c r="AB266" s="779"/>
      <c r="AC266" s="779"/>
      <c r="AD266" s="779"/>
      <c r="AE266" s="779"/>
      <c r="AF266" s="779"/>
      <c r="AG266" s="779"/>
      <c r="AH266" s="779"/>
      <c r="AI266" s="779"/>
      <c r="AJ266" s="779"/>
      <c r="AK266" s="779"/>
      <c r="AL266" s="779"/>
      <c r="AM266" s="779"/>
      <c r="AN266" s="779"/>
      <c r="AO266" s="779"/>
      <c r="AP266" s="779"/>
      <c r="AQ266" s="779"/>
      <c r="AR266" s="779"/>
      <c r="AS266" s="779"/>
      <c r="AT266" s="779"/>
      <c r="AU266" s="779"/>
      <c r="AV266" s="779"/>
      <c r="AW266" s="779"/>
      <c r="AX266" s="779"/>
      <c r="AY266" s="779"/>
      <c r="AZ266" s="779"/>
      <c r="BA266" s="779"/>
      <c r="BB266" s="779"/>
      <c r="BC266" s="779"/>
      <c r="BD266" s="779"/>
      <c r="BE266" s="779"/>
      <c r="BF266" s="779"/>
      <c r="BG266" s="779"/>
      <c r="BH266" s="779"/>
      <c r="BI266" s="779"/>
      <c r="BJ266" s="779"/>
      <c r="BK266" s="779"/>
      <c r="BL266" s="779"/>
      <c r="BM266" s="779"/>
      <c r="BN266" s="779"/>
      <c r="BO266" s="779"/>
      <c r="BP266" s="779"/>
      <c r="BQ266" s="779"/>
      <c r="BR266" s="779"/>
      <c r="BS266" s="779"/>
      <c r="BT266" s="779"/>
      <c r="BU266" s="779"/>
      <c r="BV266" s="779"/>
      <c r="BW266" s="779"/>
      <c r="BX266" s="779"/>
      <c r="BY266" s="779"/>
      <c r="BZ266" s="779"/>
      <c r="CA266" s="779"/>
      <c r="CB266" s="779"/>
      <c r="CC266" s="779"/>
    </row>
    <row r="267" spans="1:81">
      <c r="A267" s="779"/>
      <c r="B267" s="779"/>
      <c r="C267" s="779"/>
      <c r="D267" s="779"/>
      <c r="E267" s="779"/>
      <c r="F267" s="779"/>
      <c r="G267" s="779"/>
      <c r="H267" s="779"/>
      <c r="I267" s="779"/>
      <c r="J267" s="779"/>
      <c r="K267" s="779"/>
      <c r="L267" s="779"/>
      <c r="M267" s="779"/>
      <c r="N267" s="779"/>
      <c r="O267" s="779"/>
      <c r="P267" s="779"/>
      <c r="Q267" s="779"/>
      <c r="R267" s="779"/>
      <c r="S267" s="779"/>
      <c r="T267" s="779"/>
      <c r="U267" s="779"/>
      <c r="V267" s="779"/>
      <c r="W267" s="779"/>
      <c r="X267" s="779"/>
      <c r="Y267" s="779"/>
      <c r="Z267" s="779"/>
      <c r="AA267" s="779"/>
      <c r="AB267" s="779"/>
      <c r="AC267" s="779"/>
      <c r="AD267" s="779"/>
      <c r="AE267" s="779"/>
      <c r="AF267" s="779"/>
      <c r="AG267" s="779"/>
      <c r="AH267" s="779"/>
      <c r="AI267" s="779"/>
      <c r="AJ267" s="779"/>
      <c r="AK267" s="779"/>
      <c r="AL267" s="779"/>
      <c r="AM267" s="779"/>
      <c r="AN267" s="779"/>
      <c r="AO267" s="779"/>
      <c r="AP267" s="779"/>
      <c r="AQ267" s="779"/>
      <c r="AR267" s="779"/>
      <c r="AS267" s="779"/>
      <c r="AT267" s="779"/>
      <c r="AU267" s="779"/>
      <c r="AV267" s="779"/>
      <c r="AW267" s="779"/>
      <c r="AX267" s="779"/>
      <c r="AY267" s="779"/>
      <c r="AZ267" s="779"/>
      <c r="BA267" s="779"/>
      <c r="BB267" s="779"/>
      <c r="BC267" s="779"/>
      <c r="BD267" s="779"/>
      <c r="BE267" s="779"/>
      <c r="BF267" s="779"/>
      <c r="BG267" s="779"/>
      <c r="BH267" s="779"/>
      <c r="BI267" s="779"/>
      <c r="BJ267" s="779"/>
      <c r="BK267" s="779"/>
      <c r="BL267" s="779"/>
      <c r="BM267" s="779"/>
      <c r="BN267" s="779"/>
      <c r="BO267" s="779"/>
      <c r="BP267" s="779"/>
      <c r="BQ267" s="779"/>
      <c r="BR267" s="779"/>
      <c r="BS267" s="779"/>
      <c r="BT267" s="779"/>
      <c r="BU267" s="779"/>
      <c r="BV267" s="779"/>
      <c r="BW267" s="779"/>
      <c r="BX267" s="779"/>
      <c r="BY267" s="779"/>
      <c r="BZ267" s="779"/>
      <c r="CA267" s="779"/>
      <c r="CB267" s="779"/>
      <c r="CC267" s="779"/>
    </row>
    <row r="268" spans="1:81">
      <c r="A268" s="779"/>
      <c r="B268" s="779"/>
      <c r="C268" s="779"/>
      <c r="D268" s="779"/>
      <c r="E268" s="779"/>
      <c r="F268" s="779"/>
      <c r="G268" s="779"/>
      <c r="H268" s="779"/>
      <c r="I268" s="779"/>
      <c r="J268" s="779"/>
      <c r="K268" s="779"/>
      <c r="L268" s="779"/>
      <c r="M268" s="779"/>
      <c r="N268" s="779"/>
      <c r="O268" s="779"/>
      <c r="P268" s="779"/>
      <c r="Q268" s="779"/>
      <c r="R268" s="779"/>
      <c r="S268" s="779"/>
      <c r="T268" s="779"/>
      <c r="U268" s="779"/>
      <c r="V268" s="779"/>
      <c r="W268" s="779"/>
      <c r="X268" s="779"/>
      <c r="Y268" s="779"/>
      <c r="Z268" s="779"/>
      <c r="AA268" s="779"/>
      <c r="AB268" s="779"/>
      <c r="AC268" s="779"/>
      <c r="AD268" s="779"/>
      <c r="AE268" s="779"/>
      <c r="AF268" s="779"/>
      <c r="AG268" s="779"/>
      <c r="AH268" s="779"/>
      <c r="AI268" s="779"/>
      <c r="AJ268" s="779"/>
      <c r="AK268" s="779"/>
      <c r="AL268" s="779"/>
      <c r="AM268" s="779"/>
      <c r="AN268" s="779"/>
      <c r="AO268" s="779"/>
      <c r="AP268" s="779"/>
      <c r="AQ268" s="779"/>
      <c r="AR268" s="779"/>
      <c r="AS268" s="779"/>
      <c r="AT268" s="779"/>
      <c r="AU268" s="779"/>
      <c r="AV268" s="779"/>
      <c r="AW268" s="779"/>
      <c r="AX268" s="779"/>
      <c r="AY268" s="779"/>
      <c r="AZ268" s="779"/>
      <c r="BA268" s="779"/>
      <c r="BB268" s="779"/>
      <c r="BC268" s="779"/>
      <c r="BD268" s="779"/>
      <c r="BE268" s="779"/>
      <c r="BF268" s="779"/>
      <c r="BG268" s="779"/>
      <c r="BH268" s="779"/>
      <c r="BI268" s="779"/>
      <c r="BJ268" s="779"/>
      <c r="BK268" s="779"/>
      <c r="BL268" s="779"/>
      <c r="BM268" s="779"/>
      <c r="BN268" s="779"/>
      <c r="BO268" s="779"/>
      <c r="BP268" s="779"/>
      <c r="BQ268" s="779"/>
      <c r="BR268" s="779"/>
      <c r="BS268" s="779"/>
      <c r="BT268" s="779"/>
      <c r="BU268" s="779"/>
      <c r="BV268" s="779"/>
      <c r="BW268" s="779"/>
      <c r="BX268" s="779"/>
      <c r="BY268" s="779"/>
      <c r="BZ268" s="779"/>
      <c r="CA268" s="779"/>
      <c r="CB268" s="779"/>
      <c r="CC268" s="779"/>
    </row>
    <row r="269" spans="1:81">
      <c r="A269" s="779"/>
      <c r="B269" s="779"/>
      <c r="C269" s="779"/>
      <c r="D269" s="779"/>
      <c r="E269" s="779"/>
      <c r="F269" s="779"/>
      <c r="G269" s="779"/>
      <c r="H269" s="779"/>
      <c r="I269" s="779"/>
      <c r="J269" s="779"/>
      <c r="K269" s="779"/>
      <c r="L269" s="779"/>
      <c r="M269" s="779"/>
      <c r="N269" s="779"/>
      <c r="O269" s="779"/>
      <c r="P269" s="779"/>
      <c r="Q269" s="779"/>
      <c r="R269" s="779"/>
      <c r="S269" s="779"/>
      <c r="T269" s="779"/>
      <c r="U269" s="779"/>
      <c r="V269" s="779"/>
      <c r="W269" s="779"/>
      <c r="X269" s="779"/>
      <c r="Y269" s="779"/>
      <c r="Z269" s="779"/>
      <c r="AA269" s="779"/>
      <c r="AB269" s="779"/>
      <c r="AC269" s="779"/>
      <c r="AD269" s="779"/>
      <c r="AE269" s="779"/>
      <c r="AF269" s="779"/>
      <c r="AG269" s="779"/>
      <c r="AH269" s="779"/>
      <c r="AI269" s="779"/>
      <c r="AJ269" s="779"/>
      <c r="AK269" s="779"/>
      <c r="AL269" s="779"/>
      <c r="AM269" s="779"/>
      <c r="AN269" s="779"/>
      <c r="AO269" s="779"/>
      <c r="AP269" s="779"/>
      <c r="AQ269" s="779"/>
      <c r="AR269" s="779"/>
      <c r="AS269" s="779"/>
      <c r="AT269" s="779"/>
      <c r="AU269" s="779"/>
      <c r="AV269" s="779"/>
      <c r="AW269" s="779"/>
      <c r="AX269" s="779"/>
      <c r="AY269" s="779"/>
      <c r="AZ269" s="779"/>
      <c r="BA269" s="779"/>
      <c r="BB269" s="779"/>
      <c r="BC269" s="779"/>
      <c r="BD269" s="779"/>
      <c r="BE269" s="779"/>
      <c r="BF269" s="779"/>
      <c r="BG269" s="779"/>
      <c r="BH269" s="779"/>
      <c r="BI269" s="779"/>
      <c r="BJ269" s="779"/>
      <c r="BK269" s="779"/>
      <c r="BL269" s="779"/>
      <c r="BM269" s="779"/>
      <c r="BN269" s="779"/>
      <c r="BO269" s="779"/>
      <c r="BP269" s="779"/>
      <c r="BQ269" s="779"/>
      <c r="BR269" s="779"/>
      <c r="BS269" s="779"/>
      <c r="BT269" s="779"/>
      <c r="BU269" s="779"/>
      <c r="BV269" s="779"/>
      <c r="BW269" s="779"/>
      <c r="BX269" s="779"/>
      <c r="BY269" s="779"/>
      <c r="BZ269" s="779"/>
      <c r="CA269" s="779"/>
      <c r="CB269" s="779"/>
      <c r="CC269" s="779"/>
    </row>
    <row r="270" spans="1:81">
      <c r="A270" s="779"/>
      <c r="B270" s="779"/>
      <c r="C270" s="779"/>
      <c r="D270" s="779"/>
      <c r="E270" s="779"/>
      <c r="F270" s="779"/>
      <c r="G270" s="779"/>
      <c r="H270" s="779"/>
      <c r="I270" s="779"/>
      <c r="J270" s="779"/>
      <c r="K270" s="779"/>
      <c r="L270" s="779"/>
      <c r="M270" s="779"/>
      <c r="N270" s="779"/>
      <c r="O270" s="779"/>
      <c r="P270" s="779"/>
      <c r="Q270" s="779"/>
      <c r="R270" s="779"/>
      <c r="S270" s="779"/>
      <c r="T270" s="779"/>
      <c r="U270" s="779"/>
      <c r="V270" s="779"/>
      <c r="W270" s="779"/>
      <c r="X270" s="779"/>
      <c r="Y270" s="779"/>
      <c r="Z270" s="779"/>
      <c r="AA270" s="779"/>
      <c r="AB270" s="779"/>
      <c r="AC270" s="779"/>
      <c r="AD270" s="779"/>
      <c r="AE270" s="779"/>
      <c r="AF270" s="779"/>
      <c r="AG270" s="779"/>
      <c r="AH270" s="779"/>
      <c r="AI270" s="779"/>
      <c r="AJ270" s="779"/>
      <c r="AK270" s="779"/>
      <c r="AL270" s="779"/>
      <c r="AM270" s="779"/>
      <c r="AN270" s="779"/>
      <c r="AO270" s="779"/>
      <c r="AP270" s="779"/>
      <c r="AQ270" s="779"/>
      <c r="AR270" s="779"/>
      <c r="AS270" s="779"/>
      <c r="AT270" s="779"/>
      <c r="AU270" s="779"/>
      <c r="AV270" s="779"/>
      <c r="AW270" s="779"/>
      <c r="AX270" s="779"/>
      <c r="AY270" s="779"/>
      <c r="AZ270" s="779"/>
      <c r="BA270" s="779"/>
      <c r="BB270" s="779"/>
      <c r="BC270" s="779"/>
      <c r="BD270" s="779"/>
      <c r="BE270" s="779"/>
      <c r="BF270" s="779"/>
      <c r="BG270" s="779"/>
      <c r="BH270" s="779"/>
      <c r="BI270" s="779"/>
      <c r="BJ270" s="779"/>
      <c r="BK270" s="779"/>
      <c r="BL270" s="779"/>
      <c r="BM270" s="779"/>
      <c r="BN270" s="779"/>
      <c r="BO270" s="779"/>
      <c r="BP270" s="779"/>
      <c r="BQ270" s="779"/>
      <c r="BR270" s="779"/>
      <c r="BS270" s="779"/>
      <c r="BT270" s="779"/>
      <c r="BU270" s="779"/>
      <c r="BV270" s="779"/>
      <c r="BW270" s="779"/>
      <c r="BX270" s="779"/>
      <c r="BY270" s="779"/>
      <c r="BZ270" s="779"/>
      <c r="CA270" s="779"/>
      <c r="CB270" s="779"/>
      <c r="CC270" s="779"/>
    </row>
    <row r="271" spans="1:81">
      <c r="A271" s="779"/>
      <c r="B271" s="779"/>
      <c r="C271" s="779"/>
      <c r="D271" s="779"/>
      <c r="E271" s="779"/>
      <c r="F271" s="779"/>
      <c r="G271" s="779"/>
      <c r="H271" s="779"/>
      <c r="I271" s="779"/>
      <c r="J271" s="779"/>
      <c r="K271" s="779"/>
      <c r="L271" s="779"/>
      <c r="M271" s="779"/>
      <c r="N271" s="779"/>
      <c r="O271" s="779"/>
      <c r="P271" s="779"/>
      <c r="Q271" s="779"/>
      <c r="R271" s="779"/>
      <c r="S271" s="779"/>
      <c r="T271" s="779"/>
      <c r="U271" s="779"/>
      <c r="V271" s="779"/>
      <c r="W271" s="779"/>
      <c r="X271" s="779"/>
      <c r="Y271" s="779"/>
      <c r="Z271" s="779"/>
      <c r="AA271" s="779"/>
      <c r="AB271" s="779"/>
      <c r="AC271" s="779"/>
      <c r="AD271" s="779"/>
      <c r="AE271" s="779"/>
      <c r="AF271" s="779"/>
      <c r="AG271" s="779"/>
      <c r="AH271" s="779"/>
      <c r="AI271" s="779"/>
      <c r="AJ271" s="779"/>
      <c r="AK271" s="779"/>
      <c r="AL271" s="779"/>
      <c r="AM271" s="779"/>
      <c r="AN271" s="779"/>
      <c r="AO271" s="779"/>
      <c r="AP271" s="779"/>
      <c r="AQ271" s="779"/>
      <c r="AR271" s="779"/>
      <c r="AS271" s="779"/>
      <c r="AT271" s="779"/>
      <c r="AU271" s="779"/>
      <c r="AV271" s="779"/>
      <c r="AW271" s="779"/>
      <c r="AX271" s="779"/>
      <c r="AY271" s="779"/>
      <c r="AZ271" s="779"/>
      <c r="BA271" s="779"/>
      <c r="BB271" s="779"/>
      <c r="BC271" s="779"/>
      <c r="BD271" s="779"/>
      <c r="BE271" s="779"/>
      <c r="BF271" s="779"/>
      <c r="BG271" s="779"/>
      <c r="BH271" s="779"/>
      <c r="BI271" s="779"/>
      <c r="BJ271" s="779"/>
      <c r="BK271" s="779"/>
      <c r="BL271" s="779"/>
      <c r="BM271" s="779"/>
      <c r="BN271" s="779"/>
      <c r="BO271" s="779"/>
      <c r="BP271" s="779"/>
      <c r="BQ271" s="779"/>
      <c r="BR271" s="779"/>
      <c r="BS271" s="779"/>
      <c r="BT271" s="779"/>
      <c r="BU271" s="779"/>
      <c r="BV271" s="779"/>
      <c r="BW271" s="779"/>
      <c r="BX271" s="779"/>
      <c r="BY271" s="779"/>
      <c r="BZ271" s="779"/>
      <c r="CA271" s="779"/>
      <c r="CB271" s="779"/>
      <c r="CC271" s="779"/>
    </row>
    <row r="272" spans="1:81">
      <c r="A272" s="779"/>
      <c r="B272" s="779"/>
      <c r="C272" s="779"/>
      <c r="D272" s="779"/>
      <c r="E272" s="779"/>
      <c r="F272" s="779"/>
      <c r="G272" s="779"/>
      <c r="H272" s="779"/>
      <c r="I272" s="779"/>
      <c r="J272" s="779"/>
      <c r="K272" s="779"/>
      <c r="L272" s="779"/>
      <c r="M272" s="779"/>
      <c r="N272" s="779"/>
      <c r="O272" s="779"/>
      <c r="P272" s="779"/>
      <c r="Q272" s="779"/>
      <c r="R272" s="779"/>
      <c r="S272" s="779"/>
      <c r="T272" s="779"/>
      <c r="U272" s="779"/>
      <c r="V272" s="779"/>
      <c r="W272" s="779"/>
      <c r="X272" s="779"/>
      <c r="Y272" s="779"/>
      <c r="Z272" s="779"/>
      <c r="AA272" s="779"/>
      <c r="AB272" s="779"/>
      <c r="AC272" s="779"/>
      <c r="AD272" s="779"/>
      <c r="AE272" s="779"/>
      <c r="AF272" s="779"/>
      <c r="AG272" s="779"/>
      <c r="AH272" s="779"/>
      <c r="AI272" s="779"/>
      <c r="AJ272" s="779"/>
      <c r="AK272" s="779"/>
      <c r="AL272" s="779"/>
      <c r="AM272" s="779"/>
      <c r="AN272" s="779"/>
      <c r="AO272" s="779"/>
      <c r="AP272" s="779"/>
      <c r="AQ272" s="779"/>
      <c r="AR272" s="779"/>
      <c r="AS272" s="779"/>
      <c r="AT272" s="779"/>
      <c r="AU272" s="779"/>
      <c r="AV272" s="779"/>
      <c r="AW272" s="779"/>
      <c r="AX272" s="779"/>
      <c r="AY272" s="779"/>
      <c r="AZ272" s="779"/>
      <c r="BA272" s="779"/>
      <c r="BB272" s="779"/>
      <c r="BC272" s="779"/>
      <c r="BD272" s="779"/>
      <c r="BE272" s="779"/>
      <c r="BF272" s="779"/>
      <c r="BG272" s="779"/>
      <c r="BH272" s="779"/>
      <c r="BI272" s="779"/>
      <c r="BJ272" s="779"/>
      <c r="BK272" s="779"/>
      <c r="BL272" s="779"/>
      <c r="BM272" s="779"/>
      <c r="BN272" s="779"/>
      <c r="BO272" s="779"/>
      <c r="BP272" s="779"/>
      <c r="BQ272" s="779"/>
      <c r="BR272" s="779"/>
      <c r="BS272" s="779"/>
      <c r="BT272" s="779"/>
      <c r="BU272" s="779"/>
      <c r="BV272" s="779"/>
      <c r="BW272" s="779"/>
      <c r="BX272" s="779"/>
      <c r="BY272" s="779"/>
      <c r="BZ272" s="779"/>
      <c r="CA272" s="779"/>
      <c r="CB272" s="779"/>
      <c r="CC272" s="779"/>
    </row>
    <row r="273" spans="1:81">
      <c r="A273" s="779"/>
      <c r="B273" s="779"/>
      <c r="C273" s="779"/>
      <c r="D273" s="779"/>
      <c r="E273" s="779"/>
      <c r="F273" s="779"/>
      <c r="G273" s="779"/>
      <c r="H273" s="779"/>
      <c r="I273" s="779"/>
      <c r="J273" s="779"/>
      <c r="K273" s="779"/>
      <c r="L273" s="779"/>
      <c r="M273" s="779"/>
      <c r="N273" s="779"/>
      <c r="O273" s="779"/>
      <c r="P273" s="779"/>
      <c r="Q273" s="779"/>
      <c r="R273" s="779"/>
      <c r="S273" s="779"/>
      <c r="T273" s="779"/>
      <c r="U273" s="779"/>
      <c r="V273" s="779"/>
      <c r="W273" s="779"/>
      <c r="X273" s="779"/>
      <c r="Y273" s="779"/>
      <c r="Z273" s="779"/>
      <c r="AA273" s="779"/>
      <c r="AB273" s="779"/>
      <c r="AC273" s="779"/>
      <c r="AD273" s="779"/>
      <c r="AE273" s="779"/>
      <c r="AF273" s="779"/>
      <c r="AG273" s="779"/>
      <c r="AH273" s="779"/>
      <c r="AI273" s="779"/>
      <c r="AJ273" s="779"/>
      <c r="AK273" s="779"/>
      <c r="AL273" s="779"/>
      <c r="AM273" s="779"/>
      <c r="AN273" s="779"/>
      <c r="AO273" s="779"/>
      <c r="AP273" s="779"/>
      <c r="AQ273" s="779"/>
      <c r="AR273" s="779"/>
      <c r="AS273" s="779"/>
      <c r="AT273" s="779"/>
      <c r="AU273" s="779"/>
      <c r="AV273" s="779"/>
      <c r="AW273" s="779"/>
      <c r="AX273" s="779"/>
      <c r="AY273" s="779"/>
      <c r="AZ273" s="779"/>
      <c r="BA273" s="779"/>
      <c r="BB273" s="779"/>
      <c r="BC273" s="779"/>
      <c r="BD273" s="779"/>
      <c r="BE273" s="779"/>
      <c r="BF273" s="779"/>
      <c r="BG273" s="779"/>
      <c r="BH273" s="779"/>
      <c r="BI273" s="779"/>
      <c r="BJ273" s="779"/>
      <c r="BK273" s="779"/>
      <c r="BL273" s="779"/>
      <c r="BM273" s="779"/>
      <c r="BN273" s="779"/>
      <c r="BO273" s="779"/>
      <c r="BP273" s="779"/>
      <c r="BQ273" s="779"/>
      <c r="BR273" s="779"/>
      <c r="BS273" s="779"/>
      <c r="BT273" s="779"/>
      <c r="BU273" s="779"/>
      <c r="BV273" s="779"/>
      <c r="BW273" s="779"/>
      <c r="BX273" s="779"/>
      <c r="BY273" s="779"/>
      <c r="BZ273" s="779"/>
      <c r="CA273" s="779"/>
      <c r="CB273" s="779"/>
      <c r="CC273" s="779"/>
    </row>
    <row r="274" spans="1:81">
      <c r="A274" s="779"/>
      <c r="B274" s="779"/>
      <c r="C274" s="779"/>
      <c r="D274" s="779"/>
      <c r="E274" s="779"/>
      <c r="F274" s="779"/>
      <c r="G274" s="779"/>
      <c r="H274" s="779"/>
      <c r="I274" s="779"/>
      <c r="J274" s="779"/>
      <c r="K274" s="779"/>
      <c r="L274" s="779"/>
      <c r="M274" s="779"/>
      <c r="N274" s="779"/>
      <c r="O274" s="779"/>
      <c r="P274" s="779"/>
      <c r="Q274" s="779"/>
      <c r="R274" s="779"/>
      <c r="S274" s="779"/>
      <c r="T274" s="779"/>
      <c r="U274" s="779"/>
      <c r="V274" s="779"/>
      <c r="W274" s="779"/>
      <c r="X274" s="779"/>
      <c r="Y274" s="779"/>
      <c r="Z274" s="779"/>
      <c r="AA274" s="779"/>
      <c r="AB274" s="779"/>
      <c r="AC274" s="779"/>
      <c r="AD274" s="779"/>
      <c r="AE274" s="779"/>
      <c r="AF274" s="779"/>
      <c r="AG274" s="779"/>
      <c r="AH274" s="779"/>
      <c r="AI274" s="779"/>
      <c r="AJ274" s="779"/>
      <c r="AK274" s="779"/>
      <c r="AL274" s="779"/>
      <c r="AM274" s="779"/>
      <c r="AN274" s="779"/>
      <c r="AO274" s="779"/>
      <c r="AP274" s="779"/>
      <c r="AQ274" s="779"/>
      <c r="AR274" s="779"/>
      <c r="AS274" s="779"/>
      <c r="AT274" s="779"/>
      <c r="AU274" s="779"/>
      <c r="AV274" s="779"/>
      <c r="AW274" s="779"/>
      <c r="AX274" s="779"/>
      <c r="AY274" s="779"/>
      <c r="AZ274" s="779"/>
      <c r="BA274" s="779"/>
      <c r="BB274" s="779"/>
      <c r="BC274" s="779"/>
      <c r="BD274" s="779"/>
      <c r="BE274" s="779"/>
      <c r="BF274" s="779"/>
      <c r="BG274" s="779"/>
      <c r="BH274" s="779"/>
      <c r="BI274" s="779"/>
      <c r="BJ274" s="779"/>
      <c r="BK274" s="779"/>
      <c r="BL274" s="779"/>
      <c r="BM274" s="779"/>
      <c r="BN274" s="779"/>
      <c r="BO274" s="779"/>
      <c r="BP274" s="779"/>
      <c r="BQ274" s="779"/>
      <c r="BR274" s="779"/>
      <c r="BS274" s="779"/>
      <c r="BT274" s="779"/>
      <c r="BU274" s="779"/>
      <c r="BV274" s="779"/>
      <c r="BW274" s="779"/>
      <c r="BX274" s="779"/>
      <c r="BY274" s="779"/>
      <c r="BZ274" s="779"/>
      <c r="CA274" s="779"/>
      <c r="CB274" s="779"/>
      <c r="CC274" s="779"/>
    </row>
    <row r="275" spans="1:81">
      <c r="A275" s="779"/>
      <c r="B275" s="779"/>
      <c r="C275" s="779"/>
      <c r="D275" s="779"/>
      <c r="E275" s="779"/>
      <c r="F275" s="779"/>
      <c r="G275" s="779"/>
      <c r="H275" s="779"/>
      <c r="I275" s="779"/>
      <c r="J275" s="779"/>
      <c r="K275" s="779"/>
      <c r="L275" s="779"/>
      <c r="M275" s="779"/>
      <c r="N275" s="779"/>
      <c r="O275" s="779"/>
      <c r="P275" s="779"/>
      <c r="Q275" s="779"/>
      <c r="R275" s="779"/>
      <c r="S275" s="779"/>
      <c r="T275" s="779"/>
      <c r="U275" s="779"/>
      <c r="V275" s="779"/>
      <c r="W275" s="779"/>
      <c r="X275" s="779"/>
      <c r="Y275" s="779"/>
      <c r="Z275" s="779"/>
      <c r="AA275" s="779"/>
      <c r="AB275" s="779"/>
      <c r="AC275" s="779"/>
      <c r="AD275" s="779"/>
      <c r="AE275" s="779"/>
      <c r="AF275" s="779"/>
      <c r="AG275" s="779"/>
      <c r="AH275" s="779"/>
      <c r="AI275" s="779"/>
      <c r="AJ275" s="779"/>
      <c r="AK275" s="779"/>
      <c r="AL275" s="779"/>
      <c r="AM275" s="779"/>
      <c r="AN275" s="779"/>
      <c r="AO275" s="779"/>
      <c r="AP275" s="779"/>
      <c r="AQ275" s="779"/>
      <c r="AR275" s="779"/>
      <c r="AS275" s="779"/>
      <c r="AT275" s="779"/>
      <c r="AU275" s="779"/>
      <c r="AV275" s="779"/>
      <c r="AW275" s="779"/>
      <c r="AX275" s="779"/>
      <c r="AY275" s="779"/>
      <c r="AZ275" s="779"/>
      <c r="BA275" s="779"/>
      <c r="BB275" s="779"/>
      <c r="BC275" s="779"/>
      <c r="BD275" s="779"/>
      <c r="BE275" s="779"/>
      <c r="BF275" s="779"/>
      <c r="BG275" s="779"/>
      <c r="BH275" s="779"/>
      <c r="BI275" s="779"/>
      <c r="BJ275" s="779"/>
      <c r="BK275" s="779"/>
      <c r="BL275" s="779"/>
      <c r="BM275" s="779"/>
      <c r="BN275" s="779"/>
      <c r="BO275" s="779"/>
      <c r="BP275" s="779"/>
      <c r="BQ275" s="779"/>
      <c r="BR275" s="779"/>
      <c r="BS275" s="779"/>
      <c r="BT275" s="779"/>
      <c r="BU275" s="779"/>
      <c r="BV275" s="779"/>
      <c r="BW275" s="779"/>
      <c r="BX275" s="779"/>
      <c r="BY275" s="779"/>
      <c r="BZ275" s="779"/>
      <c r="CA275" s="779"/>
      <c r="CB275" s="779"/>
      <c r="CC275" s="779"/>
    </row>
    <row r="276" spans="1:81">
      <c r="A276" s="779"/>
      <c r="B276" s="779"/>
      <c r="C276" s="779"/>
      <c r="D276" s="779"/>
      <c r="E276" s="779"/>
      <c r="F276" s="779"/>
      <c r="G276" s="779"/>
      <c r="H276" s="779"/>
      <c r="I276" s="779"/>
      <c r="J276" s="779"/>
      <c r="K276" s="779"/>
      <c r="L276" s="779"/>
      <c r="M276" s="779"/>
      <c r="N276" s="779"/>
      <c r="O276" s="779"/>
      <c r="P276" s="779"/>
      <c r="Q276" s="779"/>
      <c r="R276" s="779"/>
      <c r="S276" s="779"/>
      <c r="T276" s="779"/>
      <c r="U276" s="779"/>
      <c r="V276" s="779"/>
      <c r="W276" s="779"/>
      <c r="X276" s="779"/>
      <c r="Y276" s="779"/>
      <c r="Z276" s="779"/>
      <c r="AA276" s="779"/>
      <c r="AB276" s="779"/>
      <c r="AC276" s="779"/>
      <c r="AD276" s="779"/>
      <c r="AE276" s="779"/>
      <c r="AF276" s="779"/>
      <c r="AG276" s="779"/>
      <c r="AH276" s="779"/>
      <c r="AI276" s="779"/>
      <c r="AJ276" s="779"/>
      <c r="AK276" s="779"/>
      <c r="AL276" s="779"/>
      <c r="AM276" s="779"/>
      <c r="AN276" s="779"/>
      <c r="AO276" s="779"/>
      <c r="AP276" s="779"/>
      <c r="AQ276" s="779"/>
      <c r="AR276" s="779"/>
      <c r="AS276" s="779"/>
      <c r="AT276" s="779"/>
      <c r="AU276" s="779"/>
      <c r="AV276" s="779"/>
      <c r="AW276" s="779"/>
      <c r="AX276" s="779"/>
      <c r="AY276" s="779"/>
      <c r="AZ276" s="779"/>
      <c r="BA276" s="779"/>
      <c r="BB276" s="779"/>
      <c r="BC276" s="779"/>
      <c r="BD276" s="779"/>
      <c r="BE276" s="779"/>
      <c r="BF276" s="779"/>
      <c r="BG276" s="779"/>
      <c r="BH276" s="779"/>
      <c r="BI276" s="779"/>
      <c r="BJ276" s="779"/>
      <c r="BK276" s="779"/>
      <c r="BL276" s="779"/>
      <c r="BM276" s="779"/>
      <c r="BN276" s="779"/>
      <c r="BO276" s="779"/>
      <c r="BP276" s="779"/>
      <c r="BQ276" s="779"/>
      <c r="BR276" s="779"/>
      <c r="BS276" s="779"/>
      <c r="BT276" s="779"/>
      <c r="BU276" s="779"/>
      <c r="BV276" s="779"/>
      <c r="BW276" s="779"/>
      <c r="BX276" s="779"/>
      <c r="BY276" s="779"/>
      <c r="BZ276" s="779"/>
      <c r="CA276" s="779"/>
      <c r="CB276" s="779"/>
      <c r="CC276" s="779"/>
    </row>
    <row r="277" spans="1:81">
      <c r="A277" s="779"/>
      <c r="B277" s="779"/>
      <c r="C277" s="779"/>
      <c r="D277" s="779"/>
      <c r="E277" s="779"/>
      <c r="F277" s="779"/>
      <c r="G277" s="779"/>
      <c r="H277" s="779"/>
      <c r="I277" s="779"/>
      <c r="J277" s="779"/>
      <c r="K277" s="779"/>
      <c r="L277" s="779"/>
      <c r="M277" s="779"/>
      <c r="N277" s="779"/>
      <c r="O277" s="779"/>
      <c r="P277" s="779"/>
      <c r="Q277" s="779"/>
      <c r="R277" s="779"/>
      <c r="S277" s="779"/>
      <c r="T277" s="779"/>
      <c r="U277" s="779"/>
      <c r="V277" s="779"/>
      <c r="W277" s="779"/>
      <c r="X277" s="779"/>
      <c r="Y277" s="779"/>
      <c r="Z277" s="779"/>
      <c r="AA277" s="779"/>
      <c r="AB277" s="779"/>
      <c r="AC277" s="779"/>
      <c r="AD277" s="779"/>
      <c r="AE277" s="779"/>
      <c r="AF277" s="779"/>
      <c r="AG277" s="779"/>
      <c r="AH277" s="779"/>
      <c r="AI277" s="779"/>
      <c r="AJ277" s="779"/>
      <c r="AK277" s="779"/>
      <c r="AL277" s="779"/>
      <c r="AM277" s="779"/>
      <c r="AN277" s="779"/>
      <c r="AO277" s="779"/>
      <c r="AP277" s="779"/>
      <c r="AQ277" s="779"/>
      <c r="AR277" s="779"/>
      <c r="AS277" s="779"/>
      <c r="AT277" s="779"/>
      <c r="AU277" s="779"/>
      <c r="AV277" s="779"/>
      <c r="AW277" s="779"/>
      <c r="AX277" s="779"/>
      <c r="AY277" s="779"/>
      <c r="AZ277" s="779"/>
      <c r="BA277" s="779"/>
      <c r="BB277" s="779"/>
      <c r="BC277" s="779"/>
      <c r="BD277" s="779"/>
      <c r="BE277" s="779"/>
      <c r="BF277" s="779"/>
      <c r="BG277" s="779"/>
      <c r="BH277" s="779"/>
      <c r="BI277" s="779"/>
      <c r="BJ277" s="779"/>
      <c r="BK277" s="779"/>
      <c r="BL277" s="779"/>
      <c r="BM277" s="779"/>
      <c r="BN277" s="779"/>
      <c r="BO277" s="779"/>
      <c r="BP277" s="779"/>
      <c r="BQ277" s="779"/>
      <c r="BR277" s="779"/>
      <c r="BS277" s="779"/>
      <c r="BT277" s="779"/>
      <c r="BU277" s="779"/>
      <c r="BV277" s="779"/>
      <c r="BW277" s="779"/>
      <c r="BX277" s="779"/>
      <c r="BY277" s="779"/>
      <c r="BZ277" s="779"/>
      <c r="CA277" s="779"/>
      <c r="CB277" s="779"/>
      <c r="CC277" s="779"/>
    </row>
    <row r="278" spans="1:81">
      <c r="A278" s="779"/>
      <c r="B278" s="779"/>
      <c r="C278" s="779"/>
      <c r="D278" s="779"/>
      <c r="E278" s="779"/>
      <c r="F278" s="779"/>
      <c r="G278" s="779"/>
      <c r="H278" s="779"/>
      <c r="I278" s="779"/>
      <c r="J278" s="779"/>
      <c r="K278" s="779"/>
      <c r="L278" s="779"/>
      <c r="M278" s="779"/>
      <c r="N278" s="779"/>
      <c r="O278" s="779"/>
      <c r="P278" s="779"/>
      <c r="Q278" s="779"/>
      <c r="R278" s="779"/>
      <c r="S278" s="779"/>
      <c r="T278" s="779"/>
      <c r="U278" s="779"/>
      <c r="V278" s="779"/>
      <c r="W278" s="779"/>
      <c r="X278" s="779"/>
      <c r="Y278" s="779"/>
      <c r="Z278" s="779"/>
      <c r="AA278" s="779"/>
      <c r="AB278" s="779"/>
      <c r="AC278" s="779"/>
      <c r="AD278" s="779"/>
      <c r="AE278" s="779"/>
      <c r="AF278" s="779"/>
      <c r="AG278" s="779"/>
      <c r="AH278" s="779"/>
      <c r="AI278" s="779"/>
      <c r="AJ278" s="779"/>
      <c r="AK278" s="779"/>
      <c r="AL278" s="779"/>
      <c r="AM278" s="779"/>
      <c r="AN278" s="779"/>
      <c r="AO278" s="779"/>
      <c r="AP278" s="779"/>
      <c r="AQ278" s="779"/>
      <c r="AR278" s="779"/>
      <c r="AS278" s="779"/>
      <c r="AT278" s="779"/>
      <c r="AU278" s="779"/>
      <c r="AV278" s="779"/>
      <c r="AW278" s="779"/>
      <c r="AX278" s="779"/>
      <c r="AY278" s="779"/>
      <c r="AZ278" s="779"/>
      <c r="BA278" s="779"/>
      <c r="BB278" s="779"/>
      <c r="BC278" s="779"/>
      <c r="BD278" s="779"/>
      <c r="BE278" s="779"/>
      <c r="BF278" s="779"/>
      <c r="BG278" s="779"/>
      <c r="BH278" s="779"/>
      <c r="BI278" s="779"/>
      <c r="BJ278" s="779"/>
      <c r="BK278" s="779"/>
      <c r="BL278" s="779"/>
      <c r="BM278" s="779"/>
      <c r="BN278" s="779"/>
      <c r="BO278" s="779"/>
      <c r="BP278" s="779"/>
      <c r="BQ278" s="779"/>
      <c r="BR278" s="779"/>
      <c r="BS278" s="779"/>
      <c r="BT278" s="779"/>
      <c r="BU278" s="779"/>
      <c r="BV278" s="779"/>
      <c r="BW278" s="779"/>
      <c r="BX278" s="779"/>
      <c r="BY278" s="779"/>
      <c r="BZ278" s="779"/>
      <c r="CA278" s="779"/>
      <c r="CB278" s="779"/>
      <c r="CC278" s="779"/>
    </row>
    <row r="279" spans="1:81">
      <c r="A279" s="779"/>
      <c r="B279" s="779"/>
      <c r="C279" s="779"/>
      <c r="D279" s="779"/>
      <c r="E279" s="779"/>
      <c r="F279" s="779"/>
      <c r="G279" s="779"/>
      <c r="H279" s="779"/>
      <c r="I279" s="779"/>
      <c r="J279" s="779"/>
      <c r="K279" s="779"/>
      <c r="L279" s="779"/>
      <c r="M279" s="779"/>
      <c r="N279" s="779"/>
      <c r="O279" s="779"/>
      <c r="P279" s="779"/>
      <c r="Q279" s="779"/>
      <c r="R279" s="779"/>
      <c r="S279" s="779"/>
      <c r="T279" s="779"/>
      <c r="U279" s="779"/>
      <c r="V279" s="779"/>
      <c r="W279" s="779"/>
      <c r="X279" s="779"/>
      <c r="Y279" s="779"/>
      <c r="Z279" s="779"/>
      <c r="AA279" s="779"/>
      <c r="AB279" s="779"/>
      <c r="AC279" s="779"/>
      <c r="AD279" s="779"/>
      <c r="AE279" s="779"/>
      <c r="AF279" s="779"/>
      <c r="AG279" s="779"/>
      <c r="AH279" s="779"/>
      <c r="AI279" s="779"/>
      <c r="AJ279" s="779"/>
      <c r="AK279" s="779"/>
      <c r="AL279" s="779"/>
      <c r="AM279" s="779"/>
      <c r="AN279" s="779"/>
      <c r="AO279" s="779"/>
      <c r="AP279" s="779"/>
      <c r="AQ279" s="779"/>
      <c r="AR279" s="779"/>
      <c r="AS279" s="779"/>
      <c r="AT279" s="779"/>
      <c r="AU279" s="779"/>
      <c r="AV279" s="779"/>
      <c r="AW279" s="779"/>
      <c r="AX279" s="779"/>
      <c r="AY279" s="779"/>
      <c r="AZ279" s="779"/>
      <c r="BA279" s="779"/>
      <c r="BB279" s="779"/>
      <c r="BC279" s="779"/>
      <c r="BD279" s="779"/>
      <c r="BE279" s="779"/>
      <c r="BF279" s="779"/>
      <c r="BG279" s="779"/>
      <c r="BH279" s="779"/>
      <c r="BI279" s="779"/>
      <c r="BJ279" s="779"/>
      <c r="BK279" s="779"/>
      <c r="BL279" s="779"/>
      <c r="BM279" s="779"/>
      <c r="BN279" s="779"/>
      <c r="BO279" s="779"/>
      <c r="BP279" s="779"/>
      <c r="BQ279" s="779"/>
      <c r="BR279" s="779"/>
      <c r="BS279" s="779"/>
      <c r="BT279" s="779"/>
      <c r="BU279" s="779"/>
      <c r="BV279" s="779"/>
      <c r="BW279" s="779"/>
      <c r="BX279" s="779"/>
      <c r="BY279" s="779"/>
      <c r="BZ279" s="779"/>
      <c r="CA279" s="779"/>
      <c r="CB279" s="779"/>
      <c r="CC279" s="779"/>
    </row>
    <row r="280" spans="1:81">
      <c r="A280" s="779"/>
      <c r="B280" s="779"/>
      <c r="C280" s="779"/>
      <c r="D280" s="779"/>
      <c r="E280" s="779"/>
      <c r="F280" s="779"/>
      <c r="G280" s="779"/>
      <c r="H280" s="779"/>
      <c r="I280" s="779"/>
      <c r="J280" s="779"/>
      <c r="K280" s="779"/>
      <c r="L280" s="779"/>
      <c r="M280" s="779"/>
      <c r="N280" s="779"/>
      <c r="O280" s="779"/>
      <c r="P280" s="779"/>
      <c r="Q280" s="779"/>
      <c r="R280" s="779"/>
      <c r="S280" s="779"/>
      <c r="T280" s="779"/>
      <c r="U280" s="779"/>
      <c r="V280" s="779"/>
      <c r="W280" s="779"/>
      <c r="X280" s="779"/>
      <c r="Y280" s="779"/>
      <c r="Z280" s="779"/>
      <c r="AA280" s="779"/>
      <c r="AB280" s="779"/>
      <c r="AC280" s="779"/>
      <c r="AD280" s="779"/>
      <c r="AE280" s="779"/>
      <c r="AF280" s="779"/>
      <c r="AG280" s="779"/>
      <c r="AH280" s="779"/>
      <c r="AI280" s="779"/>
      <c r="AJ280" s="779"/>
      <c r="AK280" s="779"/>
      <c r="AL280" s="779"/>
      <c r="AM280" s="779"/>
      <c r="AN280" s="779"/>
      <c r="AO280" s="779"/>
      <c r="AP280" s="779"/>
      <c r="AQ280" s="779"/>
      <c r="AR280" s="779"/>
      <c r="AS280" s="779"/>
      <c r="AT280" s="779"/>
      <c r="AU280" s="779"/>
      <c r="AV280" s="779"/>
      <c r="AW280" s="779"/>
      <c r="AX280" s="779"/>
      <c r="AY280" s="779"/>
      <c r="AZ280" s="779"/>
      <c r="BA280" s="779"/>
      <c r="BB280" s="779"/>
      <c r="BC280" s="779"/>
      <c r="BD280" s="779"/>
      <c r="BE280" s="779"/>
      <c r="BF280" s="779"/>
      <c r="BG280" s="779"/>
      <c r="BH280" s="779"/>
      <c r="BI280" s="779"/>
      <c r="BJ280" s="779"/>
      <c r="BK280" s="779"/>
      <c r="BL280" s="779"/>
      <c r="BM280" s="779"/>
      <c r="BN280" s="779"/>
      <c r="BO280" s="779"/>
      <c r="BP280" s="779"/>
      <c r="BQ280" s="779"/>
      <c r="BR280" s="779"/>
      <c r="BS280" s="779"/>
      <c r="BT280" s="779"/>
      <c r="BU280" s="779"/>
      <c r="BV280" s="779"/>
      <c r="BW280" s="779"/>
      <c r="BX280" s="779"/>
      <c r="BY280" s="779"/>
      <c r="BZ280" s="779"/>
      <c r="CA280" s="779"/>
      <c r="CB280" s="779"/>
      <c r="CC280" s="779"/>
    </row>
    <row r="281" spans="1:81">
      <c r="A281" s="779"/>
      <c r="B281" s="779"/>
      <c r="C281" s="779"/>
      <c r="D281" s="779"/>
      <c r="E281" s="779"/>
      <c r="F281" s="779"/>
      <c r="G281" s="779"/>
      <c r="H281" s="779"/>
      <c r="I281" s="779"/>
      <c r="J281" s="779"/>
      <c r="K281" s="779"/>
      <c r="L281" s="779"/>
      <c r="M281" s="779"/>
      <c r="N281" s="779"/>
      <c r="O281" s="779"/>
      <c r="P281" s="779"/>
      <c r="Q281" s="779"/>
      <c r="R281" s="779"/>
      <c r="S281" s="779"/>
      <c r="T281" s="779"/>
      <c r="U281" s="779"/>
      <c r="V281" s="779"/>
      <c r="W281" s="779"/>
      <c r="X281" s="779"/>
      <c r="Y281" s="779"/>
      <c r="Z281" s="779"/>
      <c r="AA281" s="779"/>
      <c r="AB281" s="779"/>
      <c r="AC281" s="779"/>
      <c r="AD281" s="779"/>
      <c r="AE281" s="779"/>
      <c r="AF281" s="779"/>
      <c r="AG281" s="779"/>
      <c r="AH281" s="779"/>
      <c r="AI281" s="779"/>
      <c r="AJ281" s="779"/>
      <c r="AK281" s="779"/>
      <c r="AL281" s="779"/>
      <c r="AM281" s="779"/>
      <c r="AN281" s="779"/>
      <c r="AO281" s="779"/>
      <c r="AP281" s="779"/>
      <c r="AQ281" s="779"/>
      <c r="AR281" s="779"/>
      <c r="AS281" s="779"/>
      <c r="AT281" s="779"/>
      <c r="AU281" s="779"/>
      <c r="AV281" s="779"/>
      <c r="AW281" s="779"/>
      <c r="AX281" s="779"/>
      <c r="AY281" s="779"/>
      <c r="AZ281" s="779"/>
      <c r="BA281" s="779"/>
      <c r="BB281" s="779"/>
      <c r="BC281" s="779"/>
      <c r="BD281" s="779"/>
      <c r="BE281" s="779"/>
      <c r="BF281" s="779"/>
      <c r="BG281" s="779"/>
      <c r="BH281" s="779"/>
      <c r="BI281" s="779"/>
      <c r="BJ281" s="779"/>
      <c r="BK281" s="779"/>
      <c r="BL281" s="779"/>
      <c r="BM281" s="779"/>
      <c r="BN281" s="779"/>
      <c r="BO281" s="779"/>
      <c r="BP281" s="779"/>
      <c r="BQ281" s="779"/>
      <c r="BR281" s="779"/>
      <c r="BS281" s="779"/>
      <c r="BT281" s="779"/>
      <c r="BU281" s="779"/>
      <c r="BV281" s="779"/>
      <c r="BW281" s="779"/>
      <c r="BX281" s="779"/>
      <c r="BY281" s="779"/>
      <c r="BZ281" s="779"/>
      <c r="CA281" s="779"/>
      <c r="CB281" s="779"/>
      <c r="CC281" s="779"/>
    </row>
    <row r="282" spans="1:81">
      <c r="A282" s="779"/>
      <c r="B282" s="779"/>
      <c r="C282" s="779"/>
      <c r="D282" s="779"/>
      <c r="E282" s="779"/>
      <c r="F282" s="779"/>
      <c r="G282" s="779"/>
      <c r="H282" s="779"/>
      <c r="I282" s="779"/>
      <c r="J282" s="779"/>
      <c r="K282" s="779"/>
      <c r="L282" s="779"/>
      <c r="M282" s="779"/>
      <c r="N282" s="779"/>
      <c r="O282" s="779"/>
      <c r="P282" s="779"/>
      <c r="Q282" s="779"/>
      <c r="R282" s="779"/>
      <c r="S282" s="779"/>
      <c r="T282" s="779"/>
      <c r="U282" s="779"/>
      <c r="V282" s="779"/>
      <c r="W282" s="779"/>
      <c r="X282" s="779"/>
      <c r="Y282" s="779"/>
      <c r="Z282" s="779"/>
      <c r="AA282" s="779"/>
      <c r="AB282" s="779"/>
      <c r="AC282" s="779"/>
      <c r="AD282" s="779"/>
      <c r="AE282" s="779"/>
      <c r="AF282" s="779"/>
      <c r="AG282" s="779"/>
      <c r="AH282" s="779"/>
      <c r="AI282" s="779"/>
      <c r="AJ282" s="779"/>
      <c r="AK282" s="779"/>
      <c r="AL282" s="779"/>
      <c r="AM282" s="779"/>
      <c r="AN282" s="779"/>
      <c r="AO282" s="779"/>
      <c r="AP282" s="779"/>
      <c r="AQ282" s="779"/>
      <c r="AR282" s="779"/>
      <c r="AS282" s="779"/>
      <c r="AT282" s="779"/>
      <c r="AU282" s="779"/>
      <c r="AV282" s="779"/>
      <c r="AW282" s="779"/>
      <c r="AX282" s="779"/>
      <c r="AY282" s="779"/>
      <c r="AZ282" s="779"/>
      <c r="BA282" s="779"/>
      <c r="BB282" s="779"/>
      <c r="BC282" s="779"/>
      <c r="BD282" s="779"/>
      <c r="BE282" s="779"/>
      <c r="BF282" s="779"/>
      <c r="BG282" s="779"/>
      <c r="BH282" s="779"/>
      <c r="BI282" s="779"/>
      <c r="BJ282" s="779"/>
      <c r="BK282" s="779"/>
      <c r="BL282" s="779"/>
      <c r="BM282" s="779"/>
      <c r="BN282" s="779"/>
      <c r="BO282" s="779"/>
      <c r="BP282" s="779"/>
      <c r="BQ282" s="779"/>
      <c r="BR282" s="779"/>
      <c r="BS282" s="779"/>
      <c r="BT282" s="779"/>
      <c r="BU282" s="779"/>
      <c r="BV282" s="779"/>
      <c r="BW282" s="779"/>
      <c r="BX282" s="779"/>
      <c r="BY282" s="779"/>
      <c r="BZ282" s="779"/>
      <c r="CA282" s="779"/>
      <c r="CB282" s="779"/>
      <c r="CC282" s="779"/>
    </row>
    <row r="283" spans="1:81">
      <c r="A283" s="779"/>
      <c r="B283" s="779"/>
      <c r="C283" s="779"/>
      <c r="D283" s="779"/>
      <c r="E283" s="779"/>
      <c r="F283" s="779"/>
      <c r="G283" s="779"/>
      <c r="H283" s="779"/>
      <c r="I283" s="779"/>
      <c r="J283" s="779"/>
      <c r="K283" s="779"/>
      <c r="L283" s="779"/>
      <c r="M283" s="779"/>
      <c r="N283" s="779"/>
      <c r="O283" s="779"/>
      <c r="P283" s="779"/>
      <c r="Q283" s="779"/>
      <c r="R283" s="779"/>
      <c r="S283" s="779"/>
      <c r="T283" s="779"/>
      <c r="U283" s="779"/>
      <c r="V283" s="779"/>
      <c r="W283" s="779"/>
      <c r="X283" s="779"/>
      <c r="Y283" s="779"/>
      <c r="Z283" s="779"/>
      <c r="AA283" s="779"/>
      <c r="AB283" s="779"/>
      <c r="AC283" s="779"/>
      <c r="AD283" s="779"/>
      <c r="AE283" s="779"/>
      <c r="AF283" s="779"/>
      <c r="AG283" s="779"/>
      <c r="AH283" s="779"/>
      <c r="AI283" s="779"/>
      <c r="AJ283" s="779"/>
      <c r="AK283" s="779"/>
      <c r="AL283" s="779"/>
      <c r="AM283" s="779"/>
      <c r="AN283" s="779"/>
      <c r="AO283" s="779"/>
      <c r="AP283" s="779"/>
      <c r="AQ283" s="779"/>
      <c r="AR283" s="779"/>
      <c r="AS283" s="779"/>
      <c r="AT283" s="779"/>
      <c r="AU283" s="779"/>
      <c r="AV283" s="779"/>
      <c r="AW283" s="779"/>
      <c r="AX283" s="779"/>
      <c r="AY283" s="779"/>
      <c r="AZ283" s="779"/>
      <c r="BA283" s="779"/>
      <c r="BB283" s="779"/>
      <c r="BC283" s="779"/>
      <c r="BD283" s="779"/>
      <c r="BE283" s="779"/>
      <c r="BF283" s="779"/>
      <c r="BG283" s="779"/>
      <c r="BH283" s="779"/>
      <c r="BI283" s="779"/>
      <c r="BJ283" s="779"/>
      <c r="BK283" s="779"/>
      <c r="BL283" s="779"/>
      <c r="BM283" s="779"/>
      <c r="BN283" s="779"/>
      <c r="BO283" s="779"/>
      <c r="BP283" s="779"/>
      <c r="BQ283" s="779"/>
      <c r="BR283" s="779"/>
      <c r="BS283" s="779"/>
      <c r="BT283" s="779"/>
      <c r="BU283" s="779"/>
      <c r="BV283" s="779"/>
      <c r="BW283" s="779"/>
      <c r="BX283" s="779"/>
      <c r="BY283" s="779"/>
      <c r="BZ283" s="779"/>
      <c r="CA283" s="779"/>
      <c r="CB283" s="779"/>
      <c r="CC283" s="779"/>
    </row>
    <row r="284" spans="1:81">
      <c r="A284" s="779"/>
      <c r="B284" s="779"/>
      <c r="C284" s="779"/>
      <c r="D284" s="779"/>
      <c r="E284" s="779"/>
      <c r="F284" s="779"/>
      <c r="G284" s="779"/>
      <c r="H284" s="779"/>
      <c r="I284" s="779"/>
      <c r="J284" s="779"/>
      <c r="K284" s="779"/>
      <c r="L284" s="779"/>
      <c r="M284" s="779"/>
      <c r="N284" s="779"/>
      <c r="O284" s="779"/>
      <c r="P284" s="779"/>
      <c r="Q284" s="779"/>
      <c r="R284" s="779"/>
      <c r="S284" s="779"/>
      <c r="T284" s="779"/>
      <c r="U284" s="779"/>
      <c r="V284" s="779"/>
      <c r="W284" s="779"/>
      <c r="X284" s="779"/>
      <c r="Y284" s="779"/>
      <c r="Z284" s="779"/>
      <c r="AA284" s="779"/>
      <c r="AB284" s="779"/>
      <c r="AC284" s="779"/>
      <c r="AD284" s="779"/>
      <c r="AE284" s="779"/>
      <c r="AF284" s="779"/>
      <c r="AG284" s="779"/>
      <c r="AH284" s="779"/>
      <c r="AI284" s="779"/>
      <c r="AJ284" s="779"/>
      <c r="AK284" s="779"/>
      <c r="AL284" s="779"/>
      <c r="AM284" s="779"/>
      <c r="AN284" s="779"/>
      <c r="AO284" s="779"/>
      <c r="AP284" s="779"/>
      <c r="AQ284" s="779"/>
      <c r="AR284" s="779"/>
      <c r="AS284" s="779"/>
      <c r="AT284" s="779"/>
      <c r="AU284" s="779"/>
      <c r="AV284" s="779"/>
      <c r="AW284" s="779"/>
      <c r="AX284" s="779"/>
      <c r="AY284" s="779"/>
      <c r="AZ284" s="779"/>
      <c r="BA284" s="779"/>
      <c r="BB284" s="779"/>
      <c r="BC284" s="779"/>
      <c r="BD284" s="779"/>
      <c r="BE284" s="779"/>
      <c r="BF284" s="779"/>
      <c r="BG284" s="779"/>
      <c r="BH284" s="779"/>
      <c r="BI284" s="779"/>
      <c r="BJ284" s="779"/>
      <c r="BK284" s="779"/>
      <c r="BL284" s="779"/>
      <c r="BM284" s="779"/>
      <c r="BN284" s="779"/>
      <c r="BO284" s="779"/>
      <c r="BP284" s="779"/>
      <c r="BQ284" s="779"/>
      <c r="BR284" s="779"/>
      <c r="BS284" s="779"/>
      <c r="BT284" s="779"/>
      <c r="BU284" s="779"/>
      <c r="BV284" s="779"/>
      <c r="BW284" s="779"/>
      <c r="BX284" s="779"/>
      <c r="BY284" s="779"/>
      <c r="BZ284" s="779"/>
      <c r="CA284" s="779"/>
      <c r="CB284" s="779"/>
      <c r="CC284" s="779"/>
    </row>
    <row r="285" spans="1:81">
      <c r="A285" s="779"/>
      <c r="B285" s="779"/>
      <c r="C285" s="779"/>
      <c r="D285" s="779"/>
      <c r="E285" s="779"/>
      <c r="F285" s="779"/>
      <c r="G285" s="779"/>
      <c r="H285" s="779"/>
      <c r="I285" s="779"/>
      <c r="J285" s="779"/>
      <c r="K285" s="779"/>
      <c r="L285" s="779"/>
      <c r="M285" s="779"/>
      <c r="N285" s="779"/>
      <c r="O285" s="779"/>
      <c r="P285" s="779"/>
      <c r="Q285" s="779"/>
      <c r="R285" s="779"/>
      <c r="S285" s="779"/>
      <c r="T285" s="779"/>
      <c r="U285" s="779"/>
      <c r="V285" s="779"/>
      <c r="W285" s="779"/>
      <c r="X285" s="779"/>
      <c r="Y285" s="779"/>
      <c r="Z285" s="779"/>
      <c r="AA285" s="779"/>
      <c r="AB285" s="779"/>
      <c r="AC285" s="779"/>
      <c r="AD285" s="779"/>
      <c r="AE285" s="779"/>
      <c r="AF285" s="779"/>
      <c r="AG285" s="779"/>
      <c r="AH285" s="779"/>
      <c r="AI285" s="779"/>
      <c r="AJ285" s="779"/>
      <c r="AK285" s="779"/>
      <c r="AL285" s="779"/>
      <c r="AM285" s="779"/>
      <c r="AN285" s="779"/>
      <c r="AO285" s="779"/>
      <c r="AP285" s="779"/>
      <c r="AQ285" s="779"/>
      <c r="AR285" s="779"/>
      <c r="AS285" s="779"/>
      <c r="AT285" s="779"/>
      <c r="AU285" s="779"/>
      <c r="AV285" s="779"/>
      <c r="AW285" s="779"/>
      <c r="AX285" s="779"/>
      <c r="AY285" s="779"/>
      <c r="AZ285" s="779"/>
      <c r="BA285" s="779"/>
      <c r="BB285" s="779"/>
      <c r="BC285" s="779"/>
      <c r="BD285" s="779"/>
      <c r="BE285" s="779"/>
      <c r="BF285" s="779"/>
      <c r="BG285" s="779"/>
      <c r="BH285" s="779"/>
      <c r="BI285" s="779"/>
      <c r="BJ285" s="779"/>
      <c r="BK285" s="779"/>
      <c r="BL285" s="779"/>
      <c r="BM285" s="779"/>
      <c r="BN285" s="779"/>
      <c r="BO285" s="779"/>
      <c r="BP285" s="779"/>
      <c r="BQ285" s="779"/>
      <c r="BR285" s="779"/>
      <c r="BS285" s="779"/>
      <c r="BT285" s="779"/>
      <c r="BU285" s="779"/>
      <c r="BV285" s="779"/>
      <c r="BW285" s="779"/>
      <c r="BX285" s="779"/>
      <c r="BY285" s="779"/>
      <c r="BZ285" s="779"/>
      <c r="CA285" s="779"/>
      <c r="CB285" s="779"/>
      <c r="CC285" s="779"/>
    </row>
    <row r="286" spans="1:81">
      <c r="A286" s="779"/>
      <c r="B286" s="779"/>
      <c r="C286" s="779"/>
      <c r="D286" s="779"/>
      <c r="E286" s="779"/>
      <c r="F286" s="779"/>
      <c r="G286" s="779"/>
      <c r="H286" s="779"/>
      <c r="I286" s="779"/>
      <c r="J286" s="779"/>
      <c r="K286" s="779"/>
      <c r="L286" s="779"/>
      <c r="M286" s="779"/>
      <c r="N286" s="779"/>
      <c r="O286" s="779"/>
      <c r="P286" s="779"/>
      <c r="Q286" s="779"/>
      <c r="R286" s="779"/>
      <c r="S286" s="779"/>
      <c r="T286" s="779"/>
      <c r="U286" s="779"/>
      <c r="V286" s="779"/>
      <c r="W286" s="779"/>
      <c r="X286" s="779"/>
      <c r="Y286" s="779"/>
      <c r="Z286" s="779"/>
      <c r="AA286" s="779"/>
      <c r="AB286" s="779"/>
      <c r="AC286" s="779"/>
      <c r="AD286" s="779"/>
      <c r="AE286" s="779"/>
      <c r="AF286" s="779"/>
      <c r="AG286" s="779"/>
      <c r="AH286" s="779"/>
      <c r="AI286" s="779"/>
      <c r="AJ286" s="779"/>
      <c r="AK286" s="779"/>
      <c r="AL286" s="779"/>
      <c r="AM286" s="779"/>
      <c r="AN286" s="779"/>
      <c r="AO286" s="779"/>
      <c r="AP286" s="779"/>
      <c r="AQ286" s="779"/>
      <c r="AR286" s="779"/>
      <c r="AS286" s="779"/>
      <c r="AT286" s="779"/>
      <c r="AU286" s="779"/>
      <c r="AV286" s="779"/>
      <c r="AW286" s="779"/>
      <c r="AX286" s="779"/>
      <c r="AY286" s="779"/>
      <c r="AZ286" s="779"/>
      <c r="BA286" s="779"/>
      <c r="BB286" s="779"/>
      <c r="BC286" s="779"/>
      <c r="BD286" s="779"/>
      <c r="BE286" s="779"/>
      <c r="BF286" s="779"/>
      <c r="BG286" s="779"/>
      <c r="BH286" s="779"/>
      <c r="BI286" s="779"/>
      <c r="BJ286" s="779"/>
      <c r="BK286" s="779"/>
      <c r="BL286" s="779"/>
      <c r="BM286" s="779"/>
      <c r="BN286" s="779"/>
      <c r="BO286" s="779"/>
      <c r="BP286" s="779"/>
      <c r="BQ286" s="779"/>
      <c r="BR286" s="779"/>
      <c r="BS286" s="779"/>
      <c r="BT286" s="779"/>
      <c r="BU286" s="779"/>
      <c r="BV286" s="779"/>
      <c r="BW286" s="779"/>
      <c r="BX286" s="779"/>
      <c r="BY286" s="779"/>
      <c r="BZ286" s="779"/>
      <c r="CA286" s="779"/>
      <c r="CB286" s="779"/>
      <c r="CC286" s="779"/>
    </row>
    <row r="287" spans="1:81">
      <c r="A287" s="779"/>
      <c r="B287" s="779"/>
      <c r="C287" s="779"/>
      <c r="D287" s="779"/>
      <c r="E287" s="779"/>
      <c r="F287" s="779"/>
      <c r="G287" s="779"/>
      <c r="H287" s="779"/>
      <c r="I287" s="779"/>
      <c r="J287" s="779"/>
      <c r="K287" s="779"/>
      <c r="L287" s="779"/>
      <c r="M287" s="779"/>
      <c r="N287" s="779"/>
      <c r="O287" s="779"/>
      <c r="P287" s="779"/>
      <c r="Q287" s="779"/>
      <c r="R287" s="779"/>
      <c r="S287" s="779"/>
      <c r="T287" s="779"/>
      <c r="U287" s="779"/>
      <c r="V287" s="779"/>
      <c r="W287" s="779"/>
      <c r="X287" s="779"/>
      <c r="Y287" s="779"/>
      <c r="Z287" s="779"/>
      <c r="AA287" s="779"/>
      <c r="AB287" s="779"/>
      <c r="AC287" s="779"/>
      <c r="AD287" s="779"/>
      <c r="AE287" s="779"/>
      <c r="AF287" s="779"/>
      <c r="AG287" s="779"/>
      <c r="AH287" s="779"/>
      <c r="AI287" s="779"/>
      <c r="AJ287" s="779"/>
      <c r="AK287" s="779"/>
      <c r="AL287" s="779"/>
      <c r="AM287" s="779"/>
      <c r="AN287" s="779"/>
      <c r="AO287" s="779"/>
      <c r="AP287" s="779"/>
      <c r="AQ287" s="779"/>
      <c r="AR287" s="779"/>
      <c r="AS287" s="779"/>
      <c r="AT287" s="779"/>
      <c r="AU287" s="779"/>
      <c r="AV287" s="779"/>
      <c r="AW287" s="779"/>
      <c r="AX287" s="779"/>
      <c r="AY287" s="779"/>
      <c r="AZ287" s="779"/>
      <c r="BA287" s="779"/>
      <c r="BB287" s="779"/>
      <c r="BC287" s="779"/>
      <c r="BD287" s="779"/>
      <c r="BE287" s="779"/>
      <c r="BF287" s="779"/>
      <c r="BG287" s="779"/>
      <c r="BH287" s="779"/>
      <c r="BI287" s="779"/>
      <c r="BJ287" s="779"/>
      <c r="BK287" s="779"/>
      <c r="BL287" s="779"/>
      <c r="BM287" s="779"/>
      <c r="BN287" s="779"/>
      <c r="BO287" s="779"/>
      <c r="BP287" s="779"/>
      <c r="BQ287" s="779"/>
      <c r="BR287" s="779"/>
      <c r="BS287" s="779"/>
      <c r="BT287" s="779"/>
      <c r="BU287" s="779"/>
      <c r="BV287" s="779"/>
      <c r="BW287" s="779"/>
      <c r="BX287" s="779"/>
      <c r="BY287" s="779"/>
      <c r="BZ287" s="779"/>
      <c r="CA287" s="779"/>
      <c r="CB287" s="779"/>
      <c r="CC287" s="779"/>
    </row>
    <row r="288" spans="1:81">
      <c r="A288" s="779"/>
      <c r="B288" s="779"/>
      <c r="C288" s="779"/>
      <c r="D288" s="779"/>
      <c r="E288" s="779"/>
      <c r="F288" s="779"/>
      <c r="G288" s="779"/>
      <c r="H288" s="779"/>
      <c r="I288" s="779"/>
      <c r="J288" s="779"/>
      <c r="K288" s="779"/>
      <c r="L288" s="779"/>
      <c r="M288" s="779"/>
      <c r="N288" s="779"/>
      <c r="O288" s="779"/>
      <c r="P288" s="779"/>
      <c r="Q288" s="779"/>
      <c r="R288" s="779"/>
      <c r="S288" s="779"/>
      <c r="T288" s="779"/>
      <c r="U288" s="779"/>
      <c r="V288" s="779"/>
      <c r="W288" s="779"/>
      <c r="X288" s="779"/>
      <c r="Y288" s="779"/>
      <c r="Z288" s="779"/>
      <c r="AA288" s="779"/>
      <c r="AB288" s="779"/>
      <c r="AC288" s="779"/>
      <c r="AD288" s="779"/>
      <c r="AE288" s="779"/>
      <c r="AF288" s="779"/>
      <c r="AG288" s="779"/>
      <c r="AH288" s="779"/>
      <c r="AI288" s="779"/>
      <c r="AJ288" s="779"/>
      <c r="AK288" s="779"/>
      <c r="AL288" s="779"/>
      <c r="AM288" s="779"/>
      <c r="AN288" s="779"/>
      <c r="AO288" s="779"/>
      <c r="AP288" s="779"/>
      <c r="AQ288" s="779"/>
      <c r="AR288" s="779"/>
      <c r="AS288" s="779"/>
      <c r="AT288" s="779"/>
      <c r="AU288" s="779"/>
      <c r="AV288" s="779"/>
      <c r="AW288" s="779"/>
      <c r="AX288" s="779"/>
      <c r="AY288" s="779"/>
      <c r="AZ288" s="779"/>
      <c r="BA288" s="779"/>
      <c r="BB288" s="779"/>
      <c r="BC288" s="779"/>
      <c r="BD288" s="779"/>
      <c r="BE288" s="779"/>
      <c r="BF288" s="779"/>
      <c r="BG288" s="779"/>
      <c r="BH288" s="779"/>
      <c r="BI288" s="779"/>
      <c r="BJ288" s="779"/>
      <c r="BK288" s="779"/>
      <c r="BL288" s="779"/>
      <c r="BM288" s="779"/>
      <c r="BN288" s="779"/>
      <c r="BO288" s="779"/>
      <c r="BP288" s="779"/>
      <c r="BQ288" s="779"/>
      <c r="BR288" s="779"/>
      <c r="BS288" s="779"/>
      <c r="BT288" s="779"/>
      <c r="BU288" s="779"/>
      <c r="BV288" s="779"/>
      <c r="BW288" s="779"/>
      <c r="BX288" s="779"/>
      <c r="BY288" s="779"/>
      <c r="BZ288" s="779"/>
      <c r="CA288" s="779"/>
      <c r="CB288" s="779"/>
      <c r="CC288" s="779"/>
    </row>
    <row r="289" spans="1:81">
      <c r="A289" s="779"/>
      <c r="B289" s="779"/>
      <c r="C289" s="779"/>
      <c r="D289" s="779"/>
      <c r="E289" s="779"/>
      <c r="F289" s="779"/>
      <c r="G289" s="779"/>
      <c r="H289" s="779"/>
      <c r="I289" s="779"/>
      <c r="J289" s="779"/>
      <c r="K289" s="779"/>
      <c r="L289" s="779"/>
      <c r="M289" s="779"/>
      <c r="N289" s="779"/>
      <c r="O289" s="779"/>
      <c r="P289" s="779"/>
      <c r="Q289" s="779"/>
      <c r="R289" s="779"/>
      <c r="S289" s="779"/>
      <c r="T289" s="779"/>
      <c r="U289" s="779"/>
      <c r="V289" s="779"/>
      <c r="W289" s="779"/>
      <c r="X289" s="779"/>
      <c r="Y289" s="779"/>
      <c r="Z289" s="779"/>
      <c r="AA289" s="779"/>
      <c r="AB289" s="779"/>
      <c r="AC289" s="779"/>
      <c r="AD289" s="779"/>
      <c r="AE289" s="779"/>
      <c r="AF289" s="779"/>
      <c r="AG289" s="779"/>
      <c r="AH289" s="779"/>
      <c r="AI289" s="779"/>
      <c r="AJ289" s="779"/>
      <c r="AK289" s="779"/>
      <c r="AL289" s="779"/>
      <c r="AM289" s="779"/>
      <c r="AN289" s="779"/>
      <c r="AO289" s="779"/>
      <c r="AP289" s="779"/>
      <c r="AQ289" s="779"/>
      <c r="AR289" s="779"/>
      <c r="AS289" s="779"/>
      <c r="AT289" s="779"/>
      <c r="AU289" s="779"/>
      <c r="AV289" s="779"/>
      <c r="AW289" s="779"/>
      <c r="AX289" s="779"/>
      <c r="AY289" s="779"/>
      <c r="AZ289" s="779"/>
      <c r="BA289" s="779"/>
      <c r="BB289" s="779"/>
      <c r="BC289" s="779"/>
      <c r="BD289" s="779"/>
      <c r="BE289" s="779"/>
      <c r="BF289" s="779"/>
      <c r="BG289" s="779"/>
      <c r="BH289" s="779"/>
      <c r="BI289" s="779"/>
      <c r="BJ289" s="779"/>
      <c r="BK289" s="779"/>
      <c r="BL289" s="779"/>
      <c r="BM289" s="779"/>
      <c r="BN289" s="779"/>
      <c r="BO289" s="779"/>
      <c r="BP289" s="779"/>
      <c r="BQ289" s="779"/>
      <c r="BR289" s="779"/>
      <c r="BS289" s="779"/>
      <c r="BT289" s="779"/>
      <c r="BU289" s="779"/>
      <c r="BV289" s="779"/>
      <c r="BW289" s="779"/>
      <c r="BX289" s="779"/>
      <c r="BY289" s="779"/>
      <c r="BZ289" s="779"/>
      <c r="CA289" s="779"/>
      <c r="CB289" s="779"/>
      <c r="CC289" s="779"/>
    </row>
    <row r="290" spans="1:81">
      <c r="A290" s="779"/>
      <c r="B290" s="779"/>
      <c r="C290" s="779"/>
      <c r="D290" s="779"/>
      <c r="E290" s="779"/>
      <c r="F290" s="779"/>
      <c r="G290" s="779"/>
      <c r="H290" s="779"/>
      <c r="I290" s="779"/>
      <c r="J290" s="779"/>
      <c r="K290" s="779"/>
      <c r="L290" s="779"/>
      <c r="M290" s="779"/>
      <c r="N290" s="779"/>
      <c r="O290" s="779"/>
      <c r="P290" s="779"/>
      <c r="Q290" s="779"/>
      <c r="R290" s="779"/>
      <c r="S290" s="779"/>
      <c r="T290" s="779"/>
      <c r="U290" s="779"/>
      <c r="V290" s="779"/>
      <c r="W290" s="779"/>
      <c r="X290" s="779"/>
      <c r="Y290" s="779"/>
      <c r="Z290" s="779"/>
      <c r="AA290" s="779"/>
      <c r="AB290" s="779"/>
      <c r="AC290" s="779"/>
      <c r="AD290" s="779"/>
      <c r="AE290" s="779"/>
      <c r="AF290" s="779"/>
      <c r="AG290" s="779"/>
      <c r="AH290" s="779"/>
      <c r="AI290" s="779"/>
      <c r="AJ290" s="779"/>
      <c r="AK290" s="779"/>
      <c r="AL290" s="779"/>
      <c r="AM290" s="779"/>
      <c r="AN290" s="779"/>
      <c r="AO290" s="779"/>
      <c r="AP290" s="779"/>
      <c r="AQ290" s="779"/>
      <c r="AR290" s="779"/>
      <c r="AS290" s="779"/>
      <c r="AT290" s="779"/>
      <c r="AU290" s="779"/>
      <c r="AV290" s="779"/>
      <c r="AW290" s="779"/>
      <c r="AX290" s="779"/>
      <c r="AY290" s="779"/>
      <c r="AZ290" s="779"/>
      <c r="BA290" s="779"/>
      <c r="BB290" s="779"/>
      <c r="BC290" s="779"/>
      <c r="BD290" s="779"/>
      <c r="BE290" s="779"/>
      <c r="BF290" s="779"/>
      <c r="BG290" s="779"/>
      <c r="BH290" s="779"/>
      <c r="BI290" s="779"/>
      <c r="BJ290" s="779"/>
      <c r="BK290" s="779"/>
      <c r="BL290" s="779"/>
      <c r="BM290" s="779"/>
      <c r="BN290" s="779"/>
      <c r="BO290" s="779"/>
      <c r="BP290" s="779"/>
      <c r="BQ290" s="779"/>
      <c r="BR290" s="779"/>
      <c r="BS290" s="779"/>
      <c r="BT290" s="779"/>
      <c r="BU290" s="779"/>
      <c r="BV290" s="779"/>
      <c r="BW290" s="779"/>
      <c r="BX290" s="779"/>
      <c r="BY290" s="779"/>
      <c r="BZ290" s="779"/>
      <c r="CA290" s="779"/>
      <c r="CB290" s="779"/>
      <c r="CC290" s="779"/>
    </row>
    <row r="291" spans="1:81">
      <c r="A291" s="779"/>
      <c r="B291" s="779"/>
      <c r="C291" s="779"/>
      <c r="D291" s="779"/>
      <c r="E291" s="779"/>
      <c r="F291" s="779"/>
      <c r="G291" s="779"/>
      <c r="H291" s="779"/>
      <c r="I291" s="779"/>
      <c r="J291" s="779"/>
      <c r="K291" s="779"/>
      <c r="L291" s="779"/>
      <c r="M291" s="779"/>
      <c r="N291" s="779"/>
      <c r="O291" s="779"/>
      <c r="P291" s="779"/>
      <c r="Q291" s="779"/>
      <c r="R291" s="779"/>
      <c r="S291" s="779"/>
      <c r="T291" s="779"/>
      <c r="U291" s="779"/>
      <c r="V291" s="779"/>
      <c r="W291" s="779"/>
      <c r="X291" s="779"/>
      <c r="Y291" s="779"/>
      <c r="Z291" s="779"/>
      <c r="AA291" s="779"/>
      <c r="AB291" s="779"/>
      <c r="AC291" s="779"/>
      <c r="AD291" s="779"/>
      <c r="AE291" s="779"/>
      <c r="AF291" s="779"/>
      <c r="AG291" s="779"/>
      <c r="AH291" s="779"/>
      <c r="AI291" s="779"/>
      <c r="AJ291" s="779"/>
      <c r="AK291" s="779"/>
      <c r="AL291" s="779"/>
      <c r="AM291" s="779"/>
      <c r="AN291" s="779"/>
      <c r="AO291" s="779"/>
      <c r="AP291" s="779"/>
      <c r="AQ291" s="779"/>
      <c r="AR291" s="779"/>
      <c r="AS291" s="779"/>
      <c r="AT291" s="779"/>
      <c r="AU291" s="779"/>
      <c r="AV291" s="779"/>
      <c r="AW291" s="779"/>
      <c r="AX291" s="779"/>
      <c r="AY291" s="779"/>
      <c r="AZ291" s="779"/>
      <c r="BA291" s="779"/>
      <c r="BB291" s="779"/>
      <c r="BC291" s="779"/>
      <c r="BD291" s="779"/>
      <c r="BE291" s="779"/>
      <c r="BF291" s="779"/>
      <c r="BG291" s="779"/>
      <c r="BH291" s="779"/>
      <c r="BI291" s="779"/>
      <c r="BJ291" s="779"/>
      <c r="BK291" s="779"/>
      <c r="BL291" s="779"/>
      <c r="BM291" s="779"/>
      <c r="BN291" s="779"/>
      <c r="BO291" s="779"/>
      <c r="BP291" s="779"/>
      <c r="BQ291" s="779"/>
      <c r="BR291" s="779"/>
      <c r="BS291" s="779"/>
      <c r="BT291" s="779"/>
      <c r="BU291" s="779"/>
      <c r="BV291" s="779"/>
      <c r="BW291" s="779"/>
      <c r="BX291" s="779"/>
      <c r="BY291" s="779"/>
      <c r="BZ291" s="779"/>
      <c r="CA291" s="779"/>
      <c r="CB291" s="779"/>
      <c r="CC291" s="779"/>
    </row>
    <row r="292" spans="1:81">
      <c r="A292" s="779"/>
      <c r="B292" s="779"/>
      <c r="C292" s="779"/>
      <c r="D292" s="779"/>
      <c r="E292" s="779"/>
      <c r="F292" s="779"/>
      <c r="G292" s="779"/>
      <c r="H292" s="779"/>
      <c r="I292" s="779"/>
      <c r="J292" s="779"/>
      <c r="K292" s="779"/>
      <c r="L292" s="779"/>
      <c r="M292" s="779"/>
      <c r="N292" s="779"/>
      <c r="O292" s="779"/>
      <c r="P292" s="779"/>
      <c r="Q292" s="779"/>
      <c r="R292" s="779"/>
      <c r="S292" s="779"/>
      <c r="T292" s="779"/>
      <c r="U292" s="779"/>
      <c r="V292" s="779"/>
      <c r="W292" s="779"/>
      <c r="X292" s="779"/>
      <c r="Y292" s="779"/>
      <c r="Z292" s="779"/>
      <c r="AA292" s="779"/>
      <c r="AB292" s="779"/>
      <c r="AC292" s="779"/>
      <c r="AD292" s="779"/>
      <c r="AE292" s="779"/>
      <c r="AF292" s="779"/>
      <c r="AG292" s="779"/>
      <c r="AH292" s="779"/>
      <c r="AI292" s="779"/>
      <c r="AJ292" s="779"/>
      <c r="AK292" s="779"/>
      <c r="AL292" s="779"/>
      <c r="AM292" s="779"/>
      <c r="AN292" s="779"/>
      <c r="AO292" s="779"/>
      <c r="AP292" s="779"/>
      <c r="AQ292" s="779"/>
      <c r="AR292" s="779"/>
      <c r="AS292" s="779"/>
      <c r="AT292" s="779"/>
      <c r="AU292" s="779"/>
      <c r="AV292" s="779"/>
      <c r="AW292" s="779"/>
      <c r="AX292" s="779"/>
      <c r="AY292" s="779"/>
      <c r="AZ292" s="779"/>
      <c r="BA292" s="779"/>
      <c r="BB292" s="779"/>
      <c r="BC292" s="779"/>
      <c r="BD292" s="779"/>
      <c r="BE292" s="779"/>
      <c r="BF292" s="779"/>
      <c r="BG292" s="779"/>
      <c r="BH292" s="779"/>
      <c r="BI292" s="779"/>
      <c r="BJ292" s="779"/>
      <c r="BK292" s="779"/>
      <c r="BL292" s="779"/>
      <c r="BM292" s="779"/>
      <c r="BN292" s="779"/>
      <c r="BO292" s="779"/>
      <c r="BP292" s="779"/>
      <c r="BQ292" s="779"/>
      <c r="BR292" s="779"/>
      <c r="BS292" s="779"/>
      <c r="BT292" s="779"/>
      <c r="BU292" s="779"/>
      <c r="BV292" s="779"/>
      <c r="BW292" s="779"/>
      <c r="BX292" s="779"/>
      <c r="BY292" s="779"/>
      <c r="BZ292" s="779"/>
      <c r="CA292" s="779"/>
      <c r="CB292" s="779"/>
      <c r="CC292" s="779"/>
    </row>
    <row r="293" spans="1:81">
      <c r="A293" s="779"/>
      <c r="B293" s="779"/>
      <c r="C293" s="779"/>
      <c r="D293" s="779"/>
      <c r="E293" s="779"/>
      <c r="F293" s="779"/>
      <c r="G293" s="779"/>
      <c r="H293" s="779"/>
      <c r="I293" s="779"/>
      <c r="J293" s="779"/>
      <c r="K293" s="779"/>
      <c r="L293" s="779"/>
      <c r="M293" s="779"/>
      <c r="N293" s="779"/>
      <c r="O293" s="779"/>
      <c r="P293" s="779"/>
      <c r="Q293" s="779"/>
      <c r="R293" s="779"/>
      <c r="S293" s="779"/>
      <c r="T293" s="779"/>
      <c r="U293" s="779"/>
      <c r="V293" s="779"/>
      <c r="W293" s="779"/>
      <c r="X293" s="779"/>
      <c r="Y293" s="779"/>
      <c r="Z293" s="779"/>
      <c r="AA293" s="779"/>
      <c r="AB293" s="779"/>
      <c r="AC293" s="779"/>
      <c r="AD293" s="779"/>
      <c r="AE293" s="779"/>
      <c r="AF293" s="779"/>
      <c r="AG293" s="779"/>
      <c r="AH293" s="779"/>
      <c r="AI293" s="779"/>
      <c r="AJ293" s="779"/>
      <c r="AK293" s="779"/>
      <c r="AL293" s="779"/>
      <c r="AM293" s="779"/>
      <c r="AN293" s="779"/>
      <c r="AO293" s="779"/>
      <c r="AP293" s="779"/>
      <c r="AQ293" s="779"/>
      <c r="AR293" s="779"/>
      <c r="AS293" s="779"/>
      <c r="AT293" s="779"/>
      <c r="AU293" s="779"/>
      <c r="AV293" s="779"/>
      <c r="AW293" s="779"/>
      <c r="AX293" s="779"/>
      <c r="AY293" s="779"/>
      <c r="AZ293" s="779"/>
      <c r="BA293" s="779"/>
      <c r="BB293" s="779"/>
      <c r="BC293" s="779"/>
      <c r="BD293" s="779"/>
      <c r="BE293" s="779"/>
      <c r="BF293" s="779"/>
      <c r="BG293" s="779"/>
      <c r="BH293" s="779"/>
      <c r="BI293" s="779"/>
      <c r="BJ293" s="779"/>
      <c r="BK293" s="779"/>
      <c r="BL293" s="779"/>
      <c r="BM293" s="779"/>
      <c r="BN293" s="779"/>
      <c r="BO293" s="779"/>
      <c r="BP293" s="779"/>
      <c r="BQ293" s="779"/>
      <c r="BR293" s="779"/>
      <c r="BS293" s="779"/>
      <c r="BT293" s="779"/>
      <c r="BU293" s="779"/>
      <c r="BV293" s="779"/>
      <c r="BW293" s="779"/>
      <c r="BX293" s="779"/>
      <c r="BY293" s="779"/>
      <c r="BZ293" s="779"/>
      <c r="CA293" s="779"/>
      <c r="CB293" s="779"/>
      <c r="CC293" s="779"/>
    </row>
    <row r="294" spans="1:81">
      <c r="A294" s="779"/>
      <c r="B294" s="779"/>
      <c r="C294" s="779"/>
      <c r="D294" s="779"/>
      <c r="E294" s="779"/>
      <c r="F294" s="779"/>
      <c r="G294" s="779"/>
      <c r="H294" s="779"/>
      <c r="I294" s="779"/>
      <c r="J294" s="779"/>
      <c r="K294" s="779"/>
      <c r="L294" s="779"/>
      <c r="M294" s="779"/>
      <c r="N294" s="779"/>
      <c r="O294" s="779"/>
      <c r="P294" s="779"/>
      <c r="Q294" s="779"/>
      <c r="R294" s="779"/>
      <c r="S294" s="779"/>
      <c r="T294" s="779"/>
      <c r="U294" s="779"/>
      <c r="V294" s="779"/>
      <c r="W294" s="779"/>
      <c r="X294" s="779"/>
      <c r="Y294" s="779"/>
      <c r="Z294" s="779"/>
      <c r="AA294" s="779"/>
      <c r="AB294" s="779"/>
      <c r="AC294" s="779"/>
      <c r="AD294" s="779"/>
      <c r="AE294" s="779"/>
      <c r="AF294" s="779"/>
      <c r="AG294" s="779"/>
      <c r="AH294" s="779"/>
      <c r="AI294" s="779"/>
      <c r="AJ294" s="779"/>
      <c r="AK294" s="779"/>
      <c r="AL294" s="779"/>
      <c r="AM294" s="779"/>
      <c r="AN294" s="779"/>
      <c r="AO294" s="779"/>
      <c r="AP294" s="779"/>
      <c r="AQ294" s="779"/>
      <c r="AR294" s="779"/>
      <c r="AS294" s="779"/>
      <c r="AT294" s="779"/>
      <c r="AU294" s="779"/>
      <c r="AV294" s="779"/>
      <c r="AW294" s="779"/>
      <c r="AX294" s="779"/>
      <c r="AY294" s="779"/>
      <c r="AZ294" s="779"/>
      <c r="BA294" s="779"/>
      <c r="BB294" s="779"/>
      <c r="BC294" s="779"/>
      <c r="BD294" s="779"/>
      <c r="BE294" s="779"/>
      <c r="BF294" s="779"/>
      <c r="BG294" s="779"/>
      <c r="BH294" s="779"/>
      <c r="BI294" s="779"/>
      <c r="BJ294" s="779"/>
      <c r="BK294" s="779"/>
      <c r="BL294" s="779"/>
      <c r="BM294" s="779"/>
      <c r="BN294" s="779"/>
      <c r="BO294" s="779"/>
      <c r="BP294" s="779"/>
      <c r="BQ294" s="779"/>
      <c r="BR294" s="779"/>
      <c r="BS294" s="779"/>
      <c r="BT294" s="779"/>
      <c r="BU294" s="779"/>
      <c r="BV294" s="779"/>
      <c r="BW294" s="779"/>
      <c r="BX294" s="779"/>
      <c r="BY294" s="779"/>
      <c r="BZ294" s="779"/>
      <c r="CA294" s="779"/>
      <c r="CB294" s="779"/>
      <c r="CC294" s="779"/>
    </row>
    <row r="295" spans="1:81">
      <c r="A295" s="779"/>
      <c r="B295" s="779"/>
      <c r="C295" s="779"/>
      <c r="D295" s="779"/>
      <c r="E295" s="779"/>
      <c r="F295" s="779"/>
      <c r="G295" s="779"/>
      <c r="H295" s="779"/>
      <c r="I295" s="779"/>
      <c r="J295" s="779"/>
      <c r="K295" s="779"/>
      <c r="L295" s="779"/>
      <c r="M295" s="779"/>
      <c r="N295" s="779"/>
      <c r="O295" s="779"/>
      <c r="P295" s="779"/>
      <c r="Q295" s="779"/>
      <c r="R295" s="779"/>
      <c r="S295" s="779"/>
      <c r="T295" s="779"/>
      <c r="U295" s="779"/>
      <c r="V295" s="779"/>
      <c r="W295" s="779"/>
      <c r="X295" s="779"/>
      <c r="Y295" s="779"/>
      <c r="Z295" s="779"/>
      <c r="AA295" s="779"/>
      <c r="AB295" s="779"/>
      <c r="AC295" s="779"/>
      <c r="AD295" s="779"/>
      <c r="AE295" s="779"/>
      <c r="AF295" s="779"/>
      <c r="AG295" s="779"/>
      <c r="AH295" s="779"/>
      <c r="AI295" s="779"/>
      <c r="AJ295" s="779"/>
      <c r="AK295" s="779"/>
      <c r="AL295" s="779"/>
      <c r="AM295" s="779"/>
      <c r="AN295" s="779"/>
      <c r="AO295" s="779"/>
      <c r="AP295" s="779"/>
      <c r="AQ295" s="779"/>
      <c r="AR295" s="779"/>
      <c r="AS295" s="779"/>
      <c r="AT295" s="779"/>
      <c r="AU295" s="779"/>
      <c r="AV295" s="779"/>
      <c r="AW295" s="779"/>
      <c r="AX295" s="779"/>
      <c r="AY295" s="779"/>
      <c r="AZ295" s="779"/>
      <c r="BA295" s="779"/>
      <c r="BB295" s="779"/>
      <c r="BC295" s="779"/>
      <c r="BD295" s="779"/>
      <c r="BE295" s="779"/>
      <c r="BF295" s="779"/>
      <c r="BG295" s="779"/>
      <c r="BH295" s="779"/>
      <c r="BI295" s="779"/>
      <c r="BJ295" s="779"/>
      <c r="BK295" s="779"/>
      <c r="BL295" s="779"/>
      <c r="BM295" s="779"/>
      <c r="BN295" s="779"/>
      <c r="BO295" s="779"/>
      <c r="BP295" s="779"/>
      <c r="BQ295" s="779"/>
      <c r="BR295" s="779"/>
      <c r="BS295" s="779"/>
      <c r="BT295" s="779"/>
      <c r="BU295" s="779"/>
      <c r="BV295" s="779"/>
      <c r="BW295" s="779"/>
      <c r="BX295" s="779"/>
      <c r="BY295" s="779"/>
      <c r="BZ295" s="779"/>
      <c r="CA295" s="779"/>
      <c r="CB295" s="779"/>
      <c r="CC295" s="779"/>
    </row>
    <row r="296" spans="1:81">
      <c r="A296" s="779"/>
      <c r="B296" s="779"/>
      <c r="C296" s="779"/>
      <c r="D296" s="779"/>
      <c r="E296" s="779"/>
      <c r="F296" s="779"/>
      <c r="G296" s="779"/>
      <c r="H296" s="779"/>
      <c r="I296" s="779"/>
      <c r="J296" s="779"/>
      <c r="K296" s="779"/>
      <c r="L296" s="779"/>
      <c r="M296" s="779"/>
      <c r="N296" s="779"/>
      <c r="O296" s="779"/>
      <c r="P296" s="779"/>
      <c r="Q296" s="779"/>
      <c r="R296" s="779"/>
      <c r="S296" s="779"/>
      <c r="T296" s="779"/>
      <c r="U296" s="779"/>
      <c r="V296" s="779"/>
      <c r="W296" s="779"/>
      <c r="X296" s="779"/>
      <c r="Y296" s="779"/>
      <c r="Z296" s="779"/>
      <c r="AA296" s="779"/>
      <c r="AB296" s="779"/>
      <c r="AC296" s="779"/>
      <c r="AD296" s="779"/>
      <c r="AE296" s="779"/>
      <c r="AF296" s="779"/>
      <c r="AG296" s="779"/>
      <c r="AH296" s="779"/>
      <c r="AI296" s="779"/>
      <c r="AJ296" s="779"/>
      <c r="AK296" s="779"/>
      <c r="AL296" s="779"/>
      <c r="AM296" s="779"/>
      <c r="AN296" s="779"/>
      <c r="AO296" s="779"/>
      <c r="AP296" s="779"/>
      <c r="AQ296" s="779"/>
      <c r="AR296" s="779"/>
      <c r="AS296" s="779"/>
      <c r="AT296" s="779"/>
      <c r="AU296" s="779"/>
      <c r="AV296" s="779"/>
      <c r="AW296" s="779"/>
      <c r="AX296" s="779"/>
      <c r="AY296" s="779"/>
      <c r="AZ296" s="779"/>
      <c r="BA296" s="779"/>
      <c r="BB296" s="779"/>
      <c r="BC296" s="779"/>
      <c r="BD296" s="779"/>
      <c r="BE296" s="779"/>
      <c r="BF296" s="779"/>
      <c r="BG296" s="779"/>
      <c r="BH296" s="779"/>
      <c r="BI296" s="779"/>
      <c r="BJ296" s="779"/>
      <c r="BK296" s="779"/>
      <c r="BL296" s="779"/>
      <c r="BM296" s="779"/>
      <c r="BN296" s="779"/>
      <c r="BO296" s="779"/>
      <c r="BP296" s="779"/>
      <c r="BQ296" s="779"/>
      <c r="BR296" s="779"/>
      <c r="BS296" s="779"/>
      <c r="BT296" s="779"/>
      <c r="BU296" s="779"/>
      <c r="BV296" s="779"/>
      <c r="BW296" s="779"/>
      <c r="BX296" s="779"/>
      <c r="BY296" s="779"/>
      <c r="BZ296" s="779"/>
      <c r="CA296" s="779"/>
      <c r="CB296" s="779"/>
      <c r="CC296" s="779"/>
    </row>
    <row r="297" spans="1:81">
      <c r="A297" s="779"/>
      <c r="B297" s="779"/>
      <c r="C297" s="779"/>
      <c r="D297" s="779"/>
      <c r="E297" s="779"/>
      <c r="F297" s="779"/>
      <c r="G297" s="779"/>
      <c r="H297" s="779"/>
      <c r="I297" s="779"/>
      <c r="J297" s="779"/>
      <c r="K297" s="779"/>
      <c r="L297" s="779"/>
      <c r="M297" s="779"/>
      <c r="N297" s="779"/>
      <c r="O297" s="779"/>
      <c r="P297" s="779"/>
      <c r="Q297" s="779"/>
      <c r="R297" s="779"/>
      <c r="S297" s="779"/>
      <c r="T297" s="779"/>
      <c r="U297" s="779"/>
      <c r="V297" s="779"/>
      <c r="W297" s="779"/>
      <c r="X297" s="779"/>
      <c r="Y297" s="779"/>
      <c r="Z297" s="779"/>
      <c r="AA297" s="779"/>
      <c r="AB297" s="779"/>
      <c r="AC297" s="779"/>
      <c r="AD297" s="779"/>
      <c r="AE297" s="779"/>
      <c r="AF297" s="779"/>
      <c r="AG297" s="779"/>
      <c r="AH297" s="779"/>
      <c r="AI297" s="779"/>
      <c r="AJ297" s="779"/>
      <c r="AK297" s="779"/>
      <c r="AL297" s="779"/>
      <c r="AM297" s="779"/>
      <c r="AN297" s="779"/>
      <c r="AO297" s="779"/>
      <c r="AP297" s="779"/>
      <c r="AQ297" s="779"/>
      <c r="AR297" s="779"/>
      <c r="AS297" s="779"/>
      <c r="AT297" s="779"/>
      <c r="AU297" s="779"/>
      <c r="AV297" s="779"/>
      <c r="AW297" s="779"/>
      <c r="AX297" s="779"/>
      <c r="AY297" s="779"/>
      <c r="AZ297" s="779"/>
      <c r="BA297" s="779"/>
      <c r="BB297" s="779"/>
      <c r="BC297" s="779"/>
      <c r="BD297" s="779"/>
      <c r="BE297" s="779"/>
      <c r="BF297" s="779"/>
      <c r="BG297" s="779"/>
      <c r="BH297" s="779"/>
      <c r="BI297" s="779"/>
      <c r="BJ297" s="779"/>
      <c r="BK297" s="779"/>
      <c r="BL297" s="779"/>
      <c r="BM297" s="779"/>
      <c r="BN297" s="779"/>
      <c r="BO297" s="779"/>
      <c r="BP297" s="779"/>
      <c r="BQ297" s="779"/>
      <c r="BR297" s="779"/>
      <c r="BS297" s="779"/>
      <c r="BT297" s="779"/>
      <c r="BU297" s="779"/>
      <c r="BV297" s="779"/>
      <c r="BW297" s="779"/>
      <c r="BX297" s="779"/>
      <c r="BY297" s="779"/>
      <c r="BZ297" s="779"/>
      <c r="CA297" s="779"/>
      <c r="CB297" s="779"/>
      <c r="CC297" s="779"/>
    </row>
    <row r="298" spans="1:81">
      <c r="A298" s="779"/>
      <c r="B298" s="779"/>
      <c r="C298" s="779"/>
      <c r="D298" s="779"/>
      <c r="E298" s="779"/>
      <c r="F298" s="779"/>
      <c r="G298" s="779"/>
      <c r="H298" s="779"/>
      <c r="I298" s="779"/>
      <c r="J298" s="779"/>
      <c r="K298" s="779"/>
      <c r="L298" s="779"/>
      <c r="M298" s="779"/>
      <c r="N298" s="779"/>
      <c r="O298" s="779"/>
      <c r="P298" s="779"/>
      <c r="Q298" s="779"/>
      <c r="R298" s="779"/>
      <c r="S298" s="779"/>
      <c r="T298" s="779"/>
      <c r="U298" s="779"/>
      <c r="V298" s="779"/>
      <c r="W298" s="779"/>
      <c r="X298" s="779"/>
      <c r="Y298" s="779"/>
      <c r="Z298" s="779"/>
      <c r="AA298" s="779"/>
      <c r="AB298" s="779"/>
      <c r="AC298" s="779"/>
      <c r="AD298" s="779"/>
      <c r="AE298" s="779"/>
      <c r="AF298" s="779"/>
      <c r="AG298" s="779"/>
      <c r="AH298" s="779"/>
      <c r="AI298" s="779"/>
      <c r="AJ298" s="779"/>
      <c r="AK298" s="779"/>
      <c r="AL298" s="779"/>
      <c r="AM298" s="779"/>
      <c r="AN298" s="779"/>
      <c r="AO298" s="779"/>
      <c r="AP298" s="779"/>
      <c r="AQ298" s="779"/>
      <c r="AR298" s="779"/>
      <c r="AS298" s="779"/>
      <c r="AT298" s="779"/>
      <c r="AU298" s="779"/>
      <c r="AV298" s="779"/>
      <c r="AW298" s="779"/>
      <c r="AX298" s="779"/>
      <c r="AY298" s="779"/>
      <c r="AZ298" s="779"/>
      <c r="BA298" s="779"/>
      <c r="BB298" s="779"/>
      <c r="BC298" s="779"/>
      <c r="BD298" s="779"/>
      <c r="BE298" s="779"/>
      <c r="BF298" s="779"/>
      <c r="BG298" s="779"/>
      <c r="BH298" s="779"/>
      <c r="BI298" s="779"/>
      <c r="BJ298" s="779"/>
      <c r="BK298" s="779"/>
      <c r="BL298" s="779"/>
      <c r="BM298" s="779"/>
      <c r="BN298" s="779"/>
      <c r="BO298" s="779"/>
      <c r="BP298" s="779"/>
      <c r="BQ298" s="779"/>
      <c r="BR298" s="779"/>
      <c r="BS298" s="779"/>
      <c r="BT298" s="779"/>
      <c r="BU298" s="779"/>
      <c r="BV298" s="779"/>
      <c r="BW298" s="779"/>
      <c r="BX298" s="779"/>
      <c r="BY298" s="779"/>
      <c r="BZ298" s="779"/>
      <c r="CA298" s="779"/>
      <c r="CB298" s="779"/>
      <c r="CC298" s="779"/>
    </row>
    <row r="299" spans="1:81">
      <c r="A299" s="779"/>
      <c r="B299" s="779"/>
      <c r="C299" s="779"/>
      <c r="D299" s="779"/>
      <c r="E299" s="779"/>
      <c r="F299" s="779"/>
      <c r="G299" s="779"/>
      <c r="H299" s="779"/>
      <c r="I299" s="779"/>
      <c r="J299" s="779"/>
      <c r="K299" s="779"/>
      <c r="L299" s="779"/>
      <c r="M299" s="779"/>
      <c r="N299" s="779"/>
      <c r="O299" s="779"/>
      <c r="P299" s="779"/>
      <c r="Q299" s="779"/>
      <c r="R299" s="779"/>
      <c r="S299" s="779"/>
      <c r="T299" s="779"/>
      <c r="U299" s="779"/>
      <c r="V299" s="779"/>
      <c r="W299" s="779"/>
      <c r="X299" s="779"/>
      <c r="Y299" s="779"/>
      <c r="Z299" s="779"/>
      <c r="AA299" s="779"/>
      <c r="AB299" s="779"/>
      <c r="AC299" s="779"/>
      <c r="AD299" s="779"/>
      <c r="AE299" s="779"/>
      <c r="AF299" s="779"/>
      <c r="AG299" s="779"/>
      <c r="AH299" s="779"/>
      <c r="AI299" s="779"/>
      <c r="AJ299" s="779"/>
      <c r="AK299" s="779"/>
      <c r="AL299" s="779"/>
      <c r="AM299" s="779"/>
      <c r="AN299" s="779"/>
      <c r="AO299" s="779"/>
      <c r="AP299" s="779"/>
      <c r="AQ299" s="779"/>
      <c r="AR299" s="779"/>
      <c r="AS299" s="779"/>
      <c r="AT299" s="779"/>
      <c r="AU299" s="779"/>
      <c r="AV299" s="779"/>
      <c r="AW299" s="779"/>
      <c r="AX299" s="779"/>
      <c r="AY299" s="779"/>
      <c r="AZ299" s="779"/>
      <c r="BA299" s="779"/>
      <c r="BB299" s="779"/>
      <c r="BC299" s="779"/>
      <c r="BD299" s="779"/>
      <c r="BE299" s="779"/>
      <c r="BF299" s="779"/>
      <c r="BG299" s="779"/>
      <c r="BH299" s="779"/>
      <c r="BI299" s="779"/>
      <c r="BJ299" s="779"/>
      <c r="BK299" s="779"/>
      <c r="BL299" s="779"/>
      <c r="BM299" s="779"/>
      <c r="BN299" s="779"/>
      <c r="BO299" s="779"/>
      <c r="BP299" s="779"/>
      <c r="BQ299" s="779"/>
      <c r="BR299" s="779"/>
      <c r="BS299" s="779"/>
      <c r="BT299" s="779"/>
      <c r="BU299" s="779"/>
      <c r="BV299" s="779"/>
      <c r="BW299" s="779"/>
      <c r="BX299" s="779"/>
      <c r="BY299" s="779"/>
      <c r="BZ299" s="779"/>
      <c r="CA299" s="779"/>
      <c r="CB299" s="779"/>
      <c r="CC299" s="779"/>
    </row>
    <row r="300" spans="1:81">
      <c r="A300" s="779"/>
      <c r="B300" s="779"/>
      <c r="C300" s="779"/>
      <c r="D300" s="779"/>
      <c r="E300" s="779"/>
      <c r="F300" s="779"/>
      <c r="G300" s="779"/>
      <c r="H300" s="779"/>
      <c r="I300" s="779"/>
      <c r="J300" s="779"/>
      <c r="K300" s="779"/>
      <c r="L300" s="779"/>
      <c r="M300" s="779"/>
      <c r="N300" s="779"/>
      <c r="O300" s="779"/>
      <c r="P300" s="779"/>
      <c r="Q300" s="779"/>
      <c r="R300" s="779"/>
      <c r="S300" s="779"/>
      <c r="T300" s="779"/>
      <c r="U300" s="779"/>
      <c r="V300" s="779"/>
      <c r="W300" s="779"/>
      <c r="X300" s="779"/>
      <c r="Y300" s="779"/>
      <c r="Z300" s="779"/>
      <c r="AA300" s="779"/>
      <c r="AB300" s="779"/>
      <c r="AC300" s="779"/>
      <c r="AD300" s="779"/>
      <c r="AE300" s="779"/>
      <c r="AF300" s="779"/>
      <c r="AG300" s="779"/>
      <c r="AH300" s="779"/>
      <c r="AI300" s="779"/>
      <c r="AJ300" s="779"/>
      <c r="AK300" s="779"/>
      <c r="AL300" s="779"/>
      <c r="AM300" s="779"/>
      <c r="AN300" s="779"/>
      <c r="AO300" s="779"/>
      <c r="AP300" s="779"/>
      <c r="AQ300" s="779"/>
      <c r="AR300" s="779"/>
      <c r="AS300" s="779"/>
      <c r="AT300" s="779"/>
      <c r="AU300" s="779"/>
      <c r="AV300" s="779"/>
      <c r="AW300" s="779"/>
      <c r="AX300" s="779"/>
      <c r="AY300" s="779"/>
      <c r="AZ300" s="779"/>
      <c r="BA300" s="779"/>
      <c r="BB300" s="779"/>
      <c r="BC300" s="779"/>
      <c r="BD300" s="779"/>
      <c r="BE300" s="779"/>
      <c r="BF300" s="779"/>
      <c r="BG300" s="779"/>
      <c r="BH300" s="779"/>
      <c r="BI300" s="779"/>
      <c r="BJ300" s="779"/>
      <c r="BK300" s="779"/>
      <c r="BL300" s="779"/>
      <c r="BM300" s="779"/>
      <c r="BN300" s="779"/>
      <c r="BO300" s="779"/>
      <c r="BP300" s="779"/>
      <c r="BQ300" s="779"/>
      <c r="BR300" s="779"/>
      <c r="BS300" s="779"/>
      <c r="BT300" s="779"/>
      <c r="BU300" s="779"/>
      <c r="BV300" s="779"/>
      <c r="BW300" s="779"/>
      <c r="BX300" s="779"/>
      <c r="BY300" s="779"/>
      <c r="BZ300" s="779"/>
      <c r="CA300" s="779"/>
      <c r="CB300" s="779"/>
      <c r="CC300" s="779"/>
    </row>
    <row r="301" spans="1:81">
      <c r="A301" s="779"/>
      <c r="B301" s="779"/>
      <c r="C301" s="779"/>
      <c r="D301" s="779"/>
      <c r="E301" s="779"/>
      <c r="F301" s="779"/>
      <c r="G301" s="779"/>
      <c r="H301" s="779"/>
      <c r="I301" s="779"/>
      <c r="J301" s="779"/>
      <c r="K301" s="779"/>
      <c r="L301" s="779"/>
      <c r="M301" s="779"/>
      <c r="N301" s="779"/>
      <c r="O301" s="779"/>
      <c r="P301" s="779"/>
      <c r="Q301" s="779"/>
      <c r="R301" s="779"/>
      <c r="S301" s="779"/>
      <c r="T301" s="779"/>
      <c r="U301" s="779"/>
      <c r="V301" s="779"/>
      <c r="W301" s="779"/>
      <c r="X301" s="779"/>
      <c r="Y301" s="779"/>
      <c r="Z301" s="779"/>
      <c r="AA301" s="779"/>
      <c r="AB301" s="779"/>
      <c r="AC301" s="779"/>
      <c r="AD301" s="779"/>
      <c r="AE301" s="779"/>
      <c r="AF301" s="779"/>
      <c r="AG301" s="779"/>
      <c r="AH301" s="779"/>
      <c r="AI301" s="779"/>
      <c r="AJ301" s="779"/>
      <c r="AK301" s="779"/>
      <c r="AL301" s="779"/>
      <c r="AM301" s="779"/>
      <c r="AN301" s="779"/>
      <c r="AO301" s="779"/>
      <c r="AP301" s="779"/>
      <c r="AQ301" s="779"/>
      <c r="AR301" s="779"/>
      <c r="AS301" s="779"/>
      <c r="AT301" s="779"/>
      <c r="AU301" s="779"/>
      <c r="AV301" s="779"/>
      <c r="AW301" s="779"/>
      <c r="AX301" s="779"/>
      <c r="AY301" s="779"/>
      <c r="AZ301" s="779"/>
      <c r="BA301" s="779"/>
      <c r="BB301" s="779"/>
      <c r="BC301" s="779"/>
      <c r="BD301" s="779"/>
      <c r="BE301" s="779"/>
      <c r="BF301" s="779"/>
      <c r="BG301" s="779"/>
      <c r="BH301" s="779"/>
      <c r="BI301" s="779"/>
      <c r="BJ301" s="779"/>
      <c r="BK301" s="779"/>
      <c r="BL301" s="779"/>
      <c r="BM301" s="779"/>
      <c r="BN301" s="779"/>
      <c r="BO301" s="779"/>
      <c r="BP301" s="779"/>
      <c r="BQ301" s="779"/>
      <c r="BR301" s="779"/>
      <c r="BS301" s="779"/>
      <c r="BT301" s="779"/>
      <c r="BU301" s="779"/>
      <c r="BV301" s="779"/>
      <c r="BW301" s="779"/>
      <c r="BX301" s="779"/>
      <c r="BY301" s="779"/>
      <c r="BZ301" s="779"/>
      <c r="CA301" s="779"/>
      <c r="CB301" s="779"/>
      <c r="CC301" s="779"/>
    </row>
    <row r="302" spans="1:81">
      <c r="A302" s="779"/>
      <c r="B302" s="779"/>
      <c r="C302" s="779"/>
      <c r="D302" s="779"/>
      <c r="E302" s="779"/>
      <c r="F302" s="779"/>
      <c r="G302" s="779"/>
      <c r="H302" s="779"/>
      <c r="I302" s="779"/>
      <c r="J302" s="779"/>
      <c r="K302" s="779"/>
      <c r="L302" s="779"/>
      <c r="M302" s="779"/>
      <c r="N302" s="779"/>
      <c r="O302" s="779"/>
      <c r="P302" s="779"/>
      <c r="Q302" s="779"/>
      <c r="R302" s="779"/>
      <c r="S302" s="779"/>
      <c r="T302" s="779"/>
      <c r="U302" s="779"/>
      <c r="V302" s="779"/>
      <c r="W302" s="779"/>
      <c r="X302" s="779"/>
      <c r="Y302" s="779"/>
      <c r="Z302" s="779"/>
      <c r="AA302" s="779"/>
      <c r="AB302" s="779"/>
      <c r="AC302" s="779"/>
      <c r="AD302" s="779"/>
      <c r="AE302" s="779"/>
      <c r="AF302" s="779"/>
      <c r="AG302" s="779"/>
      <c r="AH302" s="779"/>
      <c r="AI302" s="779"/>
      <c r="AJ302" s="779"/>
      <c r="AK302" s="779"/>
      <c r="AL302" s="779"/>
      <c r="AM302" s="779"/>
      <c r="AN302" s="779"/>
      <c r="AO302" s="779"/>
      <c r="AP302" s="779"/>
      <c r="AQ302" s="779"/>
      <c r="AR302" s="779"/>
      <c r="AS302" s="779"/>
      <c r="AT302" s="779"/>
      <c r="AU302" s="779"/>
      <c r="AV302" s="779"/>
      <c r="AW302" s="779"/>
      <c r="AX302" s="779"/>
      <c r="AY302" s="779"/>
      <c r="AZ302" s="779"/>
      <c r="BA302" s="779"/>
      <c r="BB302" s="779"/>
      <c r="BC302" s="779"/>
      <c r="BD302" s="779"/>
      <c r="BE302" s="779"/>
      <c r="BF302" s="779"/>
      <c r="BG302" s="779"/>
      <c r="BH302" s="779"/>
      <c r="BI302" s="779"/>
      <c r="BJ302" s="779"/>
      <c r="BK302" s="779"/>
      <c r="BL302" s="779"/>
      <c r="BM302" s="779"/>
      <c r="BN302" s="779"/>
      <c r="BO302" s="779"/>
      <c r="BP302" s="779"/>
      <c r="BQ302" s="779"/>
      <c r="BR302" s="779"/>
      <c r="BS302" s="779"/>
      <c r="BT302" s="779"/>
      <c r="BU302" s="779"/>
      <c r="BV302" s="779"/>
      <c r="BW302" s="779"/>
      <c r="BX302" s="779"/>
      <c r="BY302" s="779"/>
      <c r="BZ302" s="779"/>
      <c r="CA302" s="779"/>
      <c r="CB302" s="779"/>
      <c r="CC302" s="779"/>
    </row>
    <row r="303" spans="1:81">
      <c r="A303" s="779"/>
      <c r="B303" s="779"/>
      <c r="C303" s="779"/>
      <c r="D303" s="779"/>
      <c r="E303" s="779"/>
      <c r="F303" s="779"/>
      <c r="G303" s="779"/>
      <c r="H303" s="779"/>
      <c r="I303" s="779"/>
      <c r="J303" s="779"/>
      <c r="K303" s="779"/>
      <c r="L303" s="779"/>
      <c r="M303" s="779"/>
      <c r="N303" s="779"/>
      <c r="O303" s="779"/>
      <c r="P303" s="779"/>
      <c r="Q303" s="779"/>
      <c r="R303" s="779"/>
      <c r="S303" s="779"/>
      <c r="T303" s="779"/>
      <c r="U303" s="779"/>
      <c r="V303" s="779"/>
      <c r="W303" s="779"/>
      <c r="X303" s="779"/>
      <c r="Y303" s="779"/>
      <c r="Z303" s="779"/>
      <c r="AA303" s="779"/>
      <c r="AB303" s="779"/>
      <c r="AC303" s="779"/>
      <c r="AD303" s="779"/>
      <c r="AE303" s="779"/>
      <c r="AF303" s="779"/>
      <c r="AG303" s="779"/>
      <c r="AH303" s="779"/>
      <c r="AI303" s="779"/>
      <c r="AJ303" s="779"/>
      <c r="AK303" s="779"/>
      <c r="AL303" s="779"/>
      <c r="AM303" s="779"/>
      <c r="AN303" s="779"/>
      <c r="AO303" s="779"/>
      <c r="AP303" s="779"/>
      <c r="AQ303" s="779"/>
      <c r="AR303" s="779"/>
      <c r="AS303" s="779"/>
      <c r="AT303" s="779"/>
      <c r="AU303" s="779"/>
      <c r="AV303" s="779"/>
      <c r="AW303" s="779"/>
      <c r="AX303" s="779"/>
      <c r="AY303" s="779"/>
      <c r="AZ303" s="779"/>
      <c r="BA303" s="779"/>
      <c r="BB303" s="779"/>
      <c r="BC303" s="779"/>
      <c r="BD303" s="779"/>
      <c r="BE303" s="779"/>
      <c r="BF303" s="779"/>
      <c r="BG303" s="779"/>
      <c r="BH303" s="779"/>
      <c r="BI303" s="779"/>
      <c r="BJ303" s="779"/>
      <c r="BK303" s="779"/>
      <c r="BL303" s="779"/>
      <c r="BM303" s="779"/>
      <c r="BN303" s="779"/>
      <c r="BO303" s="779"/>
      <c r="BP303" s="779"/>
      <c r="BQ303" s="779"/>
      <c r="BR303" s="779"/>
      <c r="BS303" s="779"/>
      <c r="BT303" s="779"/>
      <c r="BU303" s="779"/>
      <c r="BV303" s="779"/>
      <c r="BW303" s="779"/>
      <c r="BX303" s="779"/>
      <c r="BY303" s="779"/>
      <c r="BZ303" s="779"/>
      <c r="CA303" s="779"/>
      <c r="CB303" s="779"/>
      <c r="CC303" s="779"/>
    </row>
    <row r="304" spans="1:81">
      <c r="A304" s="779"/>
      <c r="B304" s="779"/>
      <c r="C304" s="779"/>
      <c r="D304" s="779"/>
      <c r="E304" s="779"/>
      <c r="F304" s="779"/>
      <c r="G304" s="779"/>
      <c r="H304" s="779"/>
      <c r="I304" s="779"/>
      <c r="J304" s="779"/>
      <c r="K304" s="779"/>
      <c r="L304" s="779"/>
      <c r="M304" s="779"/>
      <c r="N304" s="779"/>
      <c r="O304" s="779"/>
      <c r="P304" s="779"/>
      <c r="Q304" s="779"/>
      <c r="R304" s="779"/>
      <c r="S304" s="779"/>
      <c r="T304" s="779"/>
      <c r="U304" s="779"/>
      <c r="V304" s="779"/>
      <c r="W304" s="779"/>
      <c r="X304" s="779"/>
      <c r="Y304" s="779"/>
      <c r="Z304" s="779"/>
      <c r="AA304" s="779"/>
      <c r="AB304" s="779"/>
      <c r="AC304" s="779"/>
      <c r="AD304" s="779"/>
      <c r="AE304" s="779"/>
      <c r="AF304" s="779"/>
      <c r="AG304" s="779"/>
      <c r="AH304" s="779"/>
      <c r="AI304" s="779"/>
      <c r="AJ304" s="779"/>
      <c r="AK304" s="779"/>
      <c r="AL304" s="779"/>
      <c r="AM304" s="779"/>
      <c r="AN304" s="779"/>
      <c r="AO304" s="779"/>
      <c r="AP304" s="779"/>
      <c r="AQ304" s="779"/>
      <c r="AR304" s="779"/>
      <c r="AS304" s="779"/>
      <c r="AT304" s="779"/>
      <c r="AU304" s="779"/>
      <c r="AV304" s="779"/>
      <c r="AW304" s="779"/>
      <c r="AX304" s="779"/>
      <c r="AY304" s="779"/>
      <c r="AZ304" s="779"/>
      <c r="BA304" s="779"/>
      <c r="BB304" s="779"/>
      <c r="BC304" s="779"/>
      <c r="BD304" s="779"/>
      <c r="BE304" s="779"/>
      <c r="BF304" s="779"/>
      <c r="BG304" s="779"/>
      <c r="BH304" s="779"/>
      <c r="BI304" s="779"/>
      <c r="BJ304" s="779"/>
      <c r="BK304" s="779"/>
      <c r="BL304" s="779"/>
      <c r="BM304" s="779"/>
      <c r="BN304" s="779"/>
      <c r="BO304" s="779"/>
      <c r="BP304" s="779"/>
      <c r="BQ304" s="779"/>
      <c r="BR304" s="779"/>
      <c r="BS304" s="779"/>
      <c r="BT304" s="779"/>
      <c r="BU304" s="779"/>
      <c r="BV304" s="779"/>
      <c r="BW304" s="779"/>
      <c r="BX304" s="779"/>
      <c r="BY304" s="779"/>
      <c r="BZ304" s="779"/>
      <c r="CA304" s="779"/>
      <c r="CB304" s="779"/>
      <c r="CC304" s="779"/>
    </row>
    <row r="305" spans="1:81">
      <c r="A305" s="779"/>
      <c r="B305" s="779"/>
      <c r="C305" s="779"/>
      <c r="D305" s="779"/>
      <c r="E305" s="779"/>
      <c r="F305" s="779"/>
      <c r="G305" s="779"/>
      <c r="H305" s="779"/>
      <c r="I305" s="779"/>
      <c r="J305" s="779"/>
      <c r="K305" s="779"/>
      <c r="L305" s="779"/>
      <c r="M305" s="779"/>
      <c r="N305" s="779"/>
      <c r="O305" s="779"/>
      <c r="P305" s="779"/>
      <c r="Q305" s="779"/>
      <c r="R305" s="779"/>
      <c r="S305" s="779"/>
      <c r="T305" s="779"/>
      <c r="U305" s="779"/>
      <c r="V305" s="779"/>
      <c r="W305" s="779"/>
      <c r="X305" s="779"/>
      <c r="Y305" s="779"/>
      <c r="Z305" s="779"/>
      <c r="AA305" s="779"/>
      <c r="AB305" s="779"/>
      <c r="AC305" s="779"/>
      <c r="AD305" s="779"/>
      <c r="AE305" s="779"/>
      <c r="AF305" s="779"/>
      <c r="AG305" s="779"/>
      <c r="AH305" s="779"/>
      <c r="AI305" s="779"/>
      <c r="AJ305" s="779"/>
      <c r="AK305" s="779"/>
      <c r="AL305" s="779"/>
      <c r="AM305" s="779"/>
      <c r="AN305" s="779"/>
      <c r="AO305" s="779"/>
      <c r="AP305" s="779"/>
      <c r="AQ305" s="779"/>
      <c r="AR305" s="779"/>
      <c r="AS305" s="779"/>
      <c r="AT305" s="779"/>
      <c r="AU305" s="779"/>
      <c r="AV305" s="779"/>
      <c r="AW305" s="779"/>
      <c r="AX305" s="779"/>
      <c r="AY305" s="779"/>
      <c r="AZ305" s="779"/>
      <c r="BA305" s="779"/>
      <c r="BB305" s="779"/>
      <c r="BC305" s="779"/>
      <c r="BD305" s="779"/>
      <c r="BE305" s="779"/>
      <c r="BF305" s="779"/>
      <c r="BG305" s="779"/>
      <c r="BH305" s="779"/>
      <c r="BI305" s="779"/>
      <c r="BJ305" s="779"/>
      <c r="BK305" s="779"/>
      <c r="BL305" s="779"/>
      <c r="BM305" s="779"/>
      <c r="BN305" s="779"/>
      <c r="BO305" s="779"/>
      <c r="BP305" s="779"/>
      <c r="BQ305" s="779"/>
      <c r="BR305" s="779"/>
      <c r="BS305" s="779"/>
      <c r="BT305" s="779"/>
      <c r="BU305" s="779"/>
      <c r="BV305" s="779"/>
      <c r="BW305" s="779"/>
      <c r="BX305" s="779"/>
      <c r="BY305" s="779"/>
      <c r="BZ305" s="779"/>
      <c r="CA305" s="779"/>
      <c r="CB305" s="779"/>
      <c r="CC305" s="779"/>
    </row>
    <row r="306" spans="1:81">
      <c r="A306" s="779"/>
      <c r="B306" s="779"/>
      <c r="C306" s="779"/>
      <c r="D306" s="779"/>
      <c r="E306" s="779"/>
      <c r="F306" s="779"/>
      <c r="G306" s="779"/>
      <c r="H306" s="779"/>
      <c r="I306" s="779"/>
      <c r="J306" s="779"/>
      <c r="K306" s="779"/>
      <c r="L306" s="779"/>
      <c r="M306" s="779"/>
      <c r="N306" s="779"/>
      <c r="O306" s="779"/>
      <c r="P306" s="779"/>
      <c r="Q306" s="779"/>
      <c r="R306" s="779"/>
      <c r="S306" s="779"/>
      <c r="T306" s="779"/>
      <c r="U306" s="779"/>
      <c r="V306" s="779"/>
      <c r="W306" s="779"/>
      <c r="X306" s="779"/>
      <c r="Y306" s="779"/>
      <c r="Z306" s="779"/>
      <c r="AA306" s="779"/>
      <c r="AB306" s="779"/>
      <c r="AC306" s="779"/>
      <c r="AD306" s="779"/>
      <c r="AE306" s="779"/>
      <c r="AF306" s="779"/>
      <c r="AG306" s="779"/>
      <c r="AH306" s="779"/>
      <c r="AI306" s="779"/>
      <c r="AJ306" s="779"/>
      <c r="AK306" s="779"/>
      <c r="AL306" s="779"/>
      <c r="AM306" s="779"/>
      <c r="AN306" s="779"/>
      <c r="AO306" s="779"/>
      <c r="AP306" s="779"/>
      <c r="AQ306" s="779"/>
      <c r="AR306" s="779"/>
      <c r="AS306" s="779"/>
      <c r="AT306" s="779"/>
      <c r="AU306" s="779"/>
      <c r="AV306" s="779"/>
      <c r="AW306" s="779"/>
      <c r="AX306" s="779"/>
      <c r="AY306" s="779"/>
      <c r="AZ306" s="779"/>
      <c r="BA306" s="779"/>
      <c r="BB306" s="779"/>
      <c r="BC306" s="779"/>
      <c r="BD306" s="779"/>
      <c r="BE306" s="779"/>
      <c r="BF306" s="779"/>
      <c r="BG306" s="779"/>
      <c r="BH306" s="779"/>
      <c r="BI306" s="779"/>
      <c r="BJ306" s="779"/>
      <c r="BK306" s="779"/>
      <c r="BL306" s="779"/>
      <c r="BM306" s="779"/>
      <c r="BN306" s="779"/>
      <c r="BO306" s="779"/>
      <c r="BP306" s="779"/>
      <c r="BQ306" s="779"/>
      <c r="BR306" s="779"/>
      <c r="BS306" s="779"/>
      <c r="BT306" s="779"/>
      <c r="BU306" s="779"/>
      <c r="BV306" s="779"/>
      <c r="BW306" s="779"/>
      <c r="BX306" s="779"/>
      <c r="BY306" s="779"/>
      <c r="BZ306" s="779"/>
      <c r="CA306" s="779"/>
      <c r="CB306" s="779"/>
      <c r="CC306" s="779"/>
    </row>
    <row r="307" spans="1:81">
      <c r="A307" s="779"/>
      <c r="B307" s="779"/>
      <c r="C307" s="779"/>
      <c r="D307" s="779"/>
      <c r="E307" s="779"/>
      <c r="F307" s="779"/>
      <c r="G307" s="779"/>
      <c r="H307" s="779"/>
      <c r="I307" s="779"/>
      <c r="J307" s="779"/>
      <c r="K307" s="779"/>
      <c r="L307" s="779"/>
      <c r="M307" s="779"/>
      <c r="N307" s="779"/>
      <c r="O307" s="779"/>
      <c r="P307" s="779"/>
      <c r="Q307" s="779"/>
      <c r="R307" s="779"/>
      <c r="S307" s="779"/>
      <c r="T307" s="779"/>
      <c r="U307" s="779"/>
      <c r="V307" s="779"/>
      <c r="W307" s="779"/>
      <c r="X307" s="779"/>
      <c r="Y307" s="779"/>
      <c r="Z307" s="779"/>
      <c r="AA307" s="779"/>
      <c r="AB307" s="779"/>
      <c r="AC307" s="779"/>
      <c r="AD307" s="779"/>
      <c r="AE307" s="779"/>
      <c r="AF307" s="779"/>
      <c r="AG307" s="779"/>
      <c r="AH307" s="779"/>
      <c r="AI307" s="779"/>
      <c r="AJ307" s="779"/>
      <c r="AK307" s="779"/>
      <c r="AL307" s="779"/>
      <c r="AM307" s="779"/>
      <c r="AN307" s="779"/>
      <c r="AO307" s="779"/>
      <c r="AP307" s="779"/>
      <c r="AQ307" s="779"/>
      <c r="AR307" s="779"/>
      <c r="AS307" s="779"/>
      <c r="AT307" s="779"/>
      <c r="AU307" s="779"/>
      <c r="AV307" s="779"/>
      <c r="AW307" s="779"/>
      <c r="AX307" s="779"/>
      <c r="AY307" s="779"/>
      <c r="AZ307" s="779"/>
      <c r="BA307" s="779"/>
      <c r="BB307" s="779"/>
      <c r="BC307" s="779"/>
      <c r="BD307" s="779"/>
      <c r="BE307" s="779"/>
      <c r="BF307" s="779"/>
      <c r="BG307" s="779"/>
      <c r="BH307" s="779"/>
      <c r="BI307" s="779"/>
      <c r="BJ307" s="779"/>
      <c r="BK307" s="779"/>
      <c r="BL307" s="779"/>
      <c r="BM307" s="779"/>
      <c r="BN307" s="779"/>
      <c r="BO307" s="779"/>
      <c r="BP307" s="779"/>
      <c r="BQ307" s="779"/>
      <c r="BR307" s="779"/>
      <c r="BS307" s="779"/>
      <c r="BT307" s="779"/>
      <c r="BU307" s="779"/>
      <c r="BV307" s="779"/>
      <c r="BW307" s="779"/>
      <c r="BX307" s="779"/>
      <c r="BY307" s="779"/>
      <c r="BZ307" s="779"/>
      <c r="CA307" s="779"/>
      <c r="CB307" s="779"/>
      <c r="CC307" s="779"/>
    </row>
    <row r="308" spans="1:81">
      <c r="A308" s="779"/>
      <c r="B308" s="779"/>
      <c r="C308" s="779"/>
      <c r="D308" s="779"/>
      <c r="E308" s="779"/>
      <c r="F308" s="779"/>
      <c r="G308" s="779"/>
      <c r="H308" s="779"/>
      <c r="I308" s="779"/>
      <c r="J308" s="779"/>
      <c r="K308" s="779"/>
      <c r="L308" s="779"/>
      <c r="M308" s="779"/>
      <c r="N308" s="779"/>
      <c r="O308" s="779"/>
      <c r="P308" s="779"/>
      <c r="Q308" s="779"/>
      <c r="R308" s="779"/>
      <c r="S308" s="779"/>
      <c r="T308" s="779"/>
      <c r="U308" s="779"/>
      <c r="V308" s="779"/>
      <c r="W308" s="779"/>
      <c r="X308" s="779"/>
      <c r="Y308" s="779"/>
      <c r="Z308" s="779"/>
      <c r="AA308" s="779"/>
      <c r="AB308" s="779"/>
      <c r="AC308" s="779"/>
      <c r="AD308" s="779"/>
      <c r="AE308" s="779"/>
      <c r="AF308" s="779"/>
      <c r="AG308" s="779"/>
      <c r="AH308" s="779"/>
      <c r="AI308" s="779"/>
      <c r="AJ308" s="779"/>
      <c r="AK308" s="779"/>
      <c r="AL308" s="779"/>
      <c r="AM308" s="779"/>
      <c r="AN308" s="779"/>
      <c r="AO308" s="779"/>
      <c r="AP308" s="779"/>
      <c r="AQ308" s="779"/>
      <c r="AR308" s="779"/>
      <c r="AS308" s="779"/>
      <c r="AT308" s="779"/>
      <c r="AU308" s="779"/>
      <c r="AV308" s="779"/>
      <c r="AW308" s="779"/>
      <c r="AX308" s="779"/>
      <c r="AY308" s="779"/>
      <c r="AZ308" s="779"/>
      <c r="BA308" s="779"/>
      <c r="BB308" s="779"/>
      <c r="BC308" s="779"/>
      <c r="BD308" s="779"/>
      <c r="BE308" s="779"/>
      <c r="BF308" s="779"/>
      <c r="BG308" s="779"/>
      <c r="BH308" s="779"/>
      <c r="BI308" s="779"/>
      <c r="BJ308" s="779"/>
      <c r="BK308" s="779"/>
      <c r="BL308" s="779"/>
      <c r="BM308" s="779"/>
      <c r="BN308" s="779"/>
      <c r="BO308" s="779"/>
      <c r="BP308" s="779"/>
      <c r="BQ308" s="779"/>
      <c r="BR308" s="779"/>
      <c r="BS308" s="779"/>
      <c r="BT308" s="779"/>
      <c r="BU308" s="779"/>
      <c r="BV308" s="779"/>
      <c r="BW308" s="779"/>
      <c r="BX308" s="779"/>
      <c r="BY308" s="779"/>
      <c r="BZ308" s="779"/>
      <c r="CA308" s="779"/>
      <c r="CB308" s="779"/>
      <c r="CC308" s="779"/>
    </row>
    <row r="309" spans="1:81">
      <c r="A309" s="779"/>
      <c r="B309" s="779"/>
      <c r="C309" s="779"/>
      <c r="D309" s="779"/>
      <c r="E309" s="779"/>
      <c r="F309" s="779"/>
      <c r="G309" s="779"/>
      <c r="H309" s="779"/>
      <c r="I309" s="779"/>
      <c r="J309" s="779"/>
      <c r="K309" s="779"/>
      <c r="L309" s="779"/>
      <c r="M309" s="779"/>
      <c r="N309" s="779"/>
      <c r="O309" s="779"/>
      <c r="P309" s="779"/>
      <c r="Q309" s="779"/>
      <c r="R309" s="779"/>
      <c r="S309" s="779"/>
      <c r="T309" s="779"/>
      <c r="U309" s="779"/>
      <c r="V309" s="779"/>
      <c r="W309" s="779"/>
      <c r="X309" s="779"/>
      <c r="Y309" s="779"/>
      <c r="Z309" s="779"/>
      <c r="AA309" s="779"/>
      <c r="AB309" s="779"/>
      <c r="AC309" s="779"/>
      <c r="AD309" s="779"/>
      <c r="AE309" s="779"/>
      <c r="AF309" s="779"/>
      <c r="AG309" s="779"/>
      <c r="AH309" s="779"/>
      <c r="AI309" s="779"/>
      <c r="AJ309" s="779"/>
      <c r="AK309" s="779"/>
      <c r="AL309" s="779"/>
      <c r="AM309" s="779"/>
      <c r="AN309" s="779"/>
      <c r="AO309" s="779"/>
      <c r="AP309" s="779"/>
      <c r="AQ309" s="779"/>
      <c r="AR309" s="779"/>
      <c r="AS309" s="779"/>
      <c r="AT309" s="779"/>
      <c r="AU309" s="779"/>
      <c r="AV309" s="779"/>
      <c r="AW309" s="779"/>
      <c r="AX309" s="779"/>
      <c r="AY309" s="779"/>
      <c r="AZ309" s="779"/>
      <c r="BA309" s="779"/>
      <c r="BB309" s="779"/>
      <c r="BC309" s="779"/>
      <c r="BD309" s="779"/>
      <c r="BE309" s="779"/>
      <c r="BF309" s="779"/>
      <c r="BG309" s="779"/>
      <c r="BH309" s="779"/>
      <c r="BI309" s="779"/>
      <c r="BJ309" s="779"/>
      <c r="BK309" s="779"/>
      <c r="BL309" s="779"/>
      <c r="BM309" s="779"/>
      <c r="BN309" s="779"/>
      <c r="BO309" s="779"/>
      <c r="BP309" s="779"/>
      <c r="BQ309" s="779"/>
      <c r="BR309" s="779"/>
      <c r="BS309" s="779"/>
      <c r="BT309" s="779"/>
      <c r="BU309" s="779"/>
      <c r="BV309" s="779"/>
      <c r="BW309" s="779"/>
      <c r="BX309" s="779"/>
      <c r="BY309" s="779"/>
      <c r="BZ309" s="779"/>
      <c r="CA309" s="779"/>
      <c r="CB309" s="779"/>
      <c r="CC309" s="779"/>
    </row>
    <row r="310" spans="1:81">
      <c r="A310" s="779"/>
      <c r="B310" s="779"/>
      <c r="C310" s="779"/>
      <c r="D310" s="779"/>
      <c r="E310" s="779"/>
      <c r="F310" s="779"/>
      <c r="G310" s="779"/>
      <c r="H310" s="779"/>
      <c r="I310" s="779"/>
      <c r="J310" s="779"/>
      <c r="K310" s="779"/>
      <c r="L310" s="779"/>
      <c r="M310" s="779"/>
      <c r="N310" s="779"/>
      <c r="O310" s="779"/>
      <c r="P310" s="779"/>
      <c r="Q310" s="779"/>
      <c r="R310" s="779"/>
      <c r="S310" s="779"/>
      <c r="T310" s="779"/>
      <c r="U310" s="779"/>
      <c r="V310" s="779"/>
      <c r="W310" s="779"/>
      <c r="X310" s="779"/>
      <c r="Y310" s="779"/>
      <c r="Z310" s="779"/>
      <c r="AA310" s="779"/>
      <c r="AB310" s="779"/>
      <c r="AC310" s="779"/>
      <c r="AD310" s="779"/>
      <c r="AE310" s="779"/>
      <c r="AF310" s="779"/>
      <c r="AG310" s="779"/>
      <c r="AH310" s="779"/>
      <c r="AI310" s="779"/>
      <c r="AJ310" s="779"/>
      <c r="AK310" s="779"/>
      <c r="AL310" s="779"/>
      <c r="AM310" s="779"/>
      <c r="AN310" s="779"/>
      <c r="AO310" s="779"/>
      <c r="AP310" s="779"/>
      <c r="AQ310" s="779"/>
      <c r="AR310" s="779"/>
      <c r="AS310" s="779"/>
      <c r="AT310" s="779"/>
      <c r="AU310" s="779"/>
      <c r="AV310" s="779"/>
      <c r="AW310" s="779"/>
      <c r="AX310" s="779"/>
      <c r="AY310" s="779"/>
      <c r="AZ310" s="779"/>
      <c r="BA310" s="779"/>
      <c r="BB310" s="779"/>
      <c r="BC310" s="779"/>
      <c r="BD310" s="779"/>
      <c r="BE310" s="779"/>
      <c r="BF310" s="779"/>
      <c r="BG310" s="779"/>
      <c r="BH310" s="779"/>
      <c r="BI310" s="779"/>
      <c r="BJ310" s="779"/>
      <c r="BK310" s="779"/>
      <c r="BL310" s="779"/>
      <c r="BM310" s="779"/>
      <c r="BN310" s="779"/>
      <c r="BO310" s="779"/>
      <c r="BP310" s="779"/>
      <c r="BQ310" s="779"/>
      <c r="BR310" s="779"/>
      <c r="BS310" s="779"/>
      <c r="BT310" s="779"/>
      <c r="BU310" s="779"/>
      <c r="BV310" s="779"/>
      <c r="BW310" s="779"/>
      <c r="BX310" s="779"/>
      <c r="BY310" s="779"/>
      <c r="BZ310" s="779"/>
      <c r="CA310" s="779"/>
      <c r="CB310" s="779"/>
      <c r="CC310" s="779"/>
    </row>
    <row r="311" spans="1:81">
      <c r="A311" s="779"/>
      <c r="B311" s="779"/>
      <c r="C311" s="779"/>
      <c r="D311" s="779"/>
      <c r="E311" s="779"/>
      <c r="F311" s="779"/>
      <c r="G311" s="779"/>
      <c r="H311" s="779"/>
      <c r="I311" s="779"/>
      <c r="J311" s="779"/>
      <c r="K311" s="779"/>
      <c r="L311" s="779"/>
      <c r="M311" s="779"/>
      <c r="N311" s="779"/>
      <c r="O311" s="779"/>
      <c r="P311" s="779"/>
      <c r="Q311" s="779"/>
      <c r="R311" s="779"/>
      <c r="S311" s="779"/>
      <c r="T311" s="779"/>
      <c r="U311" s="779"/>
      <c r="V311" s="779"/>
      <c r="W311" s="779"/>
      <c r="X311" s="779"/>
      <c r="Y311" s="779"/>
      <c r="Z311" s="779"/>
      <c r="AA311" s="779"/>
      <c r="AB311" s="779"/>
      <c r="AC311" s="779"/>
      <c r="AD311" s="779"/>
      <c r="AE311" s="779"/>
      <c r="AF311" s="779"/>
      <c r="AG311" s="779"/>
      <c r="AH311" s="779"/>
      <c r="AI311" s="779"/>
      <c r="AJ311" s="779"/>
      <c r="AK311" s="779"/>
      <c r="AL311" s="779"/>
      <c r="AM311" s="779"/>
      <c r="AN311" s="779"/>
      <c r="AO311" s="779"/>
      <c r="AP311" s="779"/>
      <c r="AQ311" s="779"/>
      <c r="AR311" s="779"/>
      <c r="AS311" s="779"/>
      <c r="AT311" s="779"/>
      <c r="AU311" s="779"/>
      <c r="AV311" s="779"/>
      <c r="AW311" s="779"/>
      <c r="AX311" s="779"/>
      <c r="AY311" s="779"/>
      <c r="AZ311" s="779"/>
      <c r="BA311" s="779"/>
      <c r="BB311" s="779"/>
      <c r="BC311" s="779"/>
      <c r="BD311" s="779"/>
      <c r="BE311" s="779"/>
      <c r="BF311" s="779"/>
      <c r="BG311" s="779"/>
      <c r="BH311" s="779"/>
      <c r="BI311" s="779"/>
      <c r="BJ311" s="779"/>
      <c r="BK311" s="779"/>
      <c r="BL311" s="779"/>
      <c r="BM311" s="779"/>
      <c r="BN311" s="779"/>
      <c r="BO311" s="779"/>
      <c r="BP311" s="779"/>
      <c r="BQ311" s="779"/>
      <c r="BR311" s="779"/>
      <c r="BS311" s="779"/>
      <c r="BT311" s="779"/>
      <c r="BU311" s="779"/>
      <c r="BV311" s="779"/>
      <c r="BW311" s="779"/>
      <c r="BX311" s="779"/>
      <c r="BY311" s="779"/>
      <c r="BZ311" s="779"/>
      <c r="CA311" s="779"/>
      <c r="CB311" s="779"/>
      <c r="CC311" s="779"/>
    </row>
    <row r="312" spans="1:81">
      <c r="A312" s="779"/>
      <c r="B312" s="779"/>
      <c r="C312" s="779"/>
      <c r="D312" s="779"/>
      <c r="E312" s="779"/>
      <c r="F312" s="779"/>
      <c r="G312" s="779"/>
      <c r="H312" s="779"/>
      <c r="I312" s="779"/>
      <c r="J312" s="779"/>
      <c r="K312" s="779"/>
      <c r="L312" s="779"/>
      <c r="M312" s="779"/>
      <c r="N312" s="779"/>
      <c r="O312" s="779"/>
      <c r="P312" s="779"/>
      <c r="Q312" s="779"/>
      <c r="R312" s="779"/>
      <c r="S312" s="779"/>
      <c r="T312" s="779"/>
      <c r="U312" s="779"/>
      <c r="V312" s="779"/>
      <c r="W312" s="779"/>
      <c r="X312" s="779"/>
      <c r="Y312" s="779"/>
      <c r="Z312" s="779"/>
      <c r="AA312" s="779"/>
      <c r="AB312" s="779"/>
      <c r="AC312" s="779"/>
      <c r="AD312" s="779"/>
      <c r="AE312" s="779"/>
      <c r="AF312" s="779"/>
      <c r="AG312" s="779"/>
      <c r="AH312" s="779"/>
      <c r="AI312" s="779"/>
      <c r="AJ312" s="779"/>
      <c r="AK312" s="779"/>
      <c r="AL312" s="779"/>
      <c r="AM312" s="779"/>
      <c r="AN312" s="779"/>
      <c r="AO312" s="779"/>
      <c r="AP312" s="779"/>
      <c r="AQ312" s="779"/>
      <c r="AR312" s="779"/>
      <c r="AS312" s="779"/>
      <c r="AT312" s="779"/>
      <c r="AU312" s="779"/>
      <c r="AV312" s="779"/>
      <c r="AW312" s="779"/>
      <c r="AX312" s="779"/>
      <c r="AY312" s="779"/>
      <c r="AZ312" s="779"/>
      <c r="BA312" s="779"/>
      <c r="BB312" s="779"/>
      <c r="BC312" s="779"/>
      <c r="BD312" s="779"/>
      <c r="BE312" s="779"/>
      <c r="BF312" s="779"/>
      <c r="BG312" s="779"/>
      <c r="BH312" s="779"/>
      <c r="BI312" s="779"/>
      <c r="BJ312" s="779"/>
      <c r="BK312" s="779"/>
      <c r="BL312" s="779"/>
      <c r="BM312" s="779"/>
      <c r="BN312" s="779"/>
      <c r="BO312" s="779"/>
      <c r="BP312" s="779"/>
      <c r="BQ312" s="779"/>
      <c r="BR312" s="779"/>
      <c r="BS312" s="779"/>
      <c r="BT312" s="779"/>
      <c r="BU312" s="779"/>
      <c r="BV312" s="779"/>
      <c r="BW312" s="779"/>
      <c r="BX312" s="779"/>
      <c r="BY312" s="779"/>
      <c r="BZ312" s="779"/>
      <c r="CA312" s="779"/>
      <c r="CB312" s="779"/>
      <c r="CC312" s="779"/>
    </row>
    <row r="313" spans="1:81">
      <c r="A313" s="779"/>
      <c r="B313" s="779"/>
      <c r="C313" s="779"/>
      <c r="D313" s="779"/>
      <c r="E313" s="779"/>
      <c r="F313" s="779"/>
      <c r="G313" s="779"/>
      <c r="H313" s="779"/>
      <c r="I313" s="779"/>
      <c r="J313" s="779"/>
      <c r="K313" s="779"/>
      <c r="L313" s="779"/>
      <c r="M313" s="779"/>
      <c r="N313" s="779"/>
      <c r="O313" s="779"/>
      <c r="P313" s="779"/>
      <c r="Q313" s="779"/>
      <c r="R313" s="779"/>
      <c r="S313" s="779"/>
      <c r="T313" s="779"/>
      <c r="U313" s="779"/>
      <c r="V313" s="779"/>
      <c r="W313" s="779"/>
      <c r="X313" s="779"/>
      <c r="Y313" s="779"/>
      <c r="Z313" s="779"/>
      <c r="AA313" s="779"/>
      <c r="AB313" s="779"/>
      <c r="AC313" s="779"/>
      <c r="AD313" s="779"/>
      <c r="AE313" s="779"/>
      <c r="AF313" s="779"/>
      <c r="AG313" s="779"/>
      <c r="AH313" s="779"/>
      <c r="AI313" s="779"/>
      <c r="AJ313" s="779"/>
      <c r="AK313" s="779"/>
      <c r="AL313" s="779"/>
      <c r="AM313" s="779"/>
      <c r="AN313" s="779"/>
      <c r="AO313" s="779"/>
      <c r="AP313" s="779"/>
      <c r="AQ313" s="779"/>
      <c r="AR313" s="779"/>
      <c r="AS313" s="779"/>
      <c r="AT313" s="779"/>
      <c r="AU313" s="779"/>
      <c r="AV313" s="779"/>
      <c r="AW313" s="779"/>
      <c r="AX313" s="779"/>
      <c r="AY313" s="779"/>
      <c r="AZ313" s="779"/>
      <c r="BA313" s="779"/>
      <c r="BB313" s="779"/>
      <c r="BC313" s="779"/>
      <c r="BD313" s="779"/>
      <c r="BE313" s="779"/>
      <c r="BF313" s="779"/>
      <c r="BG313" s="779"/>
      <c r="BH313" s="779"/>
      <c r="BI313" s="779"/>
      <c r="BJ313" s="779"/>
      <c r="BK313" s="779"/>
      <c r="BL313" s="779"/>
      <c r="BM313" s="779"/>
      <c r="BN313" s="779"/>
      <c r="BO313" s="779"/>
      <c r="BP313" s="779"/>
      <c r="BQ313" s="779"/>
      <c r="BR313" s="779"/>
      <c r="BS313" s="779"/>
      <c r="BT313" s="779"/>
      <c r="BU313" s="779"/>
      <c r="BV313" s="779"/>
      <c r="BW313" s="779"/>
      <c r="BX313" s="779"/>
      <c r="BY313" s="779"/>
      <c r="BZ313" s="779"/>
      <c r="CA313" s="779"/>
      <c r="CB313" s="779"/>
      <c r="CC313" s="779"/>
    </row>
    <row r="314" spans="1:81">
      <c r="A314" s="779"/>
      <c r="B314" s="779"/>
      <c r="C314" s="779"/>
      <c r="D314" s="779"/>
      <c r="E314" s="779"/>
      <c r="F314" s="779"/>
      <c r="G314" s="779"/>
      <c r="H314" s="779"/>
      <c r="I314" s="779"/>
      <c r="J314" s="779"/>
      <c r="K314" s="779"/>
      <c r="L314" s="779"/>
      <c r="M314" s="779"/>
      <c r="N314" s="779"/>
      <c r="O314" s="779"/>
      <c r="P314" s="779"/>
      <c r="Q314" s="779"/>
      <c r="R314" s="779"/>
      <c r="S314" s="779"/>
      <c r="T314" s="779"/>
      <c r="U314" s="779"/>
      <c r="V314" s="779"/>
      <c r="W314" s="779"/>
      <c r="X314" s="779"/>
      <c r="Y314" s="779"/>
      <c r="Z314" s="779"/>
      <c r="AA314" s="779"/>
      <c r="AB314" s="779"/>
      <c r="AC314" s="779"/>
      <c r="AD314" s="779"/>
      <c r="AE314" s="779"/>
      <c r="AF314" s="779"/>
      <c r="AG314" s="779"/>
      <c r="AH314" s="779"/>
      <c r="AI314" s="779"/>
      <c r="AJ314" s="779"/>
      <c r="AK314" s="779"/>
      <c r="AL314" s="779"/>
      <c r="AM314" s="779"/>
      <c r="AN314" s="779"/>
      <c r="AO314" s="779"/>
      <c r="AP314" s="779"/>
      <c r="AQ314" s="779"/>
      <c r="AR314" s="779"/>
      <c r="AS314" s="779"/>
      <c r="AT314" s="779"/>
      <c r="AU314" s="779"/>
      <c r="AV314" s="779"/>
      <c r="AW314" s="779"/>
      <c r="AX314" s="779"/>
      <c r="AY314" s="779"/>
      <c r="AZ314" s="779"/>
      <c r="BA314" s="779"/>
      <c r="BB314" s="779"/>
      <c r="BC314" s="779"/>
      <c r="BD314" s="779"/>
      <c r="BE314" s="779"/>
      <c r="BF314" s="779"/>
      <c r="BG314" s="779"/>
      <c r="BH314" s="779"/>
      <c r="BI314" s="779"/>
      <c r="BJ314" s="779"/>
      <c r="BK314" s="779"/>
      <c r="BL314" s="779"/>
      <c r="BM314" s="779"/>
      <c r="BN314" s="779"/>
      <c r="BO314" s="779"/>
      <c r="BP314" s="779"/>
      <c r="BQ314" s="779"/>
      <c r="BR314" s="779"/>
      <c r="BS314" s="779"/>
      <c r="BT314" s="779"/>
      <c r="BU314" s="779"/>
      <c r="BV314" s="779"/>
      <c r="BW314" s="779"/>
      <c r="BX314" s="779"/>
      <c r="BY314" s="779"/>
      <c r="BZ314" s="779"/>
      <c r="CA314" s="779"/>
      <c r="CB314" s="779"/>
      <c r="CC314" s="779"/>
    </row>
    <row r="315" spans="1:81">
      <c r="A315" s="779"/>
      <c r="B315" s="779"/>
      <c r="C315" s="779"/>
      <c r="D315" s="779"/>
      <c r="E315" s="779"/>
      <c r="F315" s="779"/>
      <c r="G315" s="779"/>
      <c r="H315" s="779"/>
      <c r="I315" s="779"/>
      <c r="J315" s="779"/>
      <c r="K315" s="779"/>
      <c r="L315" s="779"/>
      <c r="M315" s="779"/>
      <c r="N315" s="779"/>
      <c r="O315" s="779"/>
      <c r="P315" s="779"/>
      <c r="Q315" s="779"/>
      <c r="R315" s="779"/>
      <c r="S315" s="779"/>
      <c r="T315" s="779"/>
      <c r="U315" s="779"/>
      <c r="V315" s="779"/>
      <c r="W315" s="779"/>
      <c r="X315" s="779"/>
      <c r="Y315" s="779"/>
      <c r="Z315" s="779"/>
      <c r="AA315" s="779"/>
      <c r="AB315" s="779"/>
      <c r="AC315" s="779"/>
      <c r="AD315" s="779"/>
      <c r="AE315" s="779"/>
      <c r="AF315" s="779"/>
      <c r="AG315" s="779"/>
      <c r="AH315" s="779"/>
      <c r="AI315" s="779"/>
      <c r="AJ315" s="779"/>
      <c r="AK315" s="779"/>
      <c r="AL315" s="779"/>
      <c r="AM315" s="779"/>
      <c r="AN315" s="779"/>
      <c r="AO315" s="779"/>
      <c r="AP315" s="779"/>
      <c r="AQ315" s="779"/>
      <c r="AR315" s="779"/>
      <c r="AS315" s="779"/>
      <c r="AT315" s="779"/>
      <c r="AU315" s="779"/>
      <c r="AV315" s="779"/>
      <c r="AW315" s="779"/>
      <c r="AX315" s="779"/>
      <c r="AY315" s="779"/>
      <c r="AZ315" s="779"/>
      <c r="BA315" s="779"/>
      <c r="BB315" s="779"/>
      <c r="BC315" s="779"/>
      <c r="BD315" s="779"/>
      <c r="BE315" s="779"/>
      <c r="BF315" s="779"/>
      <c r="BG315" s="779"/>
      <c r="BH315" s="779"/>
      <c r="BI315" s="779"/>
      <c r="BJ315" s="779"/>
      <c r="BK315" s="779"/>
      <c r="BL315" s="779"/>
      <c r="BM315" s="779"/>
      <c r="BN315" s="779"/>
      <c r="BO315" s="779"/>
      <c r="BP315" s="779"/>
      <c r="BQ315" s="779"/>
      <c r="BR315" s="779"/>
      <c r="BS315" s="779"/>
      <c r="BT315" s="779"/>
      <c r="BU315" s="779"/>
      <c r="BV315" s="779"/>
      <c r="BW315" s="779"/>
      <c r="BX315" s="779"/>
      <c r="BY315" s="779"/>
      <c r="BZ315" s="779"/>
      <c r="CA315" s="779"/>
      <c r="CB315" s="779"/>
      <c r="CC315" s="779"/>
    </row>
    <row r="316" spans="1:81">
      <c r="A316" s="779"/>
      <c r="B316" s="779"/>
      <c r="C316" s="779"/>
      <c r="D316" s="779"/>
      <c r="E316" s="779"/>
      <c r="F316" s="779"/>
      <c r="G316" s="779"/>
      <c r="H316" s="779"/>
      <c r="I316" s="779"/>
      <c r="J316" s="779"/>
      <c r="K316" s="779"/>
      <c r="L316" s="779"/>
      <c r="M316" s="779"/>
      <c r="N316" s="779"/>
      <c r="O316" s="779"/>
      <c r="P316" s="779"/>
      <c r="Q316" s="779"/>
      <c r="R316" s="779"/>
      <c r="S316" s="779"/>
      <c r="T316" s="779"/>
      <c r="U316" s="779"/>
      <c r="V316" s="779"/>
      <c r="W316" s="779"/>
      <c r="X316" s="779"/>
      <c r="Y316" s="779"/>
      <c r="Z316" s="779"/>
      <c r="AA316" s="779"/>
      <c r="AB316" s="779"/>
      <c r="AC316" s="779"/>
      <c r="AD316" s="779"/>
      <c r="AE316" s="779"/>
      <c r="AF316" s="779"/>
      <c r="AG316" s="779"/>
      <c r="AH316" s="779"/>
      <c r="AI316" s="779"/>
      <c r="AJ316" s="779"/>
      <c r="AK316" s="779"/>
      <c r="AL316" s="779"/>
      <c r="AM316" s="779"/>
      <c r="AN316" s="779"/>
      <c r="AO316" s="779"/>
      <c r="AP316" s="779"/>
      <c r="AQ316" s="779"/>
      <c r="AR316" s="779"/>
      <c r="AS316" s="779"/>
      <c r="AT316" s="779"/>
      <c r="AU316" s="779"/>
      <c r="AV316" s="779"/>
      <c r="AW316" s="779"/>
      <c r="AX316" s="779"/>
      <c r="AY316" s="779"/>
      <c r="AZ316" s="779"/>
      <c r="BA316" s="779"/>
      <c r="BB316" s="779"/>
      <c r="BC316" s="779"/>
      <c r="BD316" s="779"/>
      <c r="BE316" s="779"/>
      <c r="BF316" s="779"/>
      <c r="BG316" s="779"/>
      <c r="BH316" s="779"/>
      <c r="BI316" s="779"/>
      <c r="BJ316" s="779"/>
      <c r="BK316" s="779"/>
      <c r="BL316" s="779"/>
      <c r="BM316" s="779"/>
      <c r="BN316" s="779"/>
      <c r="BO316" s="779"/>
      <c r="BP316" s="779"/>
      <c r="BQ316" s="779"/>
      <c r="BR316" s="779"/>
      <c r="BS316" s="779"/>
      <c r="BT316" s="779"/>
      <c r="BU316" s="779"/>
      <c r="BV316" s="779"/>
      <c r="BW316" s="779"/>
      <c r="BX316" s="779"/>
      <c r="BY316" s="779"/>
      <c r="BZ316" s="779"/>
      <c r="CA316" s="779"/>
      <c r="CB316" s="779"/>
      <c r="CC316" s="779"/>
    </row>
    <row r="317" spans="1:81">
      <c r="A317" s="779"/>
      <c r="B317" s="779"/>
      <c r="C317" s="779"/>
      <c r="D317" s="779"/>
      <c r="E317" s="779"/>
      <c r="F317" s="779"/>
      <c r="G317" s="779"/>
      <c r="H317" s="779"/>
      <c r="I317" s="779"/>
      <c r="J317" s="779"/>
      <c r="K317" s="779"/>
      <c r="L317" s="779"/>
      <c r="M317" s="779"/>
      <c r="N317" s="779"/>
      <c r="O317" s="779"/>
      <c r="P317" s="779"/>
      <c r="Q317" s="779"/>
      <c r="R317" s="779"/>
      <c r="S317" s="779"/>
      <c r="T317" s="779"/>
      <c r="U317" s="779"/>
      <c r="V317" s="779"/>
      <c r="W317" s="779"/>
      <c r="X317" s="779"/>
      <c r="Y317" s="779"/>
      <c r="Z317" s="779"/>
      <c r="AA317" s="779"/>
      <c r="AB317" s="779"/>
      <c r="AC317" s="779"/>
      <c r="AD317" s="779"/>
      <c r="AE317" s="779"/>
      <c r="AF317" s="779"/>
      <c r="AG317" s="779"/>
      <c r="AH317" s="779"/>
      <c r="AI317" s="779"/>
      <c r="AJ317" s="779"/>
      <c r="AK317" s="779"/>
      <c r="AL317" s="779"/>
      <c r="AM317" s="779"/>
      <c r="AN317" s="779"/>
      <c r="AO317" s="779"/>
      <c r="AP317" s="779"/>
      <c r="AQ317" s="779"/>
      <c r="AR317" s="779"/>
      <c r="AS317" s="779"/>
      <c r="AT317" s="779"/>
      <c r="AU317" s="779"/>
      <c r="AV317" s="779"/>
      <c r="AW317" s="779"/>
      <c r="AX317" s="779"/>
      <c r="AY317" s="779"/>
      <c r="AZ317" s="779"/>
      <c r="BA317" s="779"/>
      <c r="BB317" s="779"/>
      <c r="BC317" s="779"/>
      <c r="BD317" s="779"/>
      <c r="BE317" s="779"/>
      <c r="BF317" s="779"/>
      <c r="BG317" s="779"/>
      <c r="BH317" s="779"/>
      <c r="BI317" s="779"/>
      <c r="BJ317" s="779"/>
      <c r="BK317" s="779"/>
      <c r="BL317" s="779"/>
      <c r="BM317" s="779"/>
      <c r="BN317" s="779"/>
      <c r="BO317" s="779"/>
      <c r="BP317" s="779"/>
      <c r="BQ317" s="779"/>
      <c r="BR317" s="779"/>
      <c r="BS317" s="779"/>
      <c r="BT317" s="779"/>
      <c r="BU317" s="779"/>
      <c r="BV317" s="779"/>
      <c r="BW317" s="779"/>
      <c r="BX317" s="779"/>
      <c r="BY317" s="779"/>
      <c r="BZ317" s="779"/>
      <c r="CA317" s="779"/>
      <c r="CB317" s="779"/>
      <c r="CC317" s="779"/>
    </row>
    <row r="318" spans="1:81">
      <c r="A318" s="779"/>
      <c r="B318" s="779"/>
      <c r="C318" s="779"/>
      <c r="D318" s="779"/>
      <c r="E318" s="779"/>
      <c r="F318" s="779"/>
      <c r="G318" s="779"/>
      <c r="H318" s="779"/>
      <c r="I318" s="779"/>
      <c r="J318" s="779"/>
      <c r="K318" s="779"/>
      <c r="L318" s="779"/>
      <c r="M318" s="779"/>
      <c r="N318" s="779"/>
      <c r="O318" s="779"/>
      <c r="P318" s="779"/>
      <c r="Q318" s="779"/>
      <c r="R318" s="779"/>
      <c r="S318" s="779"/>
      <c r="T318" s="779"/>
      <c r="U318" s="779"/>
      <c r="V318" s="779"/>
      <c r="W318" s="779"/>
      <c r="X318" s="779"/>
      <c r="Y318" s="779"/>
      <c r="Z318" s="779"/>
      <c r="AA318" s="779"/>
      <c r="AB318" s="779"/>
      <c r="AC318" s="779"/>
      <c r="AD318" s="779"/>
      <c r="AE318" s="779"/>
      <c r="AF318" s="779"/>
      <c r="AG318" s="779"/>
      <c r="AH318" s="779"/>
      <c r="AI318" s="779"/>
      <c r="AJ318" s="779"/>
      <c r="AK318" s="779"/>
      <c r="AL318" s="779"/>
      <c r="AM318" s="779"/>
      <c r="AN318" s="779"/>
      <c r="AO318" s="779"/>
      <c r="AP318" s="779"/>
      <c r="AQ318" s="779"/>
      <c r="AR318" s="779"/>
      <c r="AS318" s="779"/>
      <c r="AT318" s="779"/>
      <c r="AU318" s="779"/>
      <c r="AV318" s="779"/>
      <c r="AW318" s="779"/>
      <c r="AX318" s="779"/>
      <c r="AY318" s="779"/>
      <c r="AZ318" s="779"/>
      <c r="BA318" s="779"/>
      <c r="BB318" s="779"/>
      <c r="BC318" s="779"/>
      <c r="BD318" s="779"/>
      <c r="BE318" s="779"/>
      <c r="BF318" s="779"/>
      <c r="BG318" s="779"/>
      <c r="BH318" s="779"/>
      <c r="BI318" s="779"/>
      <c r="BJ318" s="779"/>
      <c r="BK318" s="779"/>
      <c r="BL318" s="779"/>
      <c r="BM318" s="779"/>
      <c r="BN318" s="779"/>
      <c r="BO318" s="779"/>
      <c r="BP318" s="779"/>
      <c r="BQ318" s="779"/>
      <c r="BR318" s="779"/>
      <c r="BS318" s="779"/>
      <c r="BT318" s="779"/>
      <c r="BU318" s="779"/>
      <c r="BV318" s="779"/>
      <c r="BW318" s="779"/>
      <c r="BX318" s="779"/>
      <c r="BY318" s="779"/>
      <c r="BZ318" s="779"/>
      <c r="CA318" s="779"/>
      <c r="CB318" s="779"/>
      <c r="CC318" s="779"/>
    </row>
    <row r="319" spans="1:81">
      <c r="A319" s="779"/>
      <c r="B319" s="779"/>
      <c r="C319" s="779"/>
      <c r="D319" s="779"/>
      <c r="E319" s="779"/>
      <c r="F319" s="779"/>
      <c r="G319" s="779"/>
      <c r="H319" s="779"/>
      <c r="I319" s="779"/>
      <c r="J319" s="779"/>
      <c r="K319" s="779"/>
      <c r="L319" s="779"/>
      <c r="M319" s="779"/>
      <c r="N319" s="779"/>
      <c r="O319" s="779"/>
      <c r="P319" s="779"/>
      <c r="Q319" s="779"/>
      <c r="R319" s="779"/>
      <c r="S319" s="779"/>
      <c r="T319" s="779"/>
      <c r="U319" s="779"/>
      <c r="V319" s="779"/>
      <c r="W319" s="779"/>
      <c r="X319" s="779"/>
      <c r="Y319" s="779"/>
      <c r="Z319" s="779"/>
      <c r="AA319" s="779"/>
      <c r="AB319" s="779"/>
      <c r="AC319" s="779"/>
      <c r="AD319" s="779"/>
      <c r="AE319" s="779"/>
      <c r="AF319" s="779"/>
      <c r="AG319" s="779"/>
      <c r="AH319" s="779"/>
      <c r="AI319" s="779"/>
      <c r="AJ319" s="779"/>
      <c r="AK319" s="779"/>
      <c r="AL319" s="779"/>
      <c r="AM319" s="779"/>
      <c r="AN319" s="779"/>
      <c r="AO319" s="779"/>
      <c r="AP319" s="779"/>
      <c r="AQ319" s="779"/>
      <c r="AR319" s="779"/>
      <c r="AS319" s="779"/>
      <c r="AT319" s="779"/>
      <c r="AU319" s="779"/>
      <c r="AV319" s="779"/>
      <c r="AW319" s="779"/>
      <c r="AX319" s="779"/>
      <c r="AY319" s="779"/>
      <c r="AZ319" s="779"/>
      <c r="BA319" s="779"/>
      <c r="BB319" s="779"/>
      <c r="BC319" s="779"/>
      <c r="BD319" s="779"/>
      <c r="BE319" s="779"/>
      <c r="BF319" s="779"/>
      <c r="BG319" s="779"/>
      <c r="BH319" s="779"/>
      <c r="BI319" s="779"/>
      <c r="BJ319" s="779"/>
      <c r="BK319" s="779"/>
      <c r="BL319" s="779"/>
      <c r="BM319" s="779"/>
      <c r="BN319" s="779"/>
      <c r="BO319" s="779"/>
      <c r="BP319" s="779"/>
      <c r="BQ319" s="779"/>
      <c r="BR319" s="779"/>
      <c r="BS319" s="779"/>
      <c r="BT319" s="779"/>
      <c r="BU319" s="779"/>
      <c r="BV319" s="779"/>
      <c r="BW319" s="779"/>
      <c r="BX319" s="779"/>
      <c r="BY319" s="779"/>
      <c r="BZ319" s="779"/>
      <c r="CA319" s="779"/>
      <c r="CB319" s="779"/>
      <c r="CC319" s="779"/>
    </row>
    <row r="320" spans="1:81">
      <c r="A320" s="779"/>
      <c r="B320" s="779"/>
      <c r="C320" s="779"/>
      <c r="D320" s="779"/>
      <c r="E320" s="779"/>
      <c r="F320" s="779"/>
      <c r="G320" s="779"/>
      <c r="H320" s="779"/>
      <c r="I320" s="779"/>
      <c r="J320" s="779"/>
      <c r="K320" s="779"/>
      <c r="L320" s="779"/>
      <c r="M320" s="779"/>
      <c r="N320" s="779"/>
      <c r="O320" s="779"/>
      <c r="P320" s="779"/>
      <c r="Q320" s="779"/>
      <c r="R320" s="779"/>
      <c r="S320" s="779"/>
      <c r="T320" s="779"/>
      <c r="U320" s="779"/>
      <c r="V320" s="779"/>
      <c r="W320" s="779"/>
      <c r="X320" s="779"/>
      <c r="Y320" s="779"/>
      <c r="Z320" s="779"/>
      <c r="AA320" s="779"/>
      <c r="AB320" s="779"/>
      <c r="AC320" s="779"/>
      <c r="AD320" s="779"/>
      <c r="AE320" s="779"/>
      <c r="AF320" s="779"/>
      <c r="AG320" s="779"/>
      <c r="AH320" s="779"/>
      <c r="AI320" s="779"/>
      <c r="AJ320" s="779"/>
      <c r="AK320" s="779"/>
      <c r="AL320" s="779"/>
      <c r="AM320" s="779"/>
      <c r="AN320" s="779"/>
      <c r="AO320" s="779"/>
      <c r="AP320" s="779"/>
      <c r="AQ320" s="779"/>
      <c r="AR320" s="779"/>
      <c r="AS320" s="779"/>
      <c r="AT320" s="779"/>
      <c r="AU320" s="779"/>
      <c r="AV320" s="779"/>
      <c r="AW320" s="779"/>
      <c r="AX320" s="779"/>
      <c r="AY320" s="779"/>
      <c r="AZ320" s="779"/>
      <c r="BA320" s="779"/>
      <c r="BB320" s="779"/>
      <c r="BC320" s="779"/>
      <c r="BD320" s="779"/>
      <c r="BE320" s="779"/>
      <c r="BF320" s="779"/>
      <c r="BG320" s="779"/>
      <c r="BH320" s="779"/>
      <c r="BI320" s="779"/>
      <c r="BJ320" s="779"/>
      <c r="BK320" s="779"/>
      <c r="BL320" s="779"/>
      <c r="BM320" s="779"/>
      <c r="BN320" s="779"/>
      <c r="BO320" s="779"/>
      <c r="BP320" s="779"/>
      <c r="BQ320" s="779"/>
      <c r="BR320" s="779"/>
      <c r="BS320" s="779"/>
      <c r="BT320" s="779"/>
      <c r="BU320" s="779"/>
      <c r="BV320" s="779"/>
      <c r="BW320" s="779"/>
      <c r="BX320" s="779"/>
      <c r="BY320" s="779"/>
      <c r="BZ320" s="779"/>
      <c r="CA320" s="779"/>
      <c r="CB320" s="779"/>
      <c r="CC320" s="779"/>
    </row>
    <row r="321" spans="1:81">
      <c r="A321" s="779"/>
      <c r="B321" s="779"/>
      <c r="C321" s="779"/>
      <c r="D321" s="779"/>
      <c r="E321" s="779"/>
      <c r="F321" s="779"/>
      <c r="G321" s="779"/>
      <c r="H321" s="779"/>
      <c r="I321" s="779"/>
      <c r="J321" s="779"/>
      <c r="K321" s="779"/>
      <c r="L321" s="779"/>
      <c r="M321" s="779"/>
      <c r="N321" s="779"/>
      <c r="O321" s="779"/>
      <c r="P321" s="779"/>
      <c r="Q321" s="779"/>
      <c r="R321" s="779"/>
      <c r="S321" s="779"/>
      <c r="T321" s="779"/>
      <c r="U321" s="779"/>
      <c r="V321" s="779"/>
      <c r="W321" s="779"/>
      <c r="X321" s="779"/>
      <c r="Y321" s="779"/>
      <c r="Z321" s="779"/>
      <c r="AA321" s="779"/>
      <c r="AB321" s="779"/>
      <c r="AC321" s="779"/>
      <c r="AD321" s="779"/>
      <c r="AE321" s="779"/>
      <c r="AF321" s="779"/>
      <c r="AG321" s="779"/>
      <c r="AH321" s="779"/>
      <c r="AI321" s="779"/>
      <c r="AJ321" s="779"/>
      <c r="AK321" s="779"/>
      <c r="AL321" s="779"/>
      <c r="AM321" s="779"/>
      <c r="AN321" s="779"/>
      <c r="AO321" s="779"/>
      <c r="AP321" s="779"/>
      <c r="AQ321" s="779"/>
      <c r="AR321" s="779"/>
      <c r="AS321" s="779"/>
      <c r="AT321" s="779"/>
      <c r="AU321" s="779"/>
      <c r="AV321" s="779"/>
      <c r="AW321" s="779"/>
      <c r="AX321" s="779"/>
      <c r="AY321" s="779"/>
      <c r="AZ321" s="779"/>
      <c r="BA321" s="779"/>
      <c r="BB321" s="779"/>
      <c r="BC321" s="779"/>
      <c r="BD321" s="779"/>
      <c r="BE321" s="779"/>
      <c r="BF321" s="779"/>
      <c r="BG321" s="779"/>
      <c r="BH321" s="779"/>
      <c r="BI321" s="779"/>
      <c r="BJ321" s="779"/>
      <c r="BK321" s="779"/>
      <c r="BL321" s="779"/>
      <c r="BM321" s="779"/>
      <c r="BN321" s="779"/>
      <c r="BO321" s="779"/>
      <c r="BP321" s="779"/>
      <c r="BQ321" s="779"/>
      <c r="BR321" s="779"/>
      <c r="BS321" s="779"/>
      <c r="BT321" s="779"/>
      <c r="BU321" s="779"/>
      <c r="BV321" s="779"/>
      <c r="BW321" s="779"/>
      <c r="BX321" s="779"/>
      <c r="BY321" s="779"/>
      <c r="BZ321" s="779"/>
      <c r="CA321" s="779"/>
      <c r="CB321" s="779"/>
      <c r="CC321" s="779"/>
    </row>
    <row r="322" spans="1:81">
      <c r="A322" s="779"/>
      <c r="B322" s="779"/>
      <c r="C322" s="779"/>
      <c r="D322" s="779"/>
      <c r="E322" s="779"/>
      <c r="F322" s="779"/>
      <c r="G322" s="779"/>
      <c r="H322" s="779"/>
      <c r="I322" s="779"/>
      <c r="J322" s="779"/>
      <c r="K322" s="779"/>
      <c r="L322" s="779"/>
      <c r="M322" s="779"/>
      <c r="N322" s="779"/>
      <c r="O322" s="779"/>
      <c r="P322" s="779"/>
      <c r="Q322" s="779"/>
      <c r="R322" s="779"/>
      <c r="S322" s="779"/>
      <c r="T322" s="779"/>
      <c r="U322" s="779"/>
      <c r="V322" s="779"/>
      <c r="W322" s="779"/>
      <c r="X322" s="779"/>
      <c r="Y322" s="779"/>
      <c r="Z322" s="779"/>
      <c r="AA322" s="779"/>
      <c r="AB322" s="779"/>
      <c r="AC322" s="779"/>
      <c r="AD322" s="779"/>
      <c r="AE322" s="779"/>
      <c r="AF322" s="779"/>
      <c r="AG322" s="779"/>
      <c r="AH322" s="779"/>
      <c r="AI322" s="779"/>
      <c r="AJ322" s="779"/>
      <c r="AK322" s="779"/>
      <c r="AL322" s="779"/>
      <c r="AM322" s="779"/>
      <c r="AN322" s="779"/>
      <c r="AO322" s="779"/>
      <c r="AP322" s="779"/>
      <c r="AQ322" s="779"/>
      <c r="AR322" s="779"/>
      <c r="AS322" s="779"/>
      <c r="AT322" s="779"/>
      <c r="AU322" s="779"/>
      <c r="AV322" s="779"/>
      <c r="AW322" s="779"/>
      <c r="AX322" s="779"/>
      <c r="AY322" s="779"/>
      <c r="AZ322" s="779"/>
      <c r="BA322" s="779"/>
      <c r="BB322" s="779"/>
      <c r="BC322" s="779"/>
      <c r="BD322" s="779"/>
      <c r="BE322" s="779"/>
      <c r="BF322" s="779"/>
      <c r="BG322" s="779"/>
      <c r="BH322" s="779"/>
      <c r="BI322" s="779"/>
      <c r="BJ322" s="779"/>
      <c r="BK322" s="779"/>
      <c r="BL322" s="779"/>
      <c r="BM322" s="779"/>
      <c r="BN322" s="779"/>
      <c r="BO322" s="779"/>
      <c r="BP322" s="779"/>
      <c r="BQ322" s="779"/>
      <c r="BR322" s="779"/>
      <c r="BS322" s="779"/>
      <c r="BT322" s="779"/>
      <c r="BU322" s="779"/>
      <c r="BV322" s="779"/>
      <c r="BW322" s="779"/>
      <c r="BX322" s="779"/>
      <c r="BY322" s="779"/>
      <c r="BZ322" s="779"/>
      <c r="CA322" s="779"/>
      <c r="CB322" s="779"/>
      <c r="CC322" s="779"/>
    </row>
    <row r="323" spans="1:81">
      <c r="A323" s="779"/>
      <c r="B323" s="779"/>
      <c r="C323" s="779"/>
      <c r="D323" s="779"/>
      <c r="E323" s="779"/>
      <c r="F323" s="779"/>
      <c r="G323" s="779"/>
      <c r="H323" s="779"/>
      <c r="I323" s="779"/>
      <c r="J323" s="779"/>
      <c r="K323" s="779"/>
      <c r="L323" s="779"/>
      <c r="M323" s="779"/>
      <c r="N323" s="779"/>
      <c r="O323" s="779"/>
      <c r="P323" s="779"/>
      <c r="Q323" s="779"/>
      <c r="R323" s="779"/>
      <c r="S323" s="779"/>
      <c r="T323" s="779"/>
      <c r="U323" s="779"/>
      <c r="V323" s="779"/>
      <c r="W323" s="779"/>
      <c r="X323" s="779"/>
      <c r="Y323" s="779"/>
      <c r="Z323" s="779"/>
      <c r="AA323" s="779"/>
      <c r="AB323" s="779"/>
      <c r="AC323" s="779"/>
      <c r="AD323" s="779"/>
      <c r="AE323" s="779"/>
      <c r="AF323" s="779"/>
      <c r="AG323" s="779"/>
      <c r="AH323" s="779"/>
      <c r="AI323" s="779"/>
      <c r="AJ323" s="779"/>
      <c r="AK323" s="779"/>
      <c r="AL323" s="779"/>
      <c r="AM323" s="779"/>
      <c r="AN323" s="779"/>
      <c r="AO323" s="779"/>
      <c r="AP323" s="779"/>
      <c r="AQ323" s="779"/>
      <c r="AR323" s="779"/>
      <c r="AS323" s="779"/>
      <c r="AT323" s="779"/>
      <c r="AU323" s="779"/>
      <c r="AV323" s="779"/>
      <c r="AW323" s="779"/>
      <c r="AX323" s="779"/>
      <c r="AY323" s="779"/>
      <c r="AZ323" s="779"/>
      <c r="BA323" s="779"/>
      <c r="BB323" s="779"/>
      <c r="BC323" s="779"/>
      <c r="BD323" s="779"/>
      <c r="BE323" s="779"/>
      <c r="BF323" s="779"/>
      <c r="BG323" s="779"/>
      <c r="BH323" s="779"/>
      <c r="BI323" s="779"/>
      <c r="BJ323" s="779"/>
      <c r="BK323" s="779"/>
      <c r="BL323" s="779"/>
      <c r="BM323" s="779"/>
      <c r="BN323" s="779"/>
      <c r="BO323" s="779"/>
      <c r="BP323" s="779"/>
      <c r="BQ323" s="779"/>
      <c r="BR323" s="779"/>
      <c r="BS323" s="779"/>
      <c r="BT323" s="779"/>
      <c r="BU323" s="779"/>
      <c r="BV323" s="779"/>
      <c r="BW323" s="779"/>
      <c r="BX323" s="779"/>
      <c r="BY323" s="779"/>
      <c r="BZ323" s="779"/>
      <c r="CA323" s="779"/>
      <c r="CB323" s="779"/>
      <c r="CC323" s="779"/>
    </row>
    <row r="324" spans="1:81">
      <c r="A324" s="779"/>
      <c r="B324" s="779"/>
      <c r="C324" s="779"/>
      <c r="D324" s="779"/>
      <c r="E324" s="779"/>
      <c r="F324" s="779"/>
      <c r="G324" s="779"/>
      <c r="H324" s="779"/>
      <c r="I324" s="779"/>
      <c r="J324" s="779"/>
      <c r="K324" s="779"/>
      <c r="L324" s="779"/>
      <c r="M324" s="779"/>
      <c r="N324" s="779"/>
      <c r="O324" s="779"/>
      <c r="P324" s="779"/>
      <c r="Q324" s="779"/>
      <c r="R324" s="779"/>
      <c r="S324" s="779"/>
      <c r="T324" s="779"/>
      <c r="U324" s="779"/>
      <c r="V324" s="779"/>
      <c r="W324" s="779"/>
      <c r="X324" s="779"/>
      <c r="Y324" s="779"/>
      <c r="Z324" s="779"/>
      <c r="AA324" s="779"/>
      <c r="AB324" s="779"/>
      <c r="AC324" s="779"/>
      <c r="AD324" s="779"/>
      <c r="AE324" s="779"/>
      <c r="AF324" s="779"/>
      <c r="AG324" s="779"/>
      <c r="AH324" s="779"/>
      <c r="AI324" s="779"/>
      <c r="AJ324" s="779"/>
      <c r="AK324" s="779"/>
      <c r="AL324" s="779"/>
      <c r="AM324" s="779"/>
      <c r="AN324" s="779"/>
      <c r="AO324" s="779"/>
      <c r="AP324" s="779"/>
      <c r="AQ324" s="779"/>
      <c r="AR324" s="779"/>
      <c r="AS324" s="779"/>
      <c r="AT324" s="779"/>
      <c r="AU324" s="779"/>
      <c r="AV324" s="779"/>
      <c r="AW324" s="779"/>
      <c r="AX324" s="779"/>
      <c r="AY324" s="779"/>
      <c r="AZ324" s="779"/>
      <c r="BA324" s="779"/>
      <c r="BB324" s="779"/>
      <c r="BC324" s="779"/>
      <c r="BD324" s="779"/>
      <c r="BE324" s="779"/>
      <c r="BF324" s="779"/>
      <c r="BG324" s="779"/>
      <c r="BH324" s="779"/>
      <c r="BI324" s="779"/>
      <c r="BJ324" s="779"/>
      <c r="BK324" s="779"/>
      <c r="BL324" s="779"/>
      <c r="BM324" s="779"/>
      <c r="BN324" s="779"/>
      <c r="BO324" s="779"/>
      <c r="BP324" s="779"/>
      <c r="BQ324" s="779"/>
      <c r="BR324" s="779"/>
      <c r="BS324" s="779"/>
      <c r="BT324" s="779"/>
      <c r="BU324" s="779"/>
      <c r="BV324" s="779"/>
      <c r="BW324" s="779"/>
      <c r="BX324" s="779"/>
      <c r="BY324" s="779"/>
      <c r="BZ324" s="779"/>
      <c r="CA324" s="779"/>
      <c r="CB324" s="779"/>
      <c r="CC324" s="779"/>
    </row>
    <row r="325" spans="1:81">
      <c r="A325" s="779"/>
      <c r="B325" s="779"/>
      <c r="C325" s="779"/>
      <c r="D325" s="779"/>
      <c r="E325" s="779"/>
      <c r="F325" s="779"/>
      <c r="G325" s="779"/>
      <c r="H325" s="779"/>
      <c r="I325" s="779"/>
      <c r="J325" s="779"/>
      <c r="K325" s="779"/>
      <c r="L325" s="779"/>
      <c r="M325" s="779"/>
      <c r="N325" s="779"/>
      <c r="O325" s="779"/>
      <c r="P325" s="779"/>
      <c r="Q325" s="779"/>
      <c r="R325" s="779"/>
      <c r="S325" s="779"/>
      <c r="T325" s="779"/>
      <c r="U325" s="779"/>
      <c r="V325" s="779"/>
      <c r="W325" s="779"/>
      <c r="X325" s="779"/>
      <c r="Y325" s="779"/>
      <c r="Z325" s="779"/>
      <c r="AA325" s="779"/>
      <c r="AB325" s="779"/>
      <c r="AC325" s="779"/>
      <c r="AD325" s="779"/>
      <c r="AE325" s="779"/>
      <c r="AF325" s="779"/>
      <c r="AG325" s="779"/>
      <c r="AH325" s="779"/>
      <c r="AI325" s="779"/>
      <c r="AJ325" s="779"/>
      <c r="AK325" s="779"/>
      <c r="AL325" s="779"/>
      <c r="AM325" s="779"/>
      <c r="AN325" s="779"/>
      <c r="AO325" s="779"/>
      <c r="AP325" s="779"/>
      <c r="AQ325" s="779"/>
      <c r="AR325" s="779"/>
      <c r="AS325" s="779"/>
      <c r="AT325" s="779"/>
      <c r="AU325" s="779"/>
      <c r="AV325" s="779"/>
      <c r="AW325" s="779"/>
      <c r="AX325" s="779"/>
      <c r="AY325" s="779"/>
      <c r="AZ325" s="779"/>
      <c r="BA325" s="779"/>
      <c r="BB325" s="779"/>
      <c r="BC325" s="779"/>
      <c r="BD325" s="779"/>
      <c r="BE325" s="779"/>
      <c r="BF325" s="779"/>
      <c r="BG325" s="779"/>
      <c r="BH325" s="779"/>
      <c r="BI325" s="779"/>
      <c r="BJ325" s="779"/>
      <c r="BK325" s="779"/>
      <c r="BL325" s="779"/>
      <c r="BM325" s="779"/>
      <c r="BN325" s="779"/>
      <c r="BO325" s="779"/>
      <c r="BP325" s="779"/>
      <c r="BQ325" s="779"/>
      <c r="BR325" s="779"/>
      <c r="BS325" s="779"/>
      <c r="BT325" s="779"/>
      <c r="BU325" s="779"/>
      <c r="BV325" s="779"/>
      <c r="BW325" s="779"/>
      <c r="BX325" s="779"/>
      <c r="BY325" s="779"/>
      <c r="BZ325" s="779"/>
      <c r="CA325" s="779"/>
      <c r="CB325" s="779"/>
      <c r="CC325" s="779"/>
    </row>
    <row r="326" spans="1:81">
      <c r="A326" s="779"/>
      <c r="B326" s="779"/>
      <c r="C326" s="779"/>
      <c r="D326" s="779"/>
      <c r="E326" s="779"/>
      <c r="F326" s="779"/>
      <c r="G326" s="779"/>
      <c r="H326" s="779"/>
      <c r="I326" s="779"/>
      <c r="J326" s="779"/>
      <c r="K326" s="779"/>
      <c r="L326" s="779"/>
      <c r="M326" s="779"/>
      <c r="N326" s="779"/>
      <c r="O326" s="779"/>
      <c r="P326" s="779"/>
      <c r="Q326" s="779"/>
      <c r="R326" s="779"/>
      <c r="S326" s="779"/>
      <c r="T326" s="779"/>
      <c r="U326" s="779"/>
      <c r="V326" s="779"/>
      <c r="W326" s="779"/>
      <c r="X326" s="779"/>
      <c r="Y326" s="779"/>
      <c r="Z326" s="779"/>
      <c r="AA326" s="779"/>
      <c r="AB326" s="779"/>
      <c r="AC326" s="779"/>
      <c r="AD326" s="779"/>
      <c r="AE326" s="779"/>
      <c r="AF326" s="779"/>
      <c r="AG326" s="779"/>
      <c r="AH326" s="779"/>
      <c r="AI326" s="779"/>
      <c r="AJ326" s="779"/>
      <c r="AK326" s="779"/>
      <c r="AL326" s="779"/>
      <c r="AM326" s="779"/>
      <c r="AN326" s="779"/>
      <c r="AO326" s="779"/>
      <c r="AP326" s="779"/>
      <c r="AQ326" s="779"/>
      <c r="AR326" s="779"/>
      <c r="AS326" s="779"/>
      <c r="AT326" s="779"/>
      <c r="AU326" s="779"/>
      <c r="AV326" s="779"/>
      <c r="AW326" s="779"/>
      <c r="AX326" s="779"/>
      <c r="AY326" s="779"/>
      <c r="AZ326" s="779"/>
      <c r="BA326" s="779"/>
      <c r="BB326" s="779"/>
      <c r="BC326" s="779"/>
      <c r="BD326" s="779"/>
      <c r="BE326" s="779"/>
      <c r="BF326" s="779"/>
      <c r="BG326" s="779"/>
      <c r="BH326" s="779"/>
      <c r="BI326" s="779"/>
      <c r="BJ326" s="779"/>
      <c r="BK326" s="779"/>
      <c r="BL326" s="779"/>
      <c r="BM326" s="779"/>
      <c r="BN326" s="779"/>
      <c r="BO326" s="779"/>
      <c r="BP326" s="779"/>
      <c r="BQ326" s="779"/>
      <c r="BR326" s="779"/>
      <c r="BS326" s="779"/>
      <c r="BT326" s="779"/>
      <c r="BU326" s="779"/>
      <c r="BV326" s="779"/>
      <c r="BW326" s="779"/>
      <c r="BX326" s="779"/>
      <c r="BY326" s="779"/>
      <c r="BZ326" s="779"/>
      <c r="CA326" s="779"/>
      <c r="CB326" s="779"/>
      <c r="CC326" s="779"/>
    </row>
    <row r="327" spans="1:81">
      <c r="A327" s="779"/>
      <c r="B327" s="779"/>
      <c r="C327" s="779"/>
      <c r="D327" s="779"/>
      <c r="E327" s="779"/>
      <c r="F327" s="779"/>
      <c r="G327" s="779"/>
      <c r="H327" s="779"/>
      <c r="I327" s="779"/>
      <c r="J327" s="779"/>
      <c r="K327" s="779"/>
      <c r="L327" s="779"/>
      <c r="M327" s="779"/>
      <c r="N327" s="779"/>
      <c r="O327" s="779"/>
      <c r="P327" s="779"/>
      <c r="Q327" s="779"/>
      <c r="R327" s="779"/>
      <c r="S327" s="779"/>
      <c r="T327" s="779"/>
      <c r="U327" s="779"/>
      <c r="V327" s="779"/>
      <c r="W327" s="779"/>
      <c r="X327" s="779"/>
      <c r="Y327" s="779"/>
      <c r="Z327" s="779"/>
      <c r="AA327" s="779"/>
      <c r="AB327" s="779"/>
      <c r="AC327" s="779"/>
      <c r="AD327" s="779"/>
      <c r="AE327" s="779"/>
      <c r="AF327" s="779"/>
      <c r="AG327" s="779"/>
      <c r="AH327" s="779"/>
      <c r="AI327" s="779"/>
      <c r="AJ327" s="779"/>
      <c r="AK327" s="779"/>
      <c r="AL327" s="779"/>
      <c r="AM327" s="779"/>
      <c r="AN327" s="779"/>
      <c r="AO327" s="779"/>
      <c r="AP327" s="779"/>
      <c r="AQ327" s="779"/>
      <c r="AR327" s="779"/>
      <c r="AS327" s="779"/>
      <c r="AT327" s="779"/>
      <c r="AU327" s="779"/>
      <c r="AV327" s="779"/>
      <c r="AW327" s="779"/>
      <c r="AX327" s="779"/>
      <c r="AY327" s="779"/>
      <c r="AZ327" s="779"/>
      <c r="BA327" s="779"/>
      <c r="BB327" s="779"/>
      <c r="BC327" s="779"/>
      <c r="BD327" s="779"/>
      <c r="BE327" s="779"/>
      <c r="BF327" s="779"/>
      <c r="BG327" s="779"/>
      <c r="BH327" s="779"/>
      <c r="BI327" s="779"/>
      <c r="BJ327" s="779"/>
      <c r="BK327" s="779"/>
      <c r="BL327" s="779"/>
      <c r="BM327" s="779"/>
      <c r="BN327" s="779"/>
      <c r="BO327" s="779"/>
      <c r="BP327" s="779"/>
      <c r="BQ327" s="779"/>
      <c r="BR327" s="779"/>
      <c r="BS327" s="779"/>
      <c r="BT327" s="779"/>
      <c r="BU327" s="779"/>
      <c r="BV327" s="779"/>
      <c r="BW327" s="779"/>
      <c r="BX327" s="779"/>
      <c r="BY327" s="779"/>
      <c r="BZ327" s="779"/>
      <c r="CA327" s="779"/>
      <c r="CB327" s="779"/>
      <c r="CC327" s="779"/>
    </row>
    <row r="328" spans="1:81">
      <c r="A328" s="779"/>
      <c r="B328" s="779"/>
      <c r="C328" s="779"/>
      <c r="D328" s="779"/>
      <c r="E328" s="779"/>
      <c r="F328" s="779"/>
      <c r="G328" s="779"/>
      <c r="H328" s="779"/>
      <c r="I328" s="779"/>
      <c r="J328" s="779"/>
      <c r="K328" s="779"/>
      <c r="L328" s="779"/>
      <c r="M328" s="779"/>
      <c r="N328" s="779"/>
      <c r="O328" s="779"/>
      <c r="P328" s="779"/>
      <c r="Q328" s="779"/>
      <c r="R328" s="779"/>
      <c r="S328" s="779"/>
      <c r="T328" s="779"/>
      <c r="U328" s="779"/>
      <c r="V328" s="779"/>
      <c r="W328" s="779"/>
      <c r="X328" s="779"/>
      <c r="Y328" s="779"/>
      <c r="Z328" s="779"/>
      <c r="AA328" s="779"/>
      <c r="AB328" s="779"/>
      <c r="AC328" s="779"/>
      <c r="AD328" s="779"/>
      <c r="AE328" s="779"/>
      <c r="AF328" s="779"/>
      <c r="AG328" s="779"/>
      <c r="AH328" s="779"/>
      <c r="AI328" s="779"/>
      <c r="AJ328" s="779"/>
      <c r="AK328" s="779"/>
      <c r="AL328" s="779"/>
      <c r="AM328" s="779"/>
      <c r="AN328" s="779"/>
      <c r="AO328" s="779"/>
      <c r="AP328" s="779"/>
      <c r="AQ328" s="779"/>
      <c r="AR328" s="779"/>
      <c r="AS328" s="779"/>
      <c r="AT328" s="779"/>
      <c r="AU328" s="779"/>
      <c r="AV328" s="779"/>
      <c r="AW328" s="779"/>
      <c r="AX328" s="779"/>
      <c r="AY328" s="779"/>
      <c r="AZ328" s="779"/>
      <c r="BA328" s="779"/>
      <c r="BB328" s="779"/>
      <c r="BC328" s="779"/>
      <c r="BD328" s="779"/>
      <c r="BE328" s="779"/>
      <c r="BF328" s="779"/>
      <c r="BG328" s="779"/>
      <c r="BH328" s="779"/>
      <c r="BI328" s="779"/>
      <c r="BJ328" s="779"/>
      <c r="BK328" s="779"/>
      <c r="BL328" s="779"/>
      <c r="BM328" s="779"/>
      <c r="BN328" s="779"/>
      <c r="BO328" s="779"/>
      <c r="BP328" s="779"/>
      <c r="BQ328" s="779"/>
      <c r="BR328" s="779"/>
      <c r="BS328" s="779"/>
      <c r="BT328" s="779"/>
      <c r="BU328" s="779"/>
      <c r="BV328" s="779"/>
      <c r="BW328" s="779"/>
      <c r="BX328" s="779"/>
      <c r="BY328" s="779"/>
      <c r="BZ328" s="779"/>
      <c r="CA328" s="779"/>
      <c r="CB328" s="779"/>
      <c r="CC328" s="779"/>
    </row>
    <row r="329" spans="1:81">
      <c r="A329" s="779"/>
      <c r="B329" s="779"/>
      <c r="C329" s="779"/>
      <c r="D329" s="779"/>
      <c r="E329" s="779"/>
      <c r="F329" s="779"/>
      <c r="G329" s="779"/>
      <c r="H329" s="779"/>
      <c r="I329" s="779"/>
      <c r="J329" s="779"/>
      <c r="K329" s="779"/>
      <c r="L329" s="779"/>
      <c r="M329" s="779"/>
      <c r="N329" s="779"/>
      <c r="O329" s="779"/>
      <c r="P329" s="779"/>
      <c r="Q329" s="779"/>
      <c r="R329" s="779"/>
      <c r="S329" s="779"/>
      <c r="T329" s="779"/>
      <c r="U329" s="779"/>
      <c r="V329" s="779"/>
      <c r="W329" s="779"/>
      <c r="X329" s="779"/>
      <c r="Y329" s="779"/>
      <c r="Z329" s="779"/>
      <c r="AA329" s="779"/>
      <c r="AB329" s="779"/>
      <c r="AC329" s="779"/>
      <c r="AD329" s="779"/>
      <c r="AE329" s="779"/>
      <c r="AF329" s="779"/>
      <c r="AG329" s="779"/>
      <c r="AH329" s="779"/>
      <c r="AI329" s="779"/>
      <c r="AJ329" s="779"/>
      <c r="AK329" s="779"/>
      <c r="AL329" s="779"/>
      <c r="AM329" s="779"/>
      <c r="AN329" s="779"/>
      <c r="AO329" s="779"/>
      <c r="AP329" s="779"/>
      <c r="AQ329" s="779"/>
      <c r="AR329" s="779"/>
      <c r="AS329" s="779"/>
      <c r="AT329" s="779"/>
      <c r="AU329" s="779"/>
      <c r="AV329" s="779"/>
      <c r="AW329" s="779"/>
      <c r="AX329" s="779"/>
      <c r="AY329" s="779"/>
      <c r="AZ329" s="779"/>
      <c r="BA329" s="779"/>
      <c r="BB329" s="779"/>
      <c r="BC329" s="779"/>
      <c r="BD329" s="779"/>
      <c r="BE329" s="779"/>
      <c r="BF329" s="779"/>
      <c r="BG329" s="779"/>
      <c r="BH329" s="779"/>
      <c r="BI329" s="779"/>
      <c r="BJ329" s="779"/>
      <c r="BK329" s="779"/>
      <c r="BL329" s="779"/>
      <c r="BM329" s="779"/>
      <c r="BN329" s="779"/>
      <c r="BO329" s="779"/>
      <c r="BP329" s="779"/>
      <c r="BQ329" s="779"/>
      <c r="BR329" s="779"/>
      <c r="BS329" s="779"/>
      <c r="BT329" s="779"/>
      <c r="BU329" s="779"/>
      <c r="BV329" s="779"/>
      <c r="BW329" s="779"/>
      <c r="BX329" s="779"/>
      <c r="BY329" s="779"/>
      <c r="BZ329" s="779"/>
      <c r="CA329" s="779"/>
      <c r="CB329" s="779"/>
      <c r="CC329" s="779"/>
    </row>
    <row r="330" spans="1:81">
      <c r="A330" s="779"/>
      <c r="B330" s="779"/>
      <c r="C330" s="779"/>
      <c r="D330" s="779"/>
      <c r="E330" s="779"/>
      <c r="F330" s="779"/>
      <c r="G330" s="779"/>
      <c r="H330" s="779"/>
      <c r="I330" s="779"/>
      <c r="J330" s="779"/>
      <c r="K330" s="779"/>
      <c r="L330" s="779"/>
      <c r="M330" s="779"/>
      <c r="N330" s="779"/>
      <c r="O330" s="779"/>
      <c r="P330" s="779"/>
      <c r="Q330" s="779"/>
      <c r="R330" s="779"/>
      <c r="S330" s="779"/>
      <c r="T330" s="779"/>
      <c r="U330" s="779"/>
      <c r="V330" s="779"/>
      <c r="W330" s="779"/>
      <c r="X330" s="779"/>
      <c r="Y330" s="779"/>
      <c r="Z330" s="779"/>
      <c r="AA330" s="779"/>
      <c r="AB330" s="779"/>
      <c r="AC330" s="779"/>
      <c r="AD330" s="779"/>
      <c r="AE330" s="779"/>
      <c r="AF330" s="779"/>
      <c r="AG330" s="779"/>
      <c r="AH330" s="779"/>
      <c r="AI330" s="779"/>
      <c r="AJ330" s="779"/>
      <c r="AK330" s="779"/>
      <c r="AL330" s="779"/>
      <c r="AM330" s="779"/>
      <c r="AN330" s="779"/>
      <c r="AO330" s="779"/>
      <c r="AP330" s="779"/>
      <c r="AQ330" s="779"/>
      <c r="AR330" s="779"/>
      <c r="AS330" s="779"/>
      <c r="AT330" s="779"/>
      <c r="AU330" s="779"/>
      <c r="AV330" s="779"/>
      <c r="AW330" s="779"/>
      <c r="AX330" s="779"/>
      <c r="AY330" s="779"/>
      <c r="AZ330" s="779"/>
      <c r="BA330" s="779"/>
      <c r="BB330" s="779"/>
      <c r="BC330" s="779"/>
      <c r="BD330" s="779"/>
      <c r="BE330" s="779"/>
      <c r="BF330" s="779"/>
      <c r="BG330" s="779"/>
      <c r="BH330" s="779"/>
      <c r="BI330" s="779"/>
      <c r="BJ330" s="779"/>
      <c r="BK330" s="779"/>
      <c r="BL330" s="779"/>
      <c r="BM330" s="779"/>
      <c r="BN330" s="779"/>
      <c r="BO330" s="779"/>
      <c r="BP330" s="779"/>
      <c r="BQ330" s="779"/>
      <c r="BR330" s="779"/>
      <c r="BS330" s="779"/>
      <c r="BT330" s="779"/>
      <c r="BU330" s="779"/>
      <c r="BV330" s="779"/>
      <c r="BW330" s="779"/>
      <c r="BX330" s="779"/>
      <c r="BY330" s="779"/>
      <c r="BZ330" s="779"/>
      <c r="CA330" s="779"/>
      <c r="CB330" s="779"/>
      <c r="CC330" s="779"/>
    </row>
    <row r="331" spans="1:81">
      <c r="A331" s="779"/>
      <c r="B331" s="779"/>
      <c r="C331" s="779"/>
      <c r="D331" s="779"/>
      <c r="E331" s="779"/>
      <c r="F331" s="779"/>
      <c r="G331" s="779"/>
      <c r="H331" s="779"/>
      <c r="I331" s="779"/>
      <c r="J331" s="779"/>
      <c r="K331" s="779"/>
      <c r="L331" s="779"/>
      <c r="M331" s="779"/>
      <c r="N331" s="779"/>
      <c r="O331" s="779"/>
      <c r="P331" s="779"/>
      <c r="Q331" s="779"/>
      <c r="R331" s="779"/>
      <c r="S331" s="779"/>
      <c r="T331" s="779"/>
      <c r="U331" s="779"/>
      <c r="V331" s="779"/>
      <c r="W331" s="779"/>
      <c r="X331" s="779"/>
      <c r="Y331" s="779"/>
      <c r="Z331" s="779"/>
      <c r="AA331" s="779"/>
      <c r="AB331" s="779"/>
      <c r="AC331" s="779"/>
      <c r="AD331" s="779"/>
      <c r="AE331" s="779"/>
      <c r="AF331" s="779"/>
      <c r="AG331" s="779"/>
      <c r="AH331" s="779"/>
      <c r="AI331" s="779"/>
      <c r="AJ331" s="779"/>
      <c r="AK331" s="779"/>
      <c r="AL331" s="779"/>
      <c r="AM331" s="779"/>
      <c r="AN331" s="779"/>
      <c r="AO331" s="779"/>
      <c r="AP331" s="779"/>
      <c r="AQ331" s="779"/>
      <c r="AR331" s="779"/>
      <c r="AS331" s="779"/>
      <c r="AT331" s="779"/>
      <c r="AU331" s="779"/>
      <c r="AV331" s="779"/>
      <c r="AW331" s="779"/>
      <c r="AX331" s="779"/>
      <c r="AY331" s="779"/>
      <c r="AZ331" s="779"/>
      <c r="BA331" s="779"/>
      <c r="BB331" s="779"/>
      <c r="BC331" s="779"/>
      <c r="BD331" s="779"/>
      <c r="BE331" s="779"/>
      <c r="BF331" s="779"/>
      <c r="BG331" s="779"/>
      <c r="BH331" s="779"/>
      <c r="BI331" s="779"/>
      <c r="BJ331" s="779"/>
      <c r="BK331" s="779"/>
      <c r="BL331" s="779"/>
      <c r="BM331" s="779"/>
      <c r="BN331" s="779"/>
      <c r="BO331" s="779"/>
      <c r="BP331" s="779"/>
      <c r="BQ331" s="779"/>
      <c r="BR331" s="779"/>
      <c r="BS331" s="779"/>
      <c r="BT331" s="779"/>
      <c r="BU331" s="779"/>
      <c r="BV331" s="779"/>
      <c r="BW331" s="779"/>
      <c r="BX331" s="779"/>
      <c r="BY331" s="779"/>
      <c r="BZ331" s="779"/>
      <c r="CA331" s="779"/>
      <c r="CB331" s="779"/>
      <c r="CC331" s="779"/>
    </row>
    <row r="332" spans="1:81">
      <c r="A332" s="779"/>
      <c r="B332" s="779"/>
      <c r="C332" s="779"/>
      <c r="D332" s="779"/>
      <c r="E332" s="779"/>
      <c r="F332" s="779"/>
      <c r="G332" s="779"/>
      <c r="H332" s="779"/>
      <c r="I332" s="779"/>
      <c r="J332" s="779"/>
      <c r="K332" s="779"/>
      <c r="L332" s="779"/>
      <c r="M332" s="779"/>
      <c r="N332" s="779"/>
      <c r="O332" s="779"/>
      <c r="P332" s="779"/>
      <c r="Q332" s="779"/>
      <c r="R332" s="779"/>
      <c r="S332" s="779"/>
      <c r="T332" s="779"/>
      <c r="U332" s="779"/>
      <c r="V332" s="779"/>
      <c r="W332" s="779"/>
      <c r="X332" s="779"/>
      <c r="Y332" s="779"/>
      <c r="Z332" s="779"/>
      <c r="AA332" s="779"/>
      <c r="AB332" s="779"/>
      <c r="AC332" s="779"/>
      <c r="AD332" s="779"/>
      <c r="AE332" s="779"/>
      <c r="AF332" s="779"/>
      <c r="AG332" s="779"/>
      <c r="AH332" s="779"/>
      <c r="AI332" s="779"/>
      <c r="AJ332" s="779"/>
      <c r="AK332" s="779"/>
      <c r="AL332" s="779"/>
      <c r="AM332" s="779"/>
      <c r="AN332" s="779"/>
      <c r="AO332" s="779"/>
      <c r="AP332" s="779"/>
      <c r="AQ332" s="779"/>
      <c r="AR332" s="779"/>
      <c r="AS332" s="779"/>
      <c r="AT332" s="779"/>
      <c r="AU332" s="779"/>
      <c r="AV332" s="779"/>
      <c r="AW332" s="779"/>
      <c r="AX332" s="779"/>
      <c r="AY332" s="779"/>
      <c r="AZ332" s="779"/>
      <c r="BA332" s="779"/>
      <c r="BB332" s="779"/>
      <c r="BC332" s="779"/>
      <c r="BD332" s="779"/>
      <c r="BE332" s="779"/>
      <c r="BF332" s="779"/>
      <c r="BG332" s="779"/>
      <c r="BH332" s="779"/>
      <c r="BI332" s="779"/>
      <c r="BJ332" s="779"/>
      <c r="BK332" s="779"/>
      <c r="BL332" s="779"/>
      <c r="BM332" s="779"/>
      <c r="BN332" s="779"/>
      <c r="BO332" s="779"/>
      <c r="BP332" s="779"/>
      <c r="BQ332" s="779"/>
      <c r="BR332" s="779"/>
      <c r="BS332" s="779"/>
      <c r="BT332" s="779"/>
      <c r="BU332" s="779"/>
      <c r="BV332" s="779"/>
      <c r="BW332" s="779"/>
      <c r="BX332" s="779"/>
      <c r="BY332" s="779"/>
      <c r="BZ332" s="779"/>
      <c r="CA332" s="779"/>
      <c r="CB332" s="779"/>
      <c r="CC332" s="779"/>
    </row>
    <row r="333" spans="1:81">
      <c r="A333" s="779"/>
      <c r="B333" s="779"/>
      <c r="C333" s="779"/>
      <c r="D333" s="779"/>
      <c r="E333" s="779"/>
      <c r="F333" s="779"/>
      <c r="G333" s="779"/>
      <c r="H333" s="779"/>
      <c r="I333" s="779"/>
      <c r="J333" s="779"/>
      <c r="K333" s="779"/>
      <c r="L333" s="779"/>
      <c r="M333" s="779"/>
      <c r="N333" s="779"/>
      <c r="O333" s="779"/>
      <c r="P333" s="779"/>
      <c r="Q333" s="779"/>
      <c r="R333" s="779"/>
      <c r="S333" s="779"/>
      <c r="T333" s="779"/>
      <c r="U333" s="779"/>
      <c r="V333" s="779"/>
      <c r="W333" s="779"/>
      <c r="X333" s="779"/>
      <c r="Y333" s="779"/>
      <c r="Z333" s="779"/>
      <c r="AA333" s="779"/>
      <c r="AB333" s="779"/>
      <c r="AC333" s="779"/>
      <c r="AD333" s="779"/>
      <c r="AE333" s="779"/>
      <c r="AF333" s="779"/>
      <c r="AG333" s="779"/>
      <c r="AH333" s="779"/>
      <c r="AI333" s="779"/>
      <c r="AJ333" s="779"/>
      <c r="AK333" s="779"/>
      <c r="AL333" s="779"/>
      <c r="AM333" s="779"/>
      <c r="AN333" s="779"/>
      <c r="AO333" s="779"/>
      <c r="AP333" s="779"/>
      <c r="AQ333" s="779"/>
      <c r="AR333" s="779"/>
      <c r="AS333" s="779"/>
      <c r="AT333" s="779"/>
      <c r="AU333" s="779"/>
      <c r="AV333" s="779"/>
      <c r="AW333" s="779"/>
      <c r="AX333" s="779"/>
      <c r="AY333" s="779"/>
      <c r="AZ333" s="779"/>
      <c r="BA333" s="779"/>
      <c r="BB333" s="779"/>
      <c r="BC333" s="779"/>
      <c r="BD333" s="779"/>
      <c r="BE333" s="779"/>
      <c r="BF333" s="779"/>
      <c r="BG333" s="779"/>
      <c r="BH333" s="779"/>
      <c r="BI333" s="779"/>
      <c r="BJ333" s="779"/>
      <c r="BK333" s="779"/>
      <c r="BL333" s="779"/>
      <c r="BM333" s="779"/>
      <c r="BN333" s="779"/>
      <c r="BO333" s="779"/>
      <c r="BP333" s="779"/>
      <c r="BQ333" s="779"/>
      <c r="BR333" s="779"/>
      <c r="BS333" s="779"/>
      <c r="BT333" s="779"/>
      <c r="BU333" s="779"/>
      <c r="BV333" s="779"/>
      <c r="BW333" s="779"/>
      <c r="BX333" s="779"/>
      <c r="BY333" s="779"/>
      <c r="BZ333" s="779"/>
      <c r="CA333" s="779"/>
      <c r="CB333" s="779"/>
      <c r="CC333" s="779"/>
    </row>
    <row r="334" spans="1:81">
      <c r="A334" s="779"/>
      <c r="B334" s="779"/>
      <c r="C334" s="779"/>
      <c r="D334" s="779"/>
      <c r="E334" s="779"/>
      <c r="F334" s="779"/>
      <c r="G334" s="779"/>
      <c r="H334" s="779"/>
      <c r="I334" s="779"/>
      <c r="J334" s="779"/>
      <c r="K334" s="779"/>
      <c r="L334" s="779"/>
      <c r="M334" s="779"/>
      <c r="N334" s="779"/>
      <c r="O334" s="779"/>
      <c r="P334" s="779"/>
      <c r="Q334" s="779"/>
      <c r="R334" s="779"/>
      <c r="S334" s="779"/>
      <c r="T334" s="779"/>
      <c r="U334" s="779"/>
      <c r="V334" s="779"/>
      <c r="W334" s="779"/>
      <c r="X334" s="779"/>
      <c r="Y334" s="779"/>
      <c r="Z334" s="779"/>
      <c r="AA334" s="779"/>
      <c r="AB334" s="779"/>
      <c r="AC334" s="779"/>
      <c r="AD334" s="779"/>
      <c r="AE334" s="779"/>
      <c r="AF334" s="779"/>
      <c r="AG334" s="779"/>
      <c r="AH334" s="779"/>
      <c r="AI334" s="779"/>
      <c r="AJ334" s="779"/>
      <c r="AK334" s="779"/>
      <c r="AL334" s="779"/>
      <c r="AM334" s="779"/>
      <c r="AN334" s="779"/>
      <c r="AO334" s="779"/>
      <c r="AP334" s="779"/>
      <c r="AQ334" s="779"/>
      <c r="AR334" s="779"/>
      <c r="AS334" s="779"/>
      <c r="AT334" s="779"/>
      <c r="AU334" s="779"/>
      <c r="AV334" s="779"/>
      <c r="AW334" s="779"/>
      <c r="AX334" s="779"/>
      <c r="AY334" s="779"/>
      <c r="AZ334" s="779"/>
      <c r="BA334" s="779"/>
      <c r="BB334" s="779"/>
      <c r="BC334" s="779"/>
      <c r="BD334" s="779"/>
      <c r="BE334" s="779"/>
      <c r="BF334" s="779"/>
      <c r="BG334" s="779"/>
      <c r="BH334" s="779"/>
      <c r="BI334" s="779"/>
      <c r="BJ334" s="779"/>
      <c r="BK334" s="779"/>
      <c r="BL334" s="779"/>
      <c r="BM334" s="779"/>
      <c r="BN334" s="779"/>
      <c r="BO334" s="779"/>
      <c r="BP334" s="779"/>
      <c r="BQ334" s="779"/>
      <c r="BR334" s="779"/>
      <c r="BS334" s="779"/>
      <c r="BT334" s="779"/>
      <c r="BU334" s="779"/>
      <c r="BV334" s="779"/>
      <c r="BW334" s="779"/>
      <c r="BX334" s="779"/>
      <c r="BY334" s="779"/>
      <c r="BZ334" s="779"/>
      <c r="CA334" s="779"/>
      <c r="CB334" s="779"/>
      <c r="CC334" s="779"/>
    </row>
    <row r="335" spans="1:81">
      <c r="A335" s="779"/>
      <c r="B335" s="779"/>
      <c r="C335" s="779"/>
      <c r="D335" s="779"/>
      <c r="E335" s="779"/>
      <c r="F335" s="779"/>
      <c r="G335" s="779"/>
      <c r="H335" s="779"/>
      <c r="I335" s="779"/>
      <c r="J335" s="779"/>
      <c r="K335" s="779"/>
      <c r="L335" s="779"/>
      <c r="M335" s="779"/>
      <c r="N335" s="779"/>
      <c r="O335" s="779"/>
      <c r="P335" s="779"/>
      <c r="Q335" s="779"/>
      <c r="R335" s="779"/>
      <c r="S335" s="779"/>
      <c r="T335" s="779"/>
      <c r="U335" s="779"/>
      <c r="V335" s="779"/>
      <c r="W335" s="779"/>
      <c r="X335" s="779"/>
      <c r="Y335" s="779"/>
      <c r="Z335" s="779"/>
      <c r="AA335" s="779"/>
      <c r="AB335" s="779"/>
      <c r="AC335" s="779"/>
      <c r="AD335" s="779"/>
      <c r="AE335" s="779"/>
      <c r="AF335" s="779"/>
      <c r="AG335" s="779"/>
      <c r="AH335" s="779"/>
      <c r="AI335" s="779"/>
      <c r="AJ335" s="779"/>
      <c r="AK335" s="779"/>
      <c r="AL335" s="779"/>
      <c r="AM335" s="779"/>
      <c r="AN335" s="779"/>
      <c r="AO335" s="779"/>
      <c r="AP335" s="779"/>
      <c r="AQ335" s="779"/>
      <c r="AR335" s="779"/>
      <c r="AS335" s="779"/>
      <c r="AT335" s="779"/>
      <c r="AU335" s="779"/>
      <c r="AV335" s="779"/>
      <c r="AW335" s="779"/>
      <c r="AX335" s="779"/>
      <c r="AY335" s="779"/>
      <c r="AZ335" s="779"/>
      <c r="BA335" s="779"/>
      <c r="BB335" s="779"/>
      <c r="BC335" s="779"/>
      <c r="BD335" s="779"/>
      <c r="BE335" s="779"/>
      <c r="BF335" s="779"/>
      <c r="BG335" s="779"/>
      <c r="BH335" s="779"/>
      <c r="BI335" s="779"/>
      <c r="BJ335" s="779"/>
      <c r="BK335" s="779"/>
      <c r="BL335" s="779"/>
      <c r="BM335" s="779"/>
      <c r="BN335" s="779"/>
      <c r="BO335" s="779"/>
      <c r="BP335" s="779"/>
      <c r="BQ335" s="779"/>
      <c r="BR335" s="779"/>
      <c r="BS335" s="779"/>
      <c r="BT335" s="779"/>
      <c r="BU335" s="779"/>
      <c r="BV335" s="779"/>
      <c r="BW335" s="779"/>
      <c r="BX335" s="779"/>
      <c r="BY335" s="779"/>
      <c r="BZ335" s="779"/>
      <c r="CA335" s="779"/>
      <c r="CB335" s="779"/>
      <c r="CC335" s="779"/>
    </row>
    <row r="336" spans="1:81">
      <c r="A336" s="779"/>
      <c r="B336" s="779"/>
      <c r="C336" s="779"/>
      <c r="D336" s="779"/>
      <c r="E336" s="779"/>
      <c r="F336" s="779"/>
      <c r="G336" s="779"/>
      <c r="H336" s="779"/>
      <c r="I336" s="779"/>
      <c r="J336" s="779"/>
      <c r="K336" s="779"/>
      <c r="L336" s="779"/>
      <c r="M336" s="779"/>
      <c r="N336" s="779"/>
      <c r="O336" s="779"/>
      <c r="P336" s="779"/>
      <c r="Q336" s="779"/>
      <c r="R336" s="779"/>
      <c r="S336" s="779"/>
      <c r="T336" s="779"/>
      <c r="U336" s="779"/>
      <c r="V336" s="779"/>
      <c r="W336" s="779"/>
      <c r="X336" s="779"/>
      <c r="Y336" s="779"/>
      <c r="Z336" s="779"/>
      <c r="AA336" s="779"/>
      <c r="AB336" s="779"/>
      <c r="AC336" s="779"/>
      <c r="AD336" s="779"/>
      <c r="AE336" s="779"/>
      <c r="AF336" s="779"/>
      <c r="AG336" s="779"/>
      <c r="AH336" s="779"/>
      <c r="AI336" s="779"/>
      <c r="AJ336" s="779"/>
      <c r="AK336" s="779"/>
      <c r="AL336" s="779"/>
      <c r="AM336" s="779"/>
      <c r="AN336" s="779"/>
      <c r="AO336" s="779"/>
      <c r="AP336" s="779"/>
      <c r="AQ336" s="779"/>
      <c r="AR336" s="779"/>
      <c r="AS336" s="779"/>
      <c r="AT336" s="779"/>
      <c r="AU336" s="779"/>
      <c r="AV336" s="779"/>
      <c r="AW336" s="779"/>
      <c r="AX336" s="779"/>
      <c r="AY336" s="779"/>
      <c r="AZ336" s="779"/>
      <c r="BA336" s="779"/>
      <c r="BB336" s="779"/>
      <c r="BC336" s="779"/>
      <c r="BD336" s="779"/>
      <c r="BE336" s="779"/>
      <c r="BF336" s="779"/>
      <c r="BG336" s="779"/>
      <c r="BH336" s="779"/>
      <c r="BI336" s="779"/>
      <c r="BJ336" s="779"/>
      <c r="BK336" s="779"/>
      <c r="BL336" s="779"/>
      <c r="BM336" s="779"/>
      <c r="BN336" s="779"/>
      <c r="BO336" s="779"/>
      <c r="BP336" s="779"/>
      <c r="BQ336" s="779"/>
      <c r="BR336" s="779"/>
      <c r="BS336" s="779"/>
      <c r="BT336" s="779"/>
      <c r="BU336" s="779"/>
      <c r="BV336" s="779"/>
      <c r="BW336" s="779"/>
      <c r="BX336" s="779"/>
      <c r="BY336" s="779"/>
      <c r="BZ336" s="779"/>
      <c r="CA336" s="779"/>
      <c r="CB336" s="779"/>
      <c r="CC336" s="779"/>
    </row>
    <row r="337" spans="1:81">
      <c r="A337" s="779"/>
      <c r="B337" s="779"/>
      <c r="C337" s="779"/>
      <c r="D337" s="779"/>
      <c r="E337" s="779"/>
      <c r="F337" s="779"/>
      <c r="G337" s="779"/>
      <c r="H337" s="779"/>
      <c r="I337" s="779"/>
      <c r="J337" s="779"/>
      <c r="K337" s="779"/>
      <c r="L337" s="779"/>
      <c r="M337" s="779"/>
      <c r="N337" s="779"/>
      <c r="O337" s="779"/>
      <c r="P337" s="779"/>
      <c r="Q337" s="779"/>
      <c r="R337" s="779"/>
      <c r="S337" s="779"/>
      <c r="T337" s="779"/>
      <c r="U337" s="779"/>
      <c r="V337" s="779"/>
      <c r="W337" s="779"/>
      <c r="X337" s="779"/>
      <c r="Y337" s="779"/>
      <c r="Z337" s="779"/>
      <c r="AA337" s="779"/>
      <c r="AB337" s="779"/>
      <c r="AC337" s="779"/>
      <c r="AD337" s="779"/>
      <c r="AE337" s="779"/>
      <c r="AF337" s="779"/>
      <c r="AG337" s="779"/>
      <c r="AH337" s="779"/>
      <c r="AI337" s="779"/>
      <c r="AJ337" s="779"/>
      <c r="AK337" s="779"/>
      <c r="AL337" s="779"/>
      <c r="AM337" s="779"/>
      <c r="AN337" s="779"/>
      <c r="AO337" s="779"/>
      <c r="AP337" s="779"/>
      <c r="AQ337" s="779"/>
      <c r="AR337" s="779"/>
      <c r="AS337" s="779"/>
      <c r="AT337" s="779"/>
      <c r="AU337" s="779"/>
      <c r="AV337" s="779"/>
      <c r="AW337" s="779"/>
      <c r="AX337" s="779"/>
      <c r="AY337" s="779"/>
      <c r="AZ337" s="779"/>
      <c r="BA337" s="779"/>
      <c r="BB337" s="779"/>
      <c r="BC337" s="779"/>
      <c r="BD337" s="779"/>
      <c r="BE337" s="779"/>
      <c r="BF337" s="779"/>
      <c r="BG337" s="779"/>
      <c r="BH337" s="779"/>
      <c r="BI337" s="779"/>
      <c r="BJ337" s="779"/>
      <c r="BK337" s="779"/>
      <c r="BL337" s="779"/>
      <c r="BM337" s="779"/>
      <c r="BN337" s="779"/>
      <c r="BO337" s="779"/>
      <c r="BP337" s="779"/>
      <c r="BQ337" s="779"/>
      <c r="BR337" s="779"/>
      <c r="BS337" s="779"/>
      <c r="BT337" s="779"/>
      <c r="BU337" s="779"/>
      <c r="BV337" s="779"/>
      <c r="BW337" s="779"/>
      <c r="BX337" s="779"/>
      <c r="BY337" s="779"/>
      <c r="BZ337" s="779"/>
      <c r="CA337" s="779"/>
      <c r="CB337" s="779"/>
      <c r="CC337" s="779"/>
    </row>
    <row r="338" spans="1:81">
      <c r="A338" s="779"/>
      <c r="B338" s="779"/>
      <c r="C338" s="779"/>
      <c r="D338" s="779"/>
      <c r="E338" s="779"/>
      <c r="F338" s="779"/>
      <c r="G338" s="779"/>
      <c r="H338" s="779"/>
      <c r="I338" s="779"/>
      <c r="J338" s="779"/>
      <c r="K338" s="779"/>
      <c r="L338" s="779"/>
      <c r="M338" s="779"/>
      <c r="N338" s="779"/>
      <c r="O338" s="779"/>
      <c r="P338" s="779"/>
      <c r="Q338" s="779"/>
      <c r="R338" s="779"/>
      <c r="S338" s="779"/>
      <c r="T338" s="779"/>
      <c r="U338" s="779"/>
      <c r="V338" s="779"/>
      <c r="W338" s="779"/>
      <c r="X338" s="779"/>
      <c r="Y338" s="779"/>
      <c r="Z338" s="779"/>
      <c r="AA338" s="779"/>
      <c r="AB338" s="779"/>
      <c r="AC338" s="779"/>
      <c r="AD338" s="779"/>
      <c r="AE338" s="779"/>
      <c r="AF338" s="779"/>
      <c r="AG338" s="779"/>
      <c r="AH338" s="779"/>
      <c r="AI338" s="779"/>
      <c r="AJ338" s="779"/>
      <c r="AK338" s="779"/>
      <c r="AL338" s="779"/>
      <c r="AM338" s="779"/>
      <c r="AN338" s="779"/>
      <c r="AO338" s="779"/>
      <c r="AP338" s="779"/>
      <c r="AQ338" s="779"/>
      <c r="AR338" s="779"/>
      <c r="AS338" s="779"/>
      <c r="AT338" s="779"/>
      <c r="AU338" s="779"/>
      <c r="AV338" s="779"/>
      <c r="AW338" s="779"/>
      <c r="AX338" s="779"/>
      <c r="AY338" s="779"/>
      <c r="AZ338" s="779"/>
      <c r="BA338" s="779"/>
      <c r="BB338" s="779"/>
      <c r="BC338" s="779"/>
      <c r="BD338" s="779"/>
      <c r="BE338" s="779"/>
      <c r="BF338" s="779"/>
      <c r="BG338" s="779"/>
      <c r="BH338" s="779"/>
      <c r="BI338" s="779"/>
      <c r="BJ338" s="779"/>
      <c r="BK338" s="779"/>
      <c r="BL338" s="779"/>
      <c r="BM338" s="779"/>
      <c r="BN338" s="779"/>
      <c r="BO338" s="779"/>
      <c r="BP338" s="779"/>
      <c r="BQ338" s="779"/>
      <c r="BR338" s="779"/>
      <c r="BS338" s="779"/>
      <c r="BT338" s="779"/>
      <c r="BU338" s="779"/>
      <c r="BV338" s="779"/>
      <c r="BW338" s="779"/>
      <c r="BX338" s="779"/>
      <c r="BY338" s="779"/>
      <c r="BZ338" s="779"/>
      <c r="CA338" s="779"/>
      <c r="CB338" s="779"/>
      <c r="CC338" s="779"/>
    </row>
    <row r="339" spans="1:81">
      <c r="A339" s="779"/>
      <c r="B339" s="779"/>
      <c r="C339" s="779"/>
      <c r="D339" s="779"/>
      <c r="E339" s="779"/>
      <c r="F339" s="779"/>
      <c r="G339" s="779"/>
      <c r="H339" s="779"/>
      <c r="I339" s="779"/>
      <c r="J339" s="779"/>
      <c r="K339" s="779"/>
      <c r="L339" s="779"/>
      <c r="M339" s="779"/>
      <c r="N339" s="779"/>
      <c r="O339" s="779"/>
      <c r="P339" s="779"/>
      <c r="Q339" s="779"/>
      <c r="R339" s="779"/>
      <c r="S339" s="779"/>
      <c r="T339" s="779"/>
      <c r="U339" s="779"/>
      <c r="V339" s="779"/>
      <c r="W339" s="779"/>
      <c r="X339" s="779"/>
      <c r="Y339" s="779"/>
      <c r="Z339" s="779"/>
      <c r="AA339" s="779"/>
      <c r="AB339" s="779"/>
      <c r="AC339" s="779"/>
      <c r="AD339" s="779"/>
      <c r="AE339" s="779"/>
      <c r="AF339" s="779"/>
      <c r="AG339" s="779"/>
      <c r="AH339" s="779"/>
      <c r="AI339" s="779"/>
      <c r="AJ339" s="779"/>
      <c r="AK339" s="779"/>
      <c r="AL339" s="779"/>
      <c r="AM339" s="779"/>
      <c r="AN339" s="779"/>
      <c r="AO339" s="779"/>
      <c r="AP339" s="779"/>
      <c r="AQ339" s="779"/>
      <c r="AR339" s="779"/>
      <c r="AS339" s="779"/>
      <c r="AT339" s="779"/>
      <c r="AU339" s="779"/>
      <c r="AV339" s="779"/>
      <c r="AW339" s="779"/>
      <c r="AX339" s="779"/>
      <c r="AY339" s="779"/>
      <c r="AZ339" s="779"/>
      <c r="BA339" s="779"/>
      <c r="BB339" s="779"/>
      <c r="BC339" s="779"/>
      <c r="BD339" s="779"/>
      <c r="BE339" s="779"/>
      <c r="BF339" s="779"/>
      <c r="BG339" s="779"/>
      <c r="BH339" s="779"/>
      <c r="BI339" s="779"/>
      <c r="BJ339" s="779"/>
      <c r="BK339" s="779"/>
      <c r="BL339" s="779"/>
      <c r="BM339" s="779"/>
      <c r="BN339" s="779"/>
      <c r="BO339" s="779"/>
      <c r="BP339" s="779"/>
      <c r="BQ339" s="779"/>
      <c r="BR339" s="779"/>
      <c r="BS339" s="779"/>
      <c r="BT339" s="779"/>
      <c r="BU339" s="779"/>
      <c r="BV339" s="779"/>
      <c r="BW339" s="779"/>
      <c r="BX339" s="779"/>
      <c r="BY339" s="779"/>
      <c r="BZ339" s="779"/>
      <c r="CA339" s="779"/>
      <c r="CB339" s="779"/>
      <c r="CC339" s="779"/>
    </row>
    <row r="340" spans="1:81">
      <c r="A340" s="779"/>
      <c r="B340" s="779"/>
      <c r="C340" s="779"/>
      <c r="D340" s="779"/>
      <c r="E340" s="779"/>
      <c r="F340" s="779"/>
      <c r="G340" s="779"/>
      <c r="H340" s="779"/>
      <c r="I340" s="779"/>
      <c r="J340" s="779"/>
      <c r="K340" s="779"/>
      <c r="L340" s="779"/>
      <c r="M340" s="779"/>
      <c r="N340" s="779"/>
      <c r="O340" s="779"/>
      <c r="P340" s="779"/>
      <c r="Q340" s="779"/>
      <c r="R340" s="779"/>
      <c r="S340" s="779"/>
      <c r="T340" s="779"/>
      <c r="U340" s="779"/>
      <c r="V340" s="779"/>
      <c r="W340" s="779"/>
      <c r="X340" s="779"/>
      <c r="Y340" s="779"/>
      <c r="Z340" s="779"/>
      <c r="AA340" s="779"/>
      <c r="AB340" s="779"/>
      <c r="AC340" s="779"/>
      <c r="AD340" s="779"/>
      <c r="AE340" s="779"/>
      <c r="AF340" s="779"/>
      <c r="AG340" s="779"/>
      <c r="AH340" s="779"/>
      <c r="AI340" s="779"/>
      <c r="AJ340" s="779"/>
      <c r="AK340" s="779"/>
      <c r="AL340" s="779"/>
      <c r="AM340" s="779"/>
      <c r="AN340" s="779"/>
      <c r="AO340" s="779"/>
      <c r="AP340" s="779"/>
      <c r="AQ340" s="779"/>
      <c r="AR340" s="779"/>
      <c r="AS340" s="779"/>
      <c r="AT340" s="779"/>
      <c r="AU340" s="779"/>
      <c r="AV340" s="779"/>
      <c r="AW340" s="779"/>
      <c r="AX340" s="779"/>
      <c r="AY340" s="779"/>
      <c r="AZ340" s="779"/>
      <c r="BA340" s="779"/>
      <c r="BB340" s="779"/>
      <c r="BC340" s="779"/>
      <c r="BD340" s="779"/>
      <c r="BE340" s="779"/>
      <c r="BF340" s="779"/>
      <c r="BG340" s="779"/>
      <c r="BH340" s="779"/>
      <c r="BI340" s="779"/>
      <c r="BJ340" s="779"/>
      <c r="BK340" s="779"/>
      <c r="BL340" s="779"/>
      <c r="BM340" s="779"/>
      <c r="BN340" s="779"/>
      <c r="BO340" s="779"/>
      <c r="BP340" s="779"/>
      <c r="BQ340" s="779"/>
      <c r="BR340" s="779"/>
      <c r="BS340" s="779"/>
      <c r="BT340" s="779"/>
      <c r="BU340" s="779"/>
      <c r="BV340" s="779"/>
      <c r="BW340" s="779"/>
      <c r="BX340" s="779"/>
      <c r="BY340" s="779"/>
      <c r="BZ340" s="779"/>
      <c r="CA340" s="779"/>
      <c r="CB340" s="779"/>
      <c r="CC340" s="779"/>
    </row>
    <row r="341" spans="1:81">
      <c r="A341" s="779"/>
      <c r="B341" s="779"/>
      <c r="C341" s="779"/>
      <c r="D341" s="779"/>
      <c r="E341" s="779"/>
      <c r="F341" s="779"/>
      <c r="G341" s="779"/>
      <c r="H341" s="779"/>
      <c r="I341" s="779"/>
      <c r="J341" s="779"/>
      <c r="K341" s="779"/>
      <c r="L341" s="779"/>
      <c r="M341" s="779"/>
      <c r="N341" s="779"/>
      <c r="O341" s="779"/>
      <c r="P341" s="779"/>
      <c r="Q341" s="779"/>
      <c r="R341" s="779"/>
      <c r="S341" s="779"/>
      <c r="T341" s="779"/>
      <c r="U341" s="779"/>
      <c r="V341" s="779"/>
      <c r="W341" s="779"/>
      <c r="X341" s="779"/>
      <c r="Y341" s="779"/>
      <c r="Z341" s="779"/>
      <c r="AA341" s="779"/>
      <c r="AB341" s="779"/>
      <c r="AC341" s="779"/>
      <c r="AD341" s="779"/>
      <c r="AE341" s="779"/>
      <c r="AF341" s="779"/>
      <c r="AG341" s="779"/>
      <c r="AH341" s="779"/>
      <c r="AI341" s="779"/>
      <c r="AJ341" s="779"/>
      <c r="AK341" s="779"/>
      <c r="AL341" s="779"/>
      <c r="AM341" s="779"/>
      <c r="AN341" s="779"/>
      <c r="AO341" s="779"/>
      <c r="AP341" s="779"/>
      <c r="AQ341" s="779"/>
      <c r="AR341" s="779"/>
      <c r="AS341" s="779"/>
      <c r="AT341" s="779"/>
      <c r="AU341" s="779"/>
      <c r="AV341" s="779"/>
      <c r="AW341" s="779"/>
      <c r="AX341" s="779"/>
      <c r="AY341" s="779"/>
      <c r="AZ341" s="779"/>
      <c r="BA341" s="779"/>
      <c r="BB341" s="779"/>
      <c r="BC341" s="779"/>
      <c r="BD341" s="779"/>
      <c r="BE341" s="779"/>
      <c r="BF341" s="779"/>
      <c r="BG341" s="779"/>
      <c r="BH341" s="779"/>
      <c r="BI341" s="779"/>
      <c r="BJ341" s="779"/>
      <c r="BK341" s="779"/>
      <c r="BL341" s="779"/>
      <c r="BM341" s="779"/>
      <c r="BN341" s="779"/>
      <c r="BO341" s="779"/>
      <c r="BP341" s="779"/>
      <c r="BQ341" s="779"/>
      <c r="BR341" s="779"/>
      <c r="BS341" s="779"/>
      <c r="BT341" s="779"/>
      <c r="BU341" s="779"/>
      <c r="BV341" s="779"/>
      <c r="BW341" s="779"/>
      <c r="BX341" s="779"/>
      <c r="BY341" s="779"/>
      <c r="BZ341" s="779"/>
      <c r="CA341" s="779"/>
      <c r="CB341" s="779"/>
      <c r="CC341" s="779"/>
    </row>
    <row r="342" spans="1:81">
      <c r="A342" s="779"/>
      <c r="B342" s="779"/>
      <c r="C342" s="779"/>
      <c r="D342" s="779"/>
      <c r="E342" s="779"/>
      <c r="F342" s="779"/>
      <c r="G342" s="779"/>
      <c r="H342" s="779"/>
      <c r="I342" s="779"/>
      <c r="J342" s="779"/>
      <c r="K342" s="779"/>
      <c r="L342" s="779"/>
      <c r="M342" s="779"/>
      <c r="N342" s="779"/>
      <c r="O342" s="779"/>
      <c r="P342" s="779"/>
      <c r="Q342" s="779"/>
      <c r="R342" s="779"/>
      <c r="S342" s="779"/>
      <c r="T342" s="779"/>
      <c r="U342" s="779"/>
      <c r="V342" s="779"/>
      <c r="W342" s="779"/>
      <c r="X342" s="779"/>
      <c r="Y342" s="779"/>
      <c r="Z342" s="779"/>
      <c r="AA342" s="779"/>
      <c r="AB342" s="779"/>
      <c r="AC342" s="779"/>
      <c r="AD342" s="779"/>
      <c r="AE342" s="779"/>
      <c r="AF342" s="779"/>
      <c r="AG342" s="779"/>
      <c r="AH342" s="779"/>
      <c r="AI342" s="779"/>
      <c r="AJ342" s="779"/>
      <c r="AK342" s="779"/>
      <c r="AL342" s="779"/>
      <c r="AM342" s="779"/>
      <c r="AN342" s="779"/>
      <c r="AO342" s="779"/>
      <c r="AP342" s="779"/>
      <c r="AQ342" s="779"/>
      <c r="AR342" s="779"/>
      <c r="AS342" s="779"/>
      <c r="AT342" s="779"/>
      <c r="AU342" s="779"/>
      <c r="AV342" s="779"/>
      <c r="AW342" s="779"/>
      <c r="AX342" s="779"/>
      <c r="AY342" s="779"/>
      <c r="AZ342" s="779"/>
      <c r="BA342" s="779"/>
      <c r="BB342" s="779"/>
      <c r="BC342" s="779"/>
      <c r="BD342" s="779"/>
      <c r="BE342" s="779"/>
      <c r="BF342" s="779"/>
      <c r="BG342" s="779"/>
      <c r="BH342" s="779"/>
      <c r="BI342" s="779"/>
      <c r="BJ342" s="779"/>
      <c r="BK342" s="779"/>
      <c r="BL342" s="779"/>
      <c r="BM342" s="779"/>
      <c r="BN342" s="779"/>
      <c r="BO342" s="779"/>
      <c r="BP342" s="779"/>
      <c r="BQ342" s="779"/>
      <c r="BR342" s="779"/>
      <c r="BS342" s="779"/>
      <c r="BT342" s="779"/>
      <c r="BU342" s="779"/>
      <c r="BV342" s="779"/>
      <c r="BW342" s="779"/>
      <c r="BX342" s="779"/>
      <c r="BY342" s="779"/>
      <c r="BZ342" s="779"/>
      <c r="CA342" s="779"/>
      <c r="CB342" s="779"/>
      <c r="CC342" s="779"/>
    </row>
    <row r="343" spans="1:81">
      <c r="A343" s="779"/>
      <c r="B343" s="779"/>
      <c r="C343" s="779"/>
      <c r="D343" s="779"/>
      <c r="E343" s="779"/>
      <c r="F343" s="779"/>
      <c r="G343" s="779"/>
      <c r="H343" s="779"/>
      <c r="I343" s="779"/>
      <c r="J343" s="779"/>
      <c r="K343" s="779"/>
      <c r="L343" s="779"/>
      <c r="M343" s="779"/>
      <c r="N343" s="779"/>
      <c r="O343" s="779"/>
      <c r="P343" s="779"/>
      <c r="Q343" s="779"/>
      <c r="R343" s="779"/>
      <c r="S343" s="779"/>
      <c r="T343" s="779"/>
      <c r="U343" s="779"/>
      <c r="V343" s="779"/>
      <c r="W343" s="779"/>
      <c r="X343" s="779"/>
      <c r="Y343" s="779"/>
      <c r="Z343" s="779"/>
      <c r="AA343" s="779"/>
      <c r="AB343" s="779"/>
      <c r="AC343" s="779"/>
      <c r="AD343" s="779"/>
      <c r="AE343" s="779"/>
      <c r="AF343" s="779"/>
      <c r="AG343" s="779"/>
      <c r="AH343" s="779"/>
      <c r="AI343" s="779"/>
      <c r="AJ343" s="779"/>
      <c r="AK343" s="779"/>
      <c r="AL343" s="779"/>
      <c r="AM343" s="779"/>
      <c r="AN343" s="779"/>
      <c r="AO343" s="779"/>
      <c r="AP343" s="779"/>
      <c r="AQ343" s="779"/>
      <c r="AR343" s="779"/>
      <c r="AS343" s="779"/>
      <c r="AT343" s="779"/>
      <c r="AU343" s="779"/>
      <c r="AV343" s="779"/>
      <c r="AW343" s="779"/>
      <c r="AX343" s="779"/>
      <c r="AY343" s="779"/>
      <c r="AZ343" s="779"/>
      <c r="BA343" s="779"/>
      <c r="BB343" s="779"/>
      <c r="BC343" s="779"/>
      <c r="BD343" s="779"/>
      <c r="BE343" s="779"/>
      <c r="BF343" s="779"/>
      <c r="BG343" s="779"/>
      <c r="BH343" s="779"/>
      <c r="BI343" s="779"/>
      <c r="BJ343" s="779"/>
      <c r="BK343" s="779"/>
      <c r="BL343" s="779"/>
      <c r="BM343" s="779"/>
      <c r="BN343" s="779"/>
      <c r="BO343" s="779"/>
      <c r="BP343" s="779"/>
      <c r="BQ343" s="779"/>
      <c r="BR343" s="779"/>
      <c r="BS343" s="779"/>
      <c r="BT343" s="779"/>
      <c r="BU343" s="779"/>
      <c r="BV343" s="779"/>
      <c r="BW343" s="779"/>
      <c r="BX343" s="779"/>
      <c r="BY343" s="779"/>
      <c r="BZ343" s="779"/>
      <c r="CA343" s="779"/>
      <c r="CB343" s="779"/>
      <c r="CC343" s="779"/>
    </row>
    <row r="344" spans="1:81">
      <c r="A344" s="779"/>
      <c r="B344" s="779"/>
      <c r="C344" s="779"/>
      <c r="D344" s="779"/>
      <c r="E344" s="779"/>
      <c r="F344" s="779"/>
      <c r="G344" s="779"/>
      <c r="H344" s="779"/>
      <c r="I344" s="779"/>
      <c r="J344" s="779"/>
      <c r="K344" s="779"/>
      <c r="L344" s="779"/>
      <c r="M344" s="779"/>
      <c r="N344" s="779"/>
      <c r="O344" s="779"/>
      <c r="P344" s="779"/>
      <c r="Q344" s="779"/>
      <c r="R344" s="779"/>
      <c r="S344" s="779"/>
      <c r="T344" s="779"/>
      <c r="U344" s="779"/>
      <c r="V344" s="779"/>
      <c r="W344" s="779"/>
      <c r="X344" s="779"/>
      <c r="Y344" s="779"/>
      <c r="Z344" s="779"/>
      <c r="AA344" s="779"/>
      <c r="AB344" s="779"/>
      <c r="AC344" s="779"/>
      <c r="AD344" s="779"/>
      <c r="AE344" s="779"/>
      <c r="AF344" s="779"/>
      <c r="AG344" s="779"/>
      <c r="AH344" s="779"/>
      <c r="AI344" s="779"/>
      <c r="AJ344" s="779"/>
      <c r="AK344" s="779"/>
      <c r="AL344" s="779"/>
      <c r="AM344" s="779"/>
      <c r="AN344" s="779"/>
      <c r="AO344" s="779"/>
      <c r="AP344" s="779"/>
      <c r="AQ344" s="779"/>
      <c r="AR344" s="779"/>
      <c r="AS344" s="779"/>
      <c r="AT344" s="779"/>
      <c r="AU344" s="779"/>
      <c r="AV344" s="779"/>
      <c r="AW344" s="779"/>
      <c r="AX344" s="779"/>
      <c r="AY344" s="779"/>
      <c r="AZ344" s="779"/>
      <c r="BA344" s="779"/>
      <c r="BB344" s="779"/>
      <c r="BC344" s="779"/>
      <c r="BD344" s="779"/>
      <c r="BE344" s="779"/>
      <c r="BF344" s="779"/>
      <c r="BG344" s="779"/>
      <c r="BH344" s="779"/>
      <c r="BI344" s="779"/>
      <c r="BJ344" s="779"/>
      <c r="BK344" s="779"/>
      <c r="BL344" s="779"/>
      <c r="BM344" s="779"/>
      <c r="BN344" s="779"/>
      <c r="BO344" s="779"/>
      <c r="BP344" s="779"/>
      <c r="BQ344" s="779"/>
      <c r="BR344" s="779"/>
      <c r="BS344" s="779"/>
      <c r="BT344" s="779"/>
      <c r="BU344" s="779"/>
      <c r="BV344" s="779"/>
      <c r="BW344" s="779"/>
      <c r="BX344" s="779"/>
      <c r="BY344" s="779"/>
      <c r="BZ344" s="779"/>
      <c r="CA344" s="779"/>
      <c r="CB344" s="779"/>
      <c r="CC344" s="779"/>
    </row>
    <row r="345" spans="1:81">
      <c r="A345" s="779"/>
      <c r="B345" s="779"/>
      <c r="C345" s="779"/>
      <c r="D345" s="779"/>
      <c r="E345" s="779"/>
      <c r="F345" s="779"/>
      <c r="G345" s="779"/>
      <c r="H345" s="779"/>
      <c r="I345" s="779"/>
      <c r="J345" s="779"/>
      <c r="K345" s="779"/>
      <c r="L345" s="779"/>
      <c r="M345" s="779"/>
      <c r="N345" s="779"/>
      <c r="O345" s="779"/>
      <c r="P345" s="779"/>
      <c r="Q345" s="779"/>
      <c r="R345" s="779"/>
      <c r="S345" s="779"/>
      <c r="T345" s="779"/>
      <c r="U345" s="779"/>
      <c r="V345" s="779"/>
      <c r="W345" s="779"/>
      <c r="X345" s="779"/>
      <c r="Y345" s="779"/>
      <c r="Z345" s="779"/>
      <c r="AA345" s="779"/>
      <c r="AB345" s="779"/>
      <c r="AC345" s="779"/>
      <c r="AD345" s="779"/>
      <c r="AE345" s="779"/>
      <c r="AF345" s="779"/>
      <c r="AG345" s="779"/>
      <c r="AH345" s="779"/>
      <c r="AI345" s="779"/>
      <c r="AJ345" s="779"/>
      <c r="AK345" s="779"/>
      <c r="AL345" s="779"/>
      <c r="AM345" s="779"/>
      <c r="AN345" s="779"/>
      <c r="AO345" s="779"/>
      <c r="AP345" s="779"/>
      <c r="AQ345" s="779"/>
      <c r="AR345" s="779"/>
      <c r="AS345" s="779"/>
      <c r="AT345" s="779"/>
      <c r="AU345" s="779"/>
      <c r="AV345" s="779"/>
      <c r="AW345" s="779"/>
      <c r="AX345" s="779"/>
      <c r="AY345" s="779"/>
      <c r="AZ345" s="779"/>
      <c r="BA345" s="779"/>
      <c r="BB345" s="779"/>
      <c r="BC345" s="779"/>
      <c r="BD345" s="779"/>
      <c r="BE345" s="779"/>
      <c r="BF345" s="779"/>
      <c r="BG345" s="779"/>
      <c r="BH345" s="779"/>
      <c r="BI345" s="779"/>
      <c r="BJ345" s="779"/>
      <c r="BK345" s="779"/>
      <c r="BL345" s="779"/>
      <c r="BM345" s="779"/>
      <c r="BN345" s="779"/>
      <c r="BO345" s="779"/>
      <c r="BP345" s="779"/>
      <c r="BQ345" s="779"/>
      <c r="BR345" s="779"/>
      <c r="BS345" s="779"/>
      <c r="BT345" s="779"/>
      <c r="BU345" s="779"/>
      <c r="BV345" s="779"/>
      <c r="BW345" s="779"/>
      <c r="BX345" s="779"/>
      <c r="BY345" s="779"/>
      <c r="BZ345" s="779"/>
      <c r="CA345" s="779"/>
      <c r="CB345" s="779"/>
      <c r="CC345" s="779"/>
    </row>
    <row r="346" spans="1:81">
      <c r="A346" s="779"/>
      <c r="B346" s="779"/>
      <c r="C346" s="779"/>
      <c r="D346" s="779"/>
      <c r="E346" s="779"/>
      <c r="F346" s="779"/>
      <c r="G346" s="779"/>
      <c r="H346" s="779"/>
      <c r="I346" s="779"/>
      <c r="J346" s="779"/>
      <c r="K346" s="779"/>
      <c r="L346" s="779"/>
      <c r="M346" s="779"/>
      <c r="N346" s="779"/>
      <c r="O346" s="779"/>
      <c r="P346" s="779"/>
      <c r="Q346" s="779"/>
      <c r="R346" s="779"/>
      <c r="S346" s="779"/>
      <c r="T346" s="779"/>
      <c r="U346" s="779"/>
      <c r="V346" s="779"/>
      <c r="W346" s="779"/>
      <c r="X346" s="779"/>
      <c r="Y346" s="779"/>
      <c r="Z346" s="779"/>
      <c r="AA346" s="779"/>
      <c r="AB346" s="779"/>
      <c r="AC346" s="779"/>
      <c r="AD346" s="779"/>
      <c r="AE346" s="779"/>
      <c r="AF346" s="779"/>
      <c r="AG346" s="779"/>
      <c r="AH346" s="779"/>
      <c r="AI346" s="779"/>
      <c r="AJ346" s="779"/>
      <c r="AK346" s="779"/>
      <c r="AL346" s="779"/>
      <c r="AM346" s="779"/>
      <c r="AN346" s="779"/>
      <c r="AO346" s="779"/>
      <c r="AP346" s="779"/>
      <c r="AQ346" s="779"/>
      <c r="AR346" s="779"/>
      <c r="AS346" s="779"/>
      <c r="AT346" s="779"/>
      <c r="AU346" s="779"/>
      <c r="AV346" s="779"/>
      <c r="AW346" s="779"/>
      <c r="AX346" s="779"/>
      <c r="AY346" s="779"/>
      <c r="AZ346" s="779"/>
      <c r="BA346" s="779"/>
      <c r="BB346" s="779"/>
      <c r="BC346" s="779"/>
      <c r="BD346" s="779"/>
      <c r="BE346" s="779"/>
      <c r="BF346" s="779"/>
      <c r="BG346" s="779"/>
      <c r="BH346" s="779"/>
      <c r="BI346" s="779"/>
      <c r="BJ346" s="779"/>
      <c r="BK346" s="779"/>
      <c r="BL346" s="779"/>
      <c r="BM346" s="779"/>
      <c r="BN346" s="779"/>
      <c r="BO346" s="779"/>
      <c r="BP346" s="779"/>
      <c r="BQ346" s="779"/>
      <c r="BR346" s="779"/>
      <c r="BS346" s="779"/>
      <c r="BT346" s="779"/>
      <c r="BU346" s="779"/>
      <c r="BV346" s="779"/>
      <c r="BW346" s="779"/>
      <c r="BX346" s="779"/>
      <c r="BY346" s="779"/>
      <c r="BZ346" s="779"/>
      <c r="CA346" s="779"/>
      <c r="CB346" s="779"/>
      <c r="CC346" s="779"/>
    </row>
    <row r="347" spans="1:81">
      <c r="A347" s="779"/>
      <c r="B347" s="779"/>
      <c r="C347" s="779"/>
      <c r="D347" s="779"/>
      <c r="E347" s="779"/>
      <c r="F347" s="779"/>
      <c r="G347" s="779"/>
      <c r="H347" s="779"/>
      <c r="I347" s="779"/>
      <c r="J347" s="779"/>
      <c r="K347" s="779"/>
      <c r="L347" s="779"/>
      <c r="M347" s="779"/>
      <c r="N347" s="779"/>
      <c r="O347" s="779"/>
      <c r="P347" s="779"/>
      <c r="Q347" s="779"/>
      <c r="R347" s="779"/>
      <c r="S347" s="779"/>
      <c r="T347" s="779"/>
      <c r="U347" s="779"/>
      <c r="V347" s="779"/>
      <c r="W347" s="779"/>
      <c r="X347" s="779"/>
      <c r="Y347" s="779"/>
      <c r="Z347" s="779"/>
      <c r="AA347" s="779"/>
      <c r="AB347" s="779"/>
      <c r="AC347" s="779"/>
      <c r="AD347" s="779"/>
      <c r="AE347" s="779"/>
      <c r="AF347" s="779"/>
      <c r="AG347" s="779"/>
      <c r="AH347" s="779"/>
      <c r="AI347" s="779"/>
      <c r="AJ347" s="779"/>
      <c r="AK347" s="779"/>
      <c r="AL347" s="779"/>
      <c r="AM347" s="779"/>
      <c r="AN347" s="779"/>
      <c r="AO347" s="779"/>
      <c r="AP347" s="779"/>
      <c r="AQ347" s="779"/>
      <c r="AR347" s="779"/>
      <c r="AS347" s="779"/>
      <c r="AT347" s="779"/>
      <c r="AU347" s="779"/>
      <c r="AV347" s="779"/>
      <c r="AW347" s="779"/>
      <c r="AX347" s="779"/>
      <c r="AY347" s="779"/>
      <c r="AZ347" s="779"/>
      <c r="BA347" s="779"/>
      <c r="BB347" s="779"/>
      <c r="BC347" s="779"/>
      <c r="BD347" s="779"/>
      <c r="BE347" s="779"/>
      <c r="BF347" s="779"/>
      <c r="BG347" s="779"/>
      <c r="BH347" s="779"/>
      <c r="BI347" s="779"/>
      <c r="BJ347" s="779"/>
      <c r="BK347" s="779"/>
      <c r="BL347" s="779"/>
      <c r="BM347" s="779"/>
      <c r="BN347" s="779"/>
      <c r="BO347" s="779"/>
      <c r="BP347" s="779"/>
      <c r="BQ347" s="779"/>
      <c r="BR347" s="779"/>
      <c r="BS347" s="779"/>
      <c r="BT347" s="779"/>
      <c r="BU347" s="779"/>
      <c r="BV347" s="779"/>
      <c r="BW347" s="779"/>
      <c r="BX347" s="779"/>
      <c r="BY347" s="779"/>
      <c r="BZ347" s="779"/>
      <c r="CA347" s="779"/>
      <c r="CB347" s="779"/>
      <c r="CC347" s="779"/>
    </row>
    <row r="348" spans="1:81">
      <c r="A348" s="779"/>
      <c r="B348" s="779"/>
      <c r="C348" s="779"/>
      <c r="D348" s="779"/>
      <c r="E348" s="779"/>
      <c r="F348" s="779"/>
      <c r="G348" s="779"/>
      <c r="H348" s="779"/>
      <c r="I348" s="779"/>
      <c r="J348" s="779"/>
      <c r="K348" s="779"/>
      <c r="L348" s="779"/>
      <c r="M348" s="779"/>
      <c r="N348" s="779"/>
      <c r="O348" s="779"/>
      <c r="P348" s="779"/>
      <c r="Q348" s="779"/>
      <c r="R348" s="779"/>
      <c r="S348" s="779"/>
      <c r="T348" s="779"/>
      <c r="U348" s="779"/>
      <c r="V348" s="779"/>
      <c r="W348" s="779"/>
      <c r="X348" s="779"/>
      <c r="Y348" s="779"/>
      <c r="Z348" s="779"/>
      <c r="AA348" s="779"/>
      <c r="AB348" s="779"/>
      <c r="AC348" s="779"/>
      <c r="AD348" s="779"/>
      <c r="AE348" s="779"/>
      <c r="AF348" s="779"/>
      <c r="AG348" s="779"/>
      <c r="AH348" s="779"/>
      <c r="AI348" s="779"/>
      <c r="AJ348" s="779"/>
      <c r="AK348" s="779"/>
      <c r="AL348" s="779"/>
      <c r="AM348" s="779"/>
      <c r="AN348" s="779"/>
      <c r="AO348" s="779"/>
      <c r="AP348" s="779"/>
      <c r="AQ348" s="779"/>
      <c r="AR348" s="779"/>
      <c r="AS348" s="779"/>
      <c r="AT348" s="779"/>
      <c r="AU348" s="779"/>
      <c r="AV348" s="779"/>
      <c r="AW348" s="779"/>
      <c r="AX348" s="779"/>
      <c r="AY348" s="779"/>
      <c r="AZ348" s="779"/>
      <c r="BA348" s="779"/>
      <c r="BB348" s="779"/>
      <c r="BC348" s="779"/>
      <c r="BD348" s="779"/>
      <c r="BE348" s="779"/>
      <c r="BF348" s="779"/>
      <c r="BG348" s="779"/>
      <c r="BH348" s="779"/>
      <c r="BI348" s="779"/>
      <c r="BJ348" s="779"/>
      <c r="BK348" s="779"/>
      <c r="BL348" s="779"/>
      <c r="BM348" s="779"/>
      <c r="BN348" s="779"/>
      <c r="BO348" s="779"/>
      <c r="BP348" s="779"/>
      <c r="BQ348" s="779"/>
      <c r="BR348" s="779"/>
      <c r="BS348" s="779"/>
      <c r="BT348" s="779"/>
      <c r="BU348" s="779"/>
      <c r="BV348" s="779"/>
      <c r="BW348" s="779"/>
      <c r="BX348" s="779"/>
      <c r="BY348" s="779"/>
      <c r="BZ348" s="779"/>
      <c r="CA348" s="779"/>
      <c r="CB348" s="779"/>
      <c r="CC348" s="779"/>
    </row>
    <row r="349" spans="1:81">
      <c r="A349" s="779"/>
      <c r="B349" s="779"/>
      <c r="C349" s="779"/>
      <c r="D349" s="779"/>
      <c r="E349" s="779"/>
      <c r="F349" s="779"/>
      <c r="G349" s="779"/>
      <c r="H349" s="779"/>
      <c r="I349" s="779"/>
      <c r="J349" s="779"/>
      <c r="K349" s="779"/>
      <c r="L349" s="779"/>
      <c r="M349" s="779"/>
      <c r="N349" s="779"/>
      <c r="O349" s="779"/>
      <c r="P349" s="779"/>
      <c r="Q349" s="779"/>
      <c r="R349" s="779"/>
      <c r="S349" s="779"/>
      <c r="T349" s="779"/>
      <c r="U349" s="779"/>
      <c r="V349" s="779"/>
      <c r="W349" s="779"/>
      <c r="X349" s="779"/>
      <c r="Y349" s="779"/>
      <c r="Z349" s="779"/>
      <c r="AA349" s="779"/>
      <c r="AB349" s="779"/>
      <c r="AC349" s="779"/>
      <c r="AD349" s="779"/>
      <c r="AE349" s="779"/>
      <c r="AF349" s="779"/>
      <c r="AG349" s="779"/>
      <c r="AH349" s="779"/>
      <c r="AI349" s="779"/>
      <c r="AJ349" s="779"/>
      <c r="AK349" s="779"/>
      <c r="AL349" s="779"/>
      <c r="AM349" s="779"/>
      <c r="AN349" s="779"/>
      <c r="AO349" s="779"/>
      <c r="AP349" s="779"/>
      <c r="AQ349" s="779"/>
      <c r="AR349" s="779"/>
      <c r="AS349" s="779"/>
      <c r="AT349" s="779"/>
      <c r="AU349" s="779"/>
      <c r="AV349" s="779"/>
      <c r="AW349" s="779"/>
      <c r="AX349" s="779"/>
      <c r="AY349" s="779"/>
      <c r="AZ349" s="779"/>
      <c r="BA349" s="779"/>
      <c r="BB349" s="779"/>
      <c r="BC349" s="779"/>
      <c r="BD349" s="779"/>
      <c r="BE349" s="779"/>
      <c r="BF349" s="779"/>
      <c r="BG349" s="779"/>
      <c r="BH349" s="779"/>
      <c r="BI349" s="779"/>
      <c r="BJ349" s="779"/>
      <c r="BK349" s="779"/>
      <c r="BL349" s="779"/>
      <c r="BM349" s="779"/>
      <c r="BN349" s="779"/>
      <c r="BO349" s="779"/>
      <c r="BP349" s="779"/>
      <c r="BQ349" s="779"/>
      <c r="BR349" s="779"/>
      <c r="BS349" s="779"/>
      <c r="BT349" s="779"/>
      <c r="BU349" s="779"/>
      <c r="BV349" s="779"/>
      <c r="BW349" s="779"/>
      <c r="BX349" s="779"/>
      <c r="BY349" s="779"/>
      <c r="BZ349" s="779"/>
      <c r="CA349" s="779"/>
      <c r="CB349" s="779"/>
      <c r="CC349" s="779"/>
    </row>
    <row r="350" spans="1:81">
      <c r="A350" s="779"/>
      <c r="B350" s="779"/>
      <c r="C350" s="779"/>
      <c r="D350" s="779"/>
      <c r="E350" s="779"/>
      <c r="F350" s="779"/>
      <c r="G350" s="779"/>
      <c r="H350" s="779"/>
      <c r="I350" s="779"/>
      <c r="J350" s="779"/>
      <c r="K350" s="779"/>
      <c r="L350" s="779"/>
      <c r="M350" s="779"/>
      <c r="N350" s="779"/>
      <c r="O350" s="779"/>
      <c r="P350" s="779"/>
      <c r="Q350" s="779"/>
      <c r="R350" s="779"/>
      <c r="S350" s="779"/>
      <c r="T350" s="779"/>
      <c r="U350" s="779"/>
      <c r="V350" s="779"/>
      <c r="W350" s="779"/>
      <c r="X350" s="779"/>
      <c r="Y350" s="779"/>
      <c r="Z350" s="779"/>
      <c r="AA350" s="779"/>
      <c r="AB350" s="779"/>
      <c r="AC350" s="779"/>
      <c r="AD350" s="779"/>
      <c r="AE350" s="779"/>
      <c r="AF350" s="779"/>
      <c r="AG350" s="779"/>
      <c r="AH350" s="779"/>
      <c r="AI350" s="779"/>
      <c r="AJ350" s="779"/>
      <c r="AK350" s="779"/>
      <c r="AL350" s="779"/>
      <c r="AM350" s="779"/>
      <c r="AN350" s="779"/>
      <c r="AO350" s="779"/>
      <c r="AP350" s="779"/>
      <c r="AQ350" s="779"/>
      <c r="AR350" s="779"/>
      <c r="AS350" s="779"/>
      <c r="AT350" s="779"/>
      <c r="AU350" s="779"/>
      <c r="AV350" s="779"/>
      <c r="AW350" s="779"/>
      <c r="AX350" s="779"/>
      <c r="AY350" s="779"/>
      <c r="AZ350" s="779"/>
      <c r="BA350" s="779"/>
      <c r="BB350" s="779"/>
      <c r="BC350" s="779"/>
      <c r="BD350" s="779"/>
      <c r="BE350" s="779"/>
      <c r="BF350" s="779"/>
      <c r="BG350" s="779"/>
      <c r="BH350" s="779"/>
      <c r="BI350" s="779"/>
      <c r="BJ350" s="779"/>
      <c r="BK350" s="779"/>
      <c r="BL350" s="779"/>
      <c r="BM350" s="779"/>
      <c r="BN350" s="779"/>
      <c r="BO350" s="779"/>
      <c r="BP350" s="779"/>
      <c r="BQ350" s="779"/>
      <c r="BR350" s="779"/>
      <c r="BS350" s="779"/>
      <c r="BT350" s="779"/>
      <c r="BU350" s="779"/>
      <c r="BV350" s="779"/>
      <c r="BW350" s="779"/>
      <c r="BX350" s="779"/>
      <c r="BY350" s="779"/>
      <c r="BZ350" s="779"/>
      <c r="CA350" s="779"/>
      <c r="CB350" s="779"/>
      <c r="CC350" s="779"/>
    </row>
    <row r="351" spans="1:81">
      <c r="A351" s="779"/>
      <c r="B351" s="779"/>
      <c r="C351" s="779"/>
      <c r="D351" s="779"/>
      <c r="E351" s="779"/>
      <c r="F351" s="779"/>
      <c r="G351" s="779"/>
      <c r="H351" s="779"/>
      <c r="I351" s="779"/>
      <c r="J351" s="779"/>
      <c r="K351" s="779"/>
      <c r="L351" s="779"/>
      <c r="M351" s="779"/>
      <c r="N351" s="779"/>
      <c r="O351" s="779"/>
      <c r="P351" s="779"/>
      <c r="Q351" s="779"/>
      <c r="R351" s="779"/>
      <c r="S351" s="779"/>
      <c r="T351" s="779"/>
      <c r="U351" s="779"/>
      <c r="V351" s="779"/>
      <c r="W351" s="779"/>
      <c r="X351" s="779"/>
      <c r="Y351" s="779"/>
      <c r="Z351" s="779"/>
      <c r="AA351" s="779"/>
      <c r="AB351" s="779"/>
      <c r="AC351" s="779"/>
      <c r="AD351" s="779"/>
      <c r="AE351" s="779"/>
      <c r="AF351" s="779"/>
      <c r="AG351" s="779"/>
      <c r="AH351" s="779"/>
      <c r="AI351" s="779"/>
      <c r="AJ351" s="779"/>
      <c r="AK351" s="779"/>
      <c r="AL351" s="779"/>
      <c r="AM351" s="779"/>
      <c r="AN351" s="779"/>
      <c r="AO351" s="779"/>
      <c r="AP351" s="779"/>
      <c r="AQ351" s="779"/>
      <c r="AR351" s="779"/>
      <c r="AS351" s="779"/>
      <c r="AT351" s="779"/>
      <c r="AU351" s="779"/>
      <c r="AV351" s="779"/>
      <c r="AW351" s="779"/>
      <c r="AX351" s="779"/>
      <c r="AY351" s="779"/>
      <c r="AZ351" s="779"/>
      <c r="BA351" s="779"/>
      <c r="BB351" s="779"/>
      <c r="BC351" s="779"/>
      <c r="BD351" s="779"/>
      <c r="BE351" s="779"/>
      <c r="BF351" s="779"/>
      <c r="BG351" s="779"/>
      <c r="BH351" s="779"/>
      <c r="BI351" s="779"/>
      <c r="BJ351" s="779"/>
      <c r="BK351" s="779"/>
      <c r="BL351" s="779"/>
      <c r="BM351" s="779"/>
      <c r="BN351" s="779"/>
      <c r="BO351" s="779"/>
      <c r="BP351" s="779"/>
      <c r="BQ351" s="779"/>
      <c r="BR351" s="779"/>
      <c r="BS351" s="779"/>
      <c r="BT351" s="779"/>
      <c r="BU351" s="779"/>
      <c r="BV351" s="779"/>
      <c r="BW351" s="779"/>
      <c r="BX351" s="779"/>
      <c r="BY351" s="779"/>
      <c r="BZ351" s="779"/>
      <c r="CA351" s="779"/>
      <c r="CB351" s="779"/>
      <c r="CC351" s="779"/>
    </row>
    <row r="352" spans="1:81">
      <c r="A352" s="779"/>
      <c r="B352" s="779"/>
      <c r="C352" s="779"/>
      <c r="D352" s="779"/>
      <c r="E352" s="779"/>
      <c r="F352" s="779"/>
      <c r="G352" s="779"/>
      <c r="H352" s="779"/>
      <c r="I352" s="779"/>
      <c r="J352" s="779"/>
      <c r="K352" s="779"/>
      <c r="L352" s="779"/>
      <c r="M352" s="779"/>
      <c r="N352" s="779"/>
      <c r="O352" s="779"/>
      <c r="P352" s="779"/>
      <c r="Q352" s="779"/>
      <c r="R352" s="779"/>
      <c r="S352" s="779"/>
      <c r="T352" s="779"/>
      <c r="U352" s="779"/>
      <c r="V352" s="779"/>
      <c r="W352" s="779"/>
      <c r="X352" s="779"/>
      <c r="Y352" s="779"/>
      <c r="Z352" s="779"/>
      <c r="AA352" s="779"/>
      <c r="AB352" s="779"/>
      <c r="AC352" s="779"/>
      <c r="AD352" s="779"/>
      <c r="AE352" s="779"/>
      <c r="AF352" s="779"/>
      <c r="AG352" s="779"/>
      <c r="AH352" s="779"/>
      <c r="AI352" s="779"/>
      <c r="AJ352" s="779"/>
      <c r="AK352" s="779"/>
      <c r="AL352" s="779"/>
      <c r="AM352" s="779"/>
      <c r="AN352" s="779"/>
      <c r="AO352" s="779"/>
      <c r="AP352" s="779"/>
      <c r="AQ352" s="779"/>
      <c r="AR352" s="779"/>
      <c r="AS352" s="779"/>
      <c r="AT352" s="779"/>
      <c r="AU352" s="779"/>
      <c r="AV352" s="779"/>
      <c r="AW352" s="779"/>
      <c r="AX352" s="779"/>
      <c r="AY352" s="779"/>
      <c r="AZ352" s="779"/>
      <c r="BA352" s="779"/>
      <c r="BB352" s="779"/>
      <c r="BC352" s="779"/>
      <c r="BD352" s="779"/>
      <c r="BE352" s="779"/>
      <c r="BF352" s="779"/>
      <c r="BG352" s="779"/>
      <c r="BH352" s="779"/>
      <c r="BI352" s="779"/>
      <c r="BJ352" s="779"/>
      <c r="BK352" s="779"/>
      <c r="BL352" s="779"/>
      <c r="BM352" s="779"/>
      <c r="BN352" s="779"/>
      <c r="BO352" s="779"/>
      <c r="BP352" s="779"/>
      <c r="BQ352" s="779"/>
      <c r="BR352" s="779"/>
      <c r="BS352" s="779"/>
      <c r="BT352" s="779"/>
      <c r="BU352" s="779"/>
      <c r="BV352" s="779"/>
      <c r="BW352" s="779"/>
      <c r="BX352" s="779"/>
      <c r="BY352" s="779"/>
      <c r="BZ352" s="779"/>
      <c r="CA352" s="779"/>
      <c r="CB352" s="779"/>
      <c r="CC352" s="779"/>
    </row>
    <row r="353" spans="1:81">
      <c r="A353" s="779"/>
      <c r="B353" s="779"/>
      <c r="C353" s="779"/>
      <c r="D353" s="779"/>
      <c r="E353" s="779"/>
      <c r="F353" s="779"/>
      <c r="G353" s="779"/>
      <c r="H353" s="779"/>
      <c r="I353" s="779"/>
      <c r="J353" s="779"/>
      <c r="K353" s="779"/>
      <c r="L353" s="779"/>
      <c r="M353" s="779"/>
      <c r="N353" s="779"/>
      <c r="O353" s="779"/>
      <c r="P353" s="779"/>
      <c r="Q353" s="779"/>
      <c r="R353" s="779"/>
      <c r="S353" s="779"/>
      <c r="T353" s="779"/>
      <c r="U353" s="779"/>
      <c r="V353" s="779"/>
      <c r="W353" s="779"/>
      <c r="X353" s="779"/>
      <c r="Y353" s="779"/>
      <c r="Z353" s="779"/>
      <c r="AA353" s="779"/>
      <c r="AB353" s="779"/>
      <c r="AC353" s="779"/>
      <c r="AD353" s="779"/>
      <c r="AE353" s="779"/>
      <c r="AF353" s="779"/>
      <c r="AG353" s="779"/>
      <c r="AH353" s="779"/>
      <c r="AI353" s="779"/>
      <c r="AJ353" s="779"/>
      <c r="AK353" s="779"/>
      <c r="AL353" s="779"/>
      <c r="AM353" s="779"/>
      <c r="AN353" s="779"/>
      <c r="AO353" s="779"/>
      <c r="AP353" s="779"/>
      <c r="AQ353" s="779"/>
      <c r="AR353" s="779"/>
      <c r="AS353" s="779"/>
      <c r="AT353" s="779"/>
      <c r="AU353" s="779"/>
      <c r="AV353" s="779"/>
      <c r="AW353" s="779"/>
      <c r="AX353" s="779"/>
      <c r="AY353" s="779"/>
      <c r="AZ353" s="779"/>
      <c r="BA353" s="779"/>
      <c r="BB353" s="779"/>
      <c r="BC353" s="779"/>
      <c r="BD353" s="779"/>
      <c r="BE353" s="779"/>
      <c r="BF353" s="779"/>
      <c r="BG353" s="779"/>
      <c r="BH353" s="779"/>
      <c r="BI353" s="779"/>
      <c r="BJ353" s="779"/>
      <c r="BK353" s="779"/>
      <c r="BL353" s="779"/>
      <c r="BM353" s="779"/>
      <c r="BN353" s="779"/>
      <c r="BO353" s="779"/>
      <c r="BP353" s="779"/>
      <c r="BQ353" s="779"/>
      <c r="BR353" s="779"/>
      <c r="BS353" s="779"/>
      <c r="BT353" s="779"/>
      <c r="BU353" s="779"/>
      <c r="BV353" s="779"/>
      <c r="BW353" s="779"/>
      <c r="BX353" s="779"/>
      <c r="BY353" s="779"/>
      <c r="BZ353" s="779"/>
      <c r="CA353" s="779"/>
      <c r="CB353" s="779"/>
      <c r="CC353" s="779"/>
    </row>
    <row r="354" spans="1:81">
      <c r="A354" s="779"/>
      <c r="B354" s="779"/>
      <c r="C354" s="779"/>
      <c r="D354" s="779"/>
      <c r="E354" s="779"/>
      <c r="F354" s="779"/>
      <c r="G354" s="779"/>
      <c r="H354" s="779"/>
      <c r="I354" s="779"/>
      <c r="J354" s="779"/>
      <c r="K354" s="779"/>
      <c r="L354" s="779"/>
      <c r="M354" s="779"/>
      <c r="N354" s="779"/>
      <c r="O354" s="779"/>
      <c r="P354" s="779"/>
      <c r="Q354" s="779"/>
      <c r="R354" s="779"/>
      <c r="S354" s="779"/>
      <c r="T354" s="779"/>
      <c r="U354" s="779"/>
      <c r="V354" s="779"/>
      <c r="W354" s="779"/>
      <c r="X354" s="779"/>
      <c r="Y354" s="779"/>
      <c r="Z354" s="779"/>
      <c r="AA354" s="779"/>
      <c r="AB354" s="779"/>
      <c r="AC354" s="779"/>
      <c r="AD354" s="779"/>
      <c r="AE354" s="779"/>
      <c r="AF354" s="779"/>
      <c r="AG354" s="779"/>
      <c r="AH354" s="779"/>
      <c r="AI354" s="779"/>
      <c r="AJ354" s="779"/>
      <c r="AK354" s="779"/>
      <c r="AL354" s="779"/>
      <c r="AM354" s="779"/>
      <c r="AN354" s="779"/>
      <c r="AO354" s="779"/>
      <c r="AP354" s="779"/>
      <c r="AQ354" s="779"/>
      <c r="AR354" s="779"/>
      <c r="AS354" s="779"/>
      <c r="AT354" s="779"/>
      <c r="AU354" s="779"/>
      <c r="AV354" s="779"/>
      <c r="AW354" s="779"/>
      <c r="AX354" s="779"/>
      <c r="AY354" s="779"/>
      <c r="AZ354" s="779"/>
      <c r="BA354" s="779"/>
      <c r="BB354" s="779"/>
      <c r="BC354" s="779"/>
      <c r="BD354" s="779"/>
      <c r="BE354" s="779"/>
      <c r="BF354" s="779"/>
      <c r="BG354" s="779"/>
      <c r="BH354" s="779"/>
      <c r="BI354" s="779"/>
      <c r="BJ354" s="779"/>
      <c r="BK354" s="779"/>
      <c r="BL354" s="779"/>
      <c r="BM354" s="779"/>
      <c r="BN354" s="779"/>
      <c r="BO354" s="779"/>
      <c r="BP354" s="779"/>
      <c r="BQ354" s="779"/>
      <c r="BR354" s="779"/>
      <c r="BS354" s="779"/>
      <c r="BT354" s="779"/>
      <c r="BU354" s="779"/>
      <c r="BV354" s="779"/>
      <c r="BW354" s="779"/>
      <c r="BX354" s="779"/>
      <c r="BY354" s="779"/>
      <c r="BZ354" s="779"/>
      <c r="CA354" s="779"/>
      <c r="CB354" s="779"/>
      <c r="CC354" s="779"/>
    </row>
    <row r="355" spans="1:81">
      <c r="A355" s="779"/>
      <c r="B355" s="779"/>
      <c r="C355" s="779"/>
      <c r="D355" s="779"/>
      <c r="E355" s="779"/>
      <c r="F355" s="779"/>
      <c r="G355" s="779"/>
      <c r="H355" s="779"/>
      <c r="I355" s="779"/>
      <c r="J355" s="779"/>
      <c r="K355" s="779"/>
      <c r="L355" s="779"/>
      <c r="M355" s="779"/>
      <c r="N355" s="779"/>
      <c r="O355" s="779"/>
      <c r="P355" s="779"/>
      <c r="Q355" s="779"/>
      <c r="R355" s="779"/>
      <c r="S355" s="779"/>
      <c r="T355" s="779"/>
      <c r="U355" s="779"/>
      <c r="V355" s="779"/>
      <c r="W355" s="779"/>
      <c r="X355" s="779"/>
      <c r="Y355" s="779"/>
      <c r="Z355" s="779"/>
      <c r="AA355" s="779"/>
      <c r="AB355" s="779"/>
      <c r="AC355" s="779"/>
      <c r="AD355" s="779"/>
      <c r="AE355" s="779"/>
      <c r="AF355" s="779"/>
      <c r="AG355" s="779"/>
      <c r="AH355" s="779"/>
      <c r="AI355" s="779"/>
      <c r="AJ355" s="779"/>
      <c r="AK355" s="779"/>
      <c r="AL355" s="779"/>
      <c r="AM355" s="779"/>
      <c r="AN355" s="779"/>
      <c r="AO355" s="779"/>
      <c r="AP355" s="779"/>
      <c r="AQ355" s="779"/>
      <c r="AR355" s="779"/>
      <c r="AS355" s="779"/>
      <c r="AT355" s="779"/>
      <c r="AU355" s="779"/>
      <c r="AV355" s="779"/>
      <c r="AW355" s="779"/>
      <c r="AX355" s="779"/>
      <c r="AY355" s="779"/>
      <c r="AZ355" s="779"/>
      <c r="BA355" s="779"/>
      <c r="BB355" s="779"/>
      <c r="BC355" s="779"/>
      <c r="BD355" s="779"/>
      <c r="BE355" s="779"/>
      <c r="BF355" s="779"/>
      <c r="BG355" s="779"/>
      <c r="BH355" s="779"/>
      <c r="BI355" s="779"/>
      <c r="BJ355" s="779"/>
      <c r="BK355" s="779"/>
      <c r="BL355" s="779"/>
      <c r="BM355" s="779"/>
      <c r="BN355" s="779"/>
      <c r="BO355" s="779"/>
      <c r="BP355" s="779"/>
      <c r="BQ355" s="779"/>
      <c r="BR355" s="779"/>
      <c r="BS355" s="779"/>
      <c r="BT355" s="779"/>
      <c r="BU355" s="779"/>
      <c r="BV355" s="779"/>
      <c r="BW355" s="779"/>
      <c r="BX355" s="779"/>
      <c r="BY355" s="779"/>
      <c r="BZ355" s="779"/>
      <c r="CA355" s="779"/>
      <c r="CB355" s="779"/>
      <c r="CC355" s="779"/>
    </row>
    <row r="356" spans="1:81">
      <c r="A356" s="779"/>
      <c r="B356" s="779"/>
      <c r="C356" s="779"/>
      <c r="D356" s="779"/>
      <c r="E356" s="779"/>
      <c r="F356" s="779"/>
      <c r="G356" s="779"/>
      <c r="H356" s="779"/>
      <c r="I356" s="779"/>
      <c r="J356" s="779"/>
      <c r="K356" s="779"/>
      <c r="L356" s="779"/>
      <c r="M356" s="779"/>
      <c r="N356" s="779"/>
      <c r="O356" s="779"/>
      <c r="P356" s="779"/>
      <c r="Q356" s="779"/>
      <c r="R356" s="779"/>
      <c r="S356" s="779"/>
      <c r="T356" s="779"/>
      <c r="U356" s="779"/>
      <c r="V356" s="779"/>
      <c r="W356" s="779"/>
      <c r="X356" s="779"/>
      <c r="Y356" s="779"/>
      <c r="Z356" s="779"/>
      <c r="AA356" s="779"/>
      <c r="AB356" s="779"/>
      <c r="AC356" s="779"/>
      <c r="AD356" s="779"/>
      <c r="AE356" s="779"/>
      <c r="AF356" s="779"/>
      <c r="AG356" s="779"/>
      <c r="AH356" s="779"/>
      <c r="AI356" s="779"/>
      <c r="AJ356" s="779"/>
      <c r="AK356" s="779"/>
      <c r="AL356" s="779"/>
      <c r="AM356" s="779"/>
      <c r="AN356" s="779"/>
      <c r="AO356" s="779"/>
      <c r="AP356" s="779"/>
      <c r="AQ356" s="779"/>
      <c r="AR356" s="779"/>
      <c r="AS356" s="779"/>
      <c r="AT356" s="779"/>
      <c r="AU356" s="779"/>
      <c r="AV356" s="779"/>
      <c r="AW356" s="779"/>
      <c r="AX356" s="779"/>
      <c r="AY356" s="779"/>
      <c r="AZ356" s="779"/>
      <c r="BA356" s="779"/>
      <c r="BB356" s="779"/>
      <c r="BC356" s="779"/>
      <c r="BD356" s="779"/>
      <c r="BE356" s="779"/>
      <c r="BF356" s="779"/>
      <c r="BG356" s="779"/>
      <c r="BH356" s="779"/>
      <c r="BI356" s="779"/>
      <c r="BJ356" s="779"/>
      <c r="BK356" s="779"/>
      <c r="BL356" s="779"/>
      <c r="BM356" s="779"/>
      <c r="BN356" s="779"/>
      <c r="BO356" s="779"/>
      <c r="BP356" s="779"/>
      <c r="BQ356" s="779"/>
      <c r="BR356" s="779"/>
      <c r="BS356" s="779"/>
      <c r="BT356" s="779"/>
      <c r="BU356" s="779"/>
      <c r="BV356" s="779"/>
      <c r="BW356" s="779"/>
      <c r="BX356" s="779"/>
      <c r="BY356" s="779"/>
      <c r="BZ356" s="779"/>
      <c r="CA356" s="779"/>
      <c r="CB356" s="779"/>
      <c r="CC356" s="779"/>
    </row>
    <row r="357" spans="1:81">
      <c r="A357" s="779"/>
      <c r="B357" s="779"/>
      <c r="C357" s="779"/>
      <c r="D357" s="779"/>
      <c r="E357" s="779"/>
      <c r="F357" s="779"/>
      <c r="G357" s="779"/>
      <c r="H357" s="779"/>
      <c r="I357" s="779"/>
      <c r="J357" s="779"/>
      <c r="K357" s="779"/>
      <c r="L357" s="779"/>
      <c r="M357" s="779"/>
      <c r="N357" s="779"/>
      <c r="O357" s="779"/>
      <c r="P357" s="779"/>
      <c r="Q357" s="779"/>
      <c r="R357" s="779"/>
      <c r="S357" s="779"/>
      <c r="T357" s="779"/>
      <c r="U357" s="779"/>
      <c r="V357" s="779"/>
      <c r="W357" s="779"/>
      <c r="X357" s="779"/>
      <c r="Y357" s="779"/>
      <c r="Z357" s="779"/>
      <c r="AA357" s="779"/>
      <c r="AB357" s="779"/>
      <c r="AC357" s="779"/>
      <c r="AD357" s="779"/>
      <c r="AE357" s="779"/>
      <c r="AF357" s="779"/>
      <c r="AG357" s="779"/>
      <c r="AH357" s="779"/>
      <c r="AI357" s="779"/>
      <c r="AJ357" s="779"/>
      <c r="AK357" s="779"/>
      <c r="AL357" s="779"/>
      <c r="AM357" s="779"/>
      <c r="AN357" s="779"/>
      <c r="AO357" s="779"/>
      <c r="AP357" s="779"/>
      <c r="AQ357" s="779"/>
      <c r="AR357" s="779"/>
      <c r="AS357" s="779"/>
      <c r="AT357" s="779"/>
      <c r="AU357" s="779"/>
      <c r="AV357" s="779"/>
      <c r="AW357" s="779"/>
      <c r="AX357" s="779"/>
      <c r="AY357" s="779"/>
      <c r="AZ357" s="779"/>
      <c r="BA357" s="779"/>
      <c r="BB357" s="779"/>
      <c r="BC357" s="779"/>
      <c r="BD357" s="779"/>
      <c r="BE357" s="779"/>
      <c r="BF357" s="779"/>
      <c r="BG357" s="779"/>
      <c r="BH357" s="779"/>
      <c r="BI357" s="779"/>
      <c r="BJ357" s="779"/>
      <c r="BK357" s="779"/>
      <c r="BL357" s="779"/>
      <c r="BM357" s="779"/>
      <c r="BN357" s="779"/>
      <c r="BO357" s="779"/>
      <c r="BP357" s="779"/>
      <c r="BQ357" s="779"/>
      <c r="BR357" s="779"/>
      <c r="BS357" s="779"/>
      <c r="BT357" s="779"/>
      <c r="BU357" s="779"/>
      <c r="BV357" s="779"/>
      <c r="BW357" s="779"/>
      <c r="BX357" s="779"/>
      <c r="BY357" s="779"/>
      <c r="BZ357" s="779"/>
      <c r="CA357" s="779"/>
      <c r="CB357" s="779"/>
      <c r="CC357" s="779"/>
    </row>
    <row r="358" spans="1:81">
      <c r="A358" s="779"/>
      <c r="B358" s="779"/>
      <c r="C358" s="779"/>
      <c r="D358" s="779"/>
      <c r="E358" s="779"/>
      <c r="F358" s="779"/>
      <c r="G358" s="779"/>
      <c r="H358" s="779"/>
      <c r="I358" s="779"/>
      <c r="J358" s="779"/>
      <c r="K358" s="779"/>
      <c r="L358" s="779"/>
      <c r="M358" s="779"/>
      <c r="N358" s="779"/>
      <c r="O358" s="779"/>
      <c r="P358" s="779"/>
      <c r="Q358" s="779"/>
      <c r="R358" s="779"/>
      <c r="S358" s="779"/>
      <c r="T358" s="779"/>
      <c r="U358" s="779"/>
      <c r="V358" s="779"/>
      <c r="W358" s="779"/>
      <c r="X358" s="779"/>
      <c r="Y358" s="779"/>
      <c r="Z358" s="779"/>
      <c r="AA358" s="779"/>
      <c r="AB358" s="779"/>
      <c r="AC358" s="779"/>
      <c r="AD358" s="779"/>
      <c r="AE358" s="779"/>
      <c r="AF358" s="779"/>
      <c r="AG358" s="779"/>
      <c r="AH358" s="779"/>
      <c r="AI358" s="779"/>
      <c r="AJ358" s="779"/>
      <c r="AK358" s="779"/>
      <c r="AL358" s="779"/>
      <c r="AM358" s="779"/>
      <c r="AN358" s="779"/>
      <c r="AO358" s="779"/>
      <c r="AP358" s="779"/>
      <c r="AQ358" s="779"/>
      <c r="AR358" s="779"/>
      <c r="AS358" s="779"/>
      <c r="AT358" s="779"/>
      <c r="AU358" s="779"/>
      <c r="AV358" s="779"/>
      <c r="AW358" s="779"/>
      <c r="AX358" s="779"/>
      <c r="AY358" s="779"/>
      <c r="AZ358" s="779"/>
      <c r="BA358" s="779"/>
      <c r="BB358" s="779"/>
      <c r="BC358" s="779"/>
      <c r="BD358" s="779"/>
      <c r="BE358" s="779"/>
      <c r="BF358" s="779"/>
      <c r="BG358" s="779"/>
      <c r="BH358" s="779"/>
      <c r="BI358" s="779"/>
      <c r="BJ358" s="779"/>
      <c r="BK358" s="779"/>
      <c r="BL358" s="779"/>
      <c r="BM358" s="779"/>
      <c r="BN358" s="779"/>
      <c r="BO358" s="779"/>
      <c r="BP358" s="779"/>
      <c r="BQ358" s="779"/>
      <c r="BR358" s="779"/>
      <c r="BS358" s="779"/>
      <c r="BT358" s="779"/>
      <c r="BU358" s="779"/>
      <c r="BV358" s="779"/>
      <c r="BW358" s="779"/>
      <c r="BX358" s="779"/>
      <c r="BY358" s="779"/>
      <c r="BZ358" s="779"/>
      <c r="CA358" s="779"/>
      <c r="CB358" s="779"/>
      <c r="CC358" s="779"/>
    </row>
    <row r="359" spans="1:81">
      <c r="A359" s="779"/>
      <c r="B359" s="779"/>
      <c r="C359" s="779"/>
      <c r="D359" s="779"/>
      <c r="E359" s="779"/>
      <c r="F359" s="779"/>
      <c r="G359" s="779"/>
      <c r="H359" s="779"/>
      <c r="I359" s="779"/>
      <c r="J359" s="779"/>
      <c r="K359" s="779"/>
      <c r="L359" s="779"/>
      <c r="M359" s="779"/>
      <c r="N359" s="779"/>
      <c r="O359" s="779"/>
      <c r="P359" s="779"/>
      <c r="Q359" s="779"/>
      <c r="R359" s="779"/>
      <c r="S359" s="779"/>
      <c r="T359" s="779"/>
      <c r="U359" s="779"/>
      <c r="V359" s="779"/>
      <c r="W359" s="779"/>
      <c r="X359" s="779"/>
      <c r="Y359" s="779"/>
      <c r="Z359" s="779"/>
      <c r="AA359" s="779"/>
      <c r="AB359" s="779"/>
      <c r="AC359" s="779"/>
      <c r="AD359" s="779"/>
      <c r="AE359" s="779"/>
      <c r="AF359" s="779"/>
      <c r="AG359" s="779"/>
      <c r="AH359" s="779"/>
      <c r="AI359" s="779"/>
      <c r="AJ359" s="779"/>
      <c r="AK359" s="779"/>
      <c r="AL359" s="779"/>
      <c r="AM359" s="779"/>
      <c r="AN359" s="779"/>
      <c r="AO359" s="779"/>
      <c r="AP359" s="779"/>
      <c r="AQ359" s="779"/>
      <c r="AR359" s="779"/>
      <c r="AS359" s="779"/>
      <c r="AT359" s="779"/>
      <c r="AU359" s="779"/>
      <c r="AV359" s="779"/>
      <c r="AW359" s="779"/>
      <c r="AX359" s="779"/>
      <c r="AY359" s="779"/>
      <c r="AZ359" s="779"/>
      <c r="BA359" s="779"/>
      <c r="BB359" s="779"/>
      <c r="BC359" s="779"/>
      <c r="BD359" s="779"/>
      <c r="BE359" s="779"/>
      <c r="BF359" s="779"/>
      <c r="BG359" s="779"/>
      <c r="BH359" s="779"/>
      <c r="BI359" s="779"/>
      <c r="BJ359" s="779"/>
      <c r="BK359" s="779"/>
      <c r="BL359" s="779"/>
      <c r="BM359" s="779"/>
      <c r="BN359" s="779"/>
      <c r="BO359" s="779"/>
      <c r="BP359" s="779"/>
      <c r="BQ359" s="779"/>
      <c r="BR359" s="779"/>
      <c r="BS359" s="779"/>
      <c r="BT359" s="779"/>
      <c r="BU359" s="779"/>
      <c r="BV359" s="779"/>
      <c r="BW359" s="779"/>
      <c r="BX359" s="779"/>
      <c r="BY359" s="779"/>
      <c r="BZ359" s="779"/>
      <c r="CA359" s="779"/>
      <c r="CB359" s="779"/>
      <c r="CC359" s="779"/>
    </row>
    <row r="360" spans="1:81">
      <c r="A360" s="779"/>
      <c r="B360" s="779"/>
      <c r="C360" s="779"/>
      <c r="D360" s="779"/>
      <c r="E360" s="779"/>
      <c r="F360" s="779"/>
      <c r="G360" s="779"/>
      <c r="H360" s="779"/>
      <c r="I360" s="779"/>
      <c r="J360" s="779"/>
      <c r="K360" s="779"/>
      <c r="L360" s="779"/>
      <c r="M360" s="779"/>
      <c r="N360" s="779"/>
      <c r="O360" s="779"/>
      <c r="P360" s="779"/>
      <c r="Q360" s="779"/>
      <c r="R360" s="779"/>
      <c r="S360" s="779"/>
      <c r="T360" s="779"/>
      <c r="U360" s="779"/>
      <c r="V360" s="779"/>
      <c r="W360" s="779"/>
      <c r="X360" s="779"/>
      <c r="Y360" s="779"/>
      <c r="Z360" s="779"/>
      <c r="AA360" s="779"/>
      <c r="AB360" s="779"/>
      <c r="AC360" s="779"/>
      <c r="AD360" s="779"/>
      <c r="AE360" s="779"/>
      <c r="AF360" s="779"/>
      <c r="AG360" s="779"/>
      <c r="AH360" s="779"/>
      <c r="AI360" s="779"/>
      <c r="AJ360" s="779"/>
      <c r="AK360" s="779"/>
      <c r="AL360" s="779"/>
      <c r="AM360" s="779"/>
      <c r="AN360" s="779"/>
      <c r="AO360" s="779"/>
      <c r="AP360" s="779"/>
      <c r="AQ360" s="779"/>
      <c r="AR360" s="779"/>
      <c r="AS360" s="779"/>
      <c r="AT360" s="779"/>
      <c r="AU360" s="779"/>
      <c r="AV360" s="779"/>
      <c r="AW360" s="779"/>
      <c r="AX360" s="779"/>
      <c r="AY360" s="779"/>
      <c r="AZ360" s="779"/>
      <c r="BA360" s="779"/>
      <c r="BB360" s="779"/>
      <c r="BC360" s="779"/>
      <c r="BD360" s="779"/>
      <c r="BE360" s="779"/>
      <c r="BF360" s="779"/>
      <c r="BG360" s="779"/>
      <c r="BH360" s="779"/>
      <c r="BI360" s="779"/>
      <c r="BJ360" s="779"/>
      <c r="BK360" s="779"/>
      <c r="BL360" s="779"/>
      <c r="BM360" s="779"/>
      <c r="BN360" s="779"/>
      <c r="BO360" s="779"/>
      <c r="BP360" s="779"/>
      <c r="BQ360" s="779"/>
      <c r="BR360" s="779"/>
      <c r="BS360" s="779"/>
      <c r="BT360" s="779"/>
      <c r="BU360" s="779"/>
      <c r="BV360" s="779"/>
      <c r="BW360" s="779"/>
      <c r="BX360" s="779"/>
      <c r="BY360" s="779"/>
      <c r="BZ360" s="779"/>
      <c r="CA360" s="779"/>
      <c r="CB360" s="779"/>
      <c r="CC360" s="779"/>
    </row>
    <row r="361" spans="1:81">
      <c r="A361" s="779"/>
      <c r="B361" s="779"/>
      <c r="C361" s="779"/>
      <c r="D361" s="779"/>
      <c r="E361" s="779"/>
      <c r="F361" s="779"/>
      <c r="G361" s="779"/>
      <c r="H361" s="779"/>
      <c r="I361" s="779"/>
      <c r="J361" s="779"/>
      <c r="K361" s="779"/>
      <c r="L361" s="779"/>
      <c r="M361" s="779"/>
      <c r="N361" s="779"/>
      <c r="O361" s="779"/>
      <c r="P361" s="779"/>
      <c r="Q361" s="779"/>
      <c r="R361" s="779"/>
      <c r="S361" s="779"/>
      <c r="T361" s="779"/>
      <c r="U361" s="779"/>
      <c r="V361" s="779"/>
      <c r="W361" s="779"/>
      <c r="X361" s="779"/>
      <c r="Y361" s="779"/>
      <c r="Z361" s="779"/>
      <c r="AA361" s="779"/>
      <c r="AB361" s="779"/>
      <c r="AC361" s="779"/>
      <c r="AD361" s="779"/>
      <c r="AE361" s="779"/>
      <c r="AF361" s="779"/>
      <c r="AG361" s="779"/>
      <c r="AH361" s="779"/>
      <c r="AI361" s="779"/>
      <c r="AJ361" s="779"/>
      <c r="AK361" s="779"/>
      <c r="AL361" s="779"/>
      <c r="AM361" s="779"/>
      <c r="AN361" s="779"/>
      <c r="AO361" s="779"/>
      <c r="AP361" s="779"/>
      <c r="AQ361" s="779"/>
      <c r="AR361" s="779"/>
      <c r="AS361" s="779"/>
      <c r="AT361" s="779"/>
      <c r="AU361" s="779"/>
      <c r="AV361" s="779"/>
      <c r="AW361" s="779"/>
      <c r="AX361" s="779"/>
      <c r="AY361" s="779"/>
      <c r="AZ361" s="779"/>
      <c r="BA361" s="779"/>
      <c r="BB361" s="779"/>
      <c r="BC361" s="779"/>
      <c r="BD361" s="779"/>
      <c r="BE361" s="779"/>
      <c r="BF361" s="779"/>
      <c r="BG361" s="779"/>
      <c r="BH361" s="779"/>
      <c r="BI361" s="779"/>
      <c r="BJ361" s="779"/>
      <c r="BK361" s="779"/>
      <c r="BL361" s="779"/>
      <c r="BM361" s="779"/>
      <c r="BN361" s="779"/>
      <c r="BO361" s="779"/>
      <c r="BP361" s="779"/>
      <c r="BQ361" s="779"/>
      <c r="BR361" s="779"/>
      <c r="BS361" s="779"/>
      <c r="BT361" s="779"/>
      <c r="BU361" s="779"/>
      <c r="BV361" s="779"/>
      <c r="BW361" s="779"/>
      <c r="BX361" s="779"/>
      <c r="BY361" s="779"/>
      <c r="BZ361" s="779"/>
      <c r="CA361" s="779"/>
      <c r="CB361" s="779"/>
      <c r="CC361" s="779"/>
    </row>
    <row r="362" spans="1:81">
      <c r="A362" s="779"/>
      <c r="B362" s="779"/>
      <c r="C362" s="779"/>
      <c r="D362" s="779"/>
      <c r="E362" s="779"/>
      <c r="F362" s="779"/>
      <c r="G362" s="779"/>
      <c r="H362" s="779"/>
      <c r="I362" s="779"/>
      <c r="J362" s="779"/>
      <c r="K362" s="779"/>
      <c r="L362" s="779"/>
      <c r="M362" s="779"/>
      <c r="N362" s="779"/>
      <c r="O362" s="779"/>
      <c r="P362" s="779"/>
      <c r="Q362" s="779"/>
      <c r="R362" s="779"/>
      <c r="S362" s="779"/>
      <c r="T362" s="779"/>
      <c r="U362" s="779"/>
      <c r="V362" s="779"/>
      <c r="W362" s="779"/>
      <c r="X362" s="779"/>
      <c r="Y362" s="779"/>
      <c r="Z362" s="779"/>
      <c r="AA362" s="779"/>
      <c r="AB362" s="779"/>
      <c r="AC362" s="779"/>
      <c r="AD362" s="779"/>
      <c r="AE362" s="779"/>
      <c r="AF362" s="779"/>
      <c r="AG362" s="779"/>
      <c r="AH362" s="779"/>
      <c r="AI362" s="779"/>
      <c r="AJ362" s="779"/>
      <c r="AK362" s="779"/>
      <c r="AL362" s="779"/>
      <c r="AM362" s="779"/>
      <c r="AN362" s="779"/>
      <c r="AO362" s="779"/>
      <c r="AP362" s="779"/>
      <c r="AQ362" s="779"/>
      <c r="AR362" s="779"/>
      <c r="AS362" s="779"/>
      <c r="AT362" s="779"/>
      <c r="AU362" s="779"/>
      <c r="AV362" s="779"/>
      <c r="AW362" s="779"/>
      <c r="AX362" s="779"/>
      <c r="AY362" s="779"/>
      <c r="AZ362" s="779"/>
      <c r="BA362" s="779"/>
      <c r="BB362" s="779"/>
      <c r="BC362" s="779"/>
      <c r="BD362" s="779"/>
      <c r="BE362" s="779"/>
      <c r="BF362" s="779"/>
      <c r="BG362" s="779"/>
      <c r="BH362" s="779"/>
      <c r="BI362" s="779"/>
      <c r="BJ362" s="779"/>
      <c r="BK362" s="779"/>
      <c r="BL362" s="779"/>
      <c r="BM362" s="779"/>
      <c r="BN362" s="779"/>
      <c r="BO362" s="779"/>
      <c r="BP362" s="779"/>
      <c r="BQ362" s="779"/>
      <c r="BR362" s="779"/>
      <c r="BS362" s="779"/>
      <c r="BT362" s="779"/>
      <c r="BU362" s="779"/>
      <c r="BV362" s="779"/>
      <c r="BW362" s="779"/>
      <c r="BX362" s="779"/>
      <c r="BY362" s="779"/>
      <c r="BZ362" s="779"/>
      <c r="CA362" s="779"/>
      <c r="CB362" s="779"/>
      <c r="CC362" s="779"/>
    </row>
    <row r="363" spans="1:81">
      <c r="A363" s="779"/>
      <c r="B363" s="779"/>
      <c r="C363" s="779"/>
      <c r="D363" s="779"/>
      <c r="E363" s="779"/>
      <c r="F363" s="779"/>
      <c r="G363" s="779"/>
      <c r="H363" s="779"/>
      <c r="I363" s="779"/>
      <c r="J363" s="779"/>
      <c r="K363" s="779"/>
      <c r="L363" s="779"/>
      <c r="M363" s="779"/>
      <c r="N363" s="779"/>
      <c r="O363" s="779"/>
      <c r="P363" s="779"/>
      <c r="Q363" s="779"/>
      <c r="R363" s="779"/>
      <c r="S363" s="779"/>
      <c r="T363" s="779"/>
      <c r="U363" s="779"/>
      <c r="V363" s="779"/>
      <c r="W363" s="779"/>
      <c r="X363" s="779"/>
      <c r="Y363" s="779"/>
      <c r="Z363" s="779"/>
      <c r="AA363" s="779"/>
      <c r="AB363" s="779"/>
      <c r="AC363" s="779"/>
      <c r="AD363" s="779"/>
      <c r="AE363" s="779"/>
      <c r="AF363" s="779"/>
      <c r="AG363" s="779"/>
      <c r="AH363" s="779"/>
      <c r="AI363" s="779"/>
      <c r="AJ363" s="779"/>
      <c r="AK363" s="779"/>
      <c r="AL363" s="779"/>
      <c r="AM363" s="779"/>
      <c r="AN363" s="779"/>
      <c r="AO363" s="779"/>
      <c r="AP363" s="779"/>
      <c r="AQ363" s="779"/>
      <c r="AR363" s="779"/>
      <c r="AS363" s="779"/>
      <c r="AT363" s="779"/>
      <c r="AU363" s="779"/>
      <c r="AV363" s="779"/>
      <c r="AW363" s="779"/>
      <c r="AX363" s="779"/>
      <c r="AY363" s="779"/>
      <c r="AZ363" s="779"/>
      <c r="BA363" s="779"/>
      <c r="BB363" s="779"/>
      <c r="BC363" s="779"/>
      <c r="BD363" s="779"/>
      <c r="BE363" s="779"/>
      <c r="BF363" s="779"/>
      <c r="BG363" s="779"/>
      <c r="BH363" s="779"/>
      <c r="BI363" s="779"/>
      <c r="BJ363" s="779"/>
      <c r="BK363" s="779"/>
      <c r="BL363" s="779"/>
      <c r="BM363" s="779"/>
      <c r="BN363" s="779"/>
      <c r="BO363" s="779"/>
      <c r="BP363" s="779"/>
      <c r="BQ363" s="779"/>
      <c r="BR363" s="779"/>
      <c r="BS363" s="779"/>
      <c r="BT363" s="779"/>
      <c r="BU363" s="779"/>
      <c r="BV363" s="779"/>
      <c r="BW363" s="779"/>
      <c r="BX363" s="779"/>
      <c r="BY363" s="779"/>
      <c r="BZ363" s="779"/>
      <c r="CA363" s="779"/>
      <c r="CB363" s="779"/>
      <c r="CC363" s="779"/>
    </row>
    <row r="364" spans="1:81">
      <c r="A364" s="779"/>
      <c r="B364" s="779"/>
      <c r="C364" s="779"/>
      <c r="D364" s="779"/>
      <c r="E364" s="779"/>
      <c r="F364" s="779"/>
      <c r="G364" s="779"/>
      <c r="H364" s="779"/>
      <c r="I364" s="779"/>
      <c r="J364" s="779"/>
      <c r="K364" s="779"/>
      <c r="L364" s="779"/>
      <c r="M364" s="779"/>
      <c r="N364" s="779"/>
      <c r="O364" s="779"/>
      <c r="P364" s="779"/>
      <c r="Q364" s="779"/>
      <c r="R364" s="779"/>
      <c r="S364" s="779"/>
      <c r="T364" s="779"/>
      <c r="U364" s="779"/>
      <c r="V364" s="779"/>
      <c r="W364" s="779"/>
      <c r="X364" s="779"/>
      <c r="Y364" s="779"/>
      <c r="Z364" s="779"/>
      <c r="AA364" s="779"/>
      <c r="AB364" s="779"/>
      <c r="AC364" s="779"/>
      <c r="AD364" s="779"/>
      <c r="AE364" s="779"/>
      <c r="AF364" s="779"/>
      <c r="AG364" s="779"/>
      <c r="AH364" s="779"/>
      <c r="AI364" s="779"/>
      <c r="AJ364" s="779"/>
      <c r="AK364" s="779"/>
      <c r="AL364" s="779"/>
      <c r="AM364" s="779"/>
      <c r="AN364" s="779"/>
      <c r="AO364" s="779"/>
      <c r="AP364" s="779"/>
      <c r="AQ364" s="779"/>
      <c r="AR364" s="779"/>
      <c r="AS364" s="779"/>
      <c r="AT364" s="779"/>
      <c r="AU364" s="779"/>
      <c r="AV364" s="779"/>
      <c r="AW364" s="779"/>
      <c r="AX364" s="779"/>
      <c r="AY364" s="779"/>
      <c r="AZ364" s="779"/>
      <c r="BA364" s="779"/>
      <c r="BB364" s="779"/>
      <c r="BC364" s="779"/>
      <c r="BD364" s="779"/>
      <c r="BE364" s="779"/>
      <c r="BF364" s="779"/>
      <c r="BG364" s="779"/>
      <c r="BH364" s="779"/>
      <c r="BI364" s="779"/>
      <c r="BJ364" s="779"/>
      <c r="BK364" s="779"/>
      <c r="BL364" s="779"/>
      <c r="BM364" s="779"/>
      <c r="BN364" s="779"/>
      <c r="BO364" s="779"/>
      <c r="BP364" s="779"/>
      <c r="BQ364" s="779"/>
      <c r="BR364" s="779"/>
      <c r="BS364" s="779"/>
      <c r="BT364" s="779"/>
      <c r="BU364" s="779"/>
      <c r="BV364" s="779"/>
      <c r="BW364" s="779"/>
      <c r="BX364" s="779"/>
      <c r="BY364" s="779"/>
      <c r="BZ364" s="779"/>
      <c r="CA364" s="779"/>
      <c r="CB364" s="779"/>
      <c r="CC364" s="779"/>
    </row>
    <row r="365" spans="1:81">
      <c r="A365" s="779"/>
      <c r="B365" s="779"/>
      <c r="C365" s="779"/>
      <c r="D365" s="779"/>
      <c r="E365" s="779"/>
      <c r="F365" s="779"/>
      <c r="G365" s="779"/>
      <c r="H365" s="779"/>
      <c r="I365" s="779"/>
      <c r="J365" s="779"/>
      <c r="K365" s="779"/>
      <c r="L365" s="779"/>
      <c r="M365" s="779"/>
      <c r="N365" s="779"/>
      <c r="O365" s="779"/>
      <c r="P365" s="779"/>
      <c r="Q365" s="779"/>
      <c r="R365" s="779"/>
      <c r="S365" s="779"/>
      <c r="T365" s="779"/>
      <c r="U365" s="779"/>
      <c r="V365" s="779"/>
      <c r="W365" s="779"/>
      <c r="X365" s="779"/>
      <c r="Y365" s="779"/>
      <c r="Z365" s="779"/>
      <c r="AA365" s="779"/>
      <c r="AB365" s="779"/>
      <c r="AC365" s="779"/>
      <c r="AD365" s="779"/>
      <c r="AE365" s="779"/>
      <c r="AF365" s="779"/>
      <c r="AG365" s="779"/>
      <c r="AH365" s="779"/>
      <c r="AI365" s="779"/>
      <c r="AJ365" s="779"/>
      <c r="AK365" s="779"/>
      <c r="AL365" s="779"/>
      <c r="AM365" s="779"/>
      <c r="AN365" s="779"/>
      <c r="AO365" s="779"/>
      <c r="AP365" s="779"/>
      <c r="AQ365" s="779"/>
      <c r="AR365" s="779"/>
      <c r="AS365" s="779"/>
      <c r="AT365" s="779"/>
      <c r="AU365" s="779"/>
      <c r="AV365" s="779"/>
      <c r="AW365" s="779"/>
      <c r="AX365" s="779"/>
      <c r="AY365" s="779"/>
      <c r="AZ365" s="779"/>
      <c r="BA365" s="779"/>
      <c r="BB365" s="779"/>
      <c r="BC365" s="779"/>
      <c r="BD365" s="779"/>
      <c r="BE365" s="779"/>
      <c r="BF365" s="779"/>
      <c r="BG365" s="779"/>
      <c r="BH365" s="779"/>
      <c r="BI365" s="779"/>
      <c r="BJ365" s="779"/>
      <c r="BK365" s="779"/>
      <c r="BL365" s="779"/>
      <c r="BM365" s="779"/>
      <c r="BN365" s="779"/>
      <c r="BO365" s="779"/>
      <c r="BP365" s="779"/>
      <c r="BQ365" s="779"/>
      <c r="BR365" s="779"/>
      <c r="BS365" s="779"/>
      <c r="BT365" s="779"/>
      <c r="BU365" s="779"/>
      <c r="BV365" s="779"/>
      <c r="BW365" s="779"/>
      <c r="BX365" s="779"/>
      <c r="BY365" s="779"/>
      <c r="BZ365" s="779"/>
      <c r="CA365" s="779"/>
      <c r="CB365" s="779"/>
      <c r="CC365" s="779"/>
    </row>
    <row r="366" spans="1:81">
      <c r="A366" s="779"/>
      <c r="B366" s="779"/>
      <c r="C366" s="779"/>
      <c r="D366" s="779"/>
      <c r="E366" s="779"/>
      <c r="F366" s="779"/>
      <c r="G366" s="779"/>
      <c r="H366" s="779"/>
      <c r="I366" s="779"/>
      <c r="J366" s="779"/>
      <c r="K366" s="779"/>
      <c r="L366" s="779"/>
      <c r="M366" s="779"/>
      <c r="N366" s="779"/>
      <c r="O366" s="779"/>
      <c r="P366" s="779"/>
      <c r="Q366" s="779"/>
      <c r="R366" s="779"/>
      <c r="S366" s="779"/>
      <c r="T366" s="779"/>
      <c r="U366" s="779"/>
      <c r="V366" s="779"/>
      <c r="W366" s="779"/>
      <c r="X366" s="779"/>
      <c r="Y366" s="779"/>
      <c r="Z366" s="779"/>
      <c r="AA366" s="779"/>
      <c r="AB366" s="779"/>
      <c r="AC366" s="779"/>
      <c r="AD366" s="779"/>
      <c r="AE366" s="779"/>
      <c r="AF366" s="779"/>
      <c r="AG366" s="779"/>
      <c r="AH366" s="779"/>
      <c r="AI366" s="779"/>
      <c r="AJ366" s="779"/>
      <c r="AK366" s="779"/>
      <c r="AL366" s="779"/>
      <c r="AM366" s="779"/>
      <c r="AN366" s="779"/>
      <c r="AO366" s="779"/>
      <c r="AP366" s="779"/>
      <c r="AQ366" s="779"/>
      <c r="AR366" s="779"/>
      <c r="AS366" s="779"/>
      <c r="AT366" s="779"/>
      <c r="AU366" s="779"/>
      <c r="AV366" s="779"/>
      <c r="AW366" s="779"/>
      <c r="AX366" s="779"/>
      <c r="AY366" s="779"/>
      <c r="AZ366" s="779"/>
      <c r="BA366" s="779"/>
      <c r="BB366" s="779"/>
      <c r="BC366" s="779"/>
      <c r="BD366" s="779"/>
      <c r="BE366" s="779"/>
      <c r="BF366" s="779"/>
      <c r="BG366" s="779"/>
      <c r="BH366" s="779"/>
      <c r="BI366" s="779"/>
      <c r="BJ366" s="779"/>
      <c r="BK366" s="779"/>
      <c r="BL366" s="779"/>
      <c r="BM366" s="779"/>
      <c r="BN366" s="779"/>
      <c r="BO366" s="779"/>
      <c r="BP366" s="779"/>
      <c r="BQ366" s="779"/>
      <c r="BR366" s="779"/>
      <c r="BS366" s="779"/>
      <c r="BT366" s="779"/>
      <c r="BU366" s="779"/>
      <c r="BV366" s="779"/>
      <c r="BW366" s="779"/>
      <c r="BX366" s="779"/>
      <c r="BY366" s="779"/>
      <c r="BZ366" s="779"/>
      <c r="CA366" s="779"/>
      <c r="CB366" s="779"/>
      <c r="CC366" s="779"/>
    </row>
    <row r="367" spans="1:81">
      <c r="A367" s="779"/>
      <c r="B367" s="779"/>
      <c r="C367" s="779"/>
      <c r="D367" s="779"/>
      <c r="E367" s="779"/>
      <c r="F367" s="779"/>
      <c r="G367" s="779"/>
      <c r="H367" s="779"/>
      <c r="I367" s="779"/>
      <c r="J367" s="779"/>
      <c r="K367" s="779"/>
      <c r="L367" s="779"/>
      <c r="M367" s="779"/>
      <c r="N367" s="779"/>
      <c r="O367" s="779"/>
      <c r="P367" s="779"/>
      <c r="Q367" s="779"/>
      <c r="R367" s="779"/>
      <c r="S367" s="779"/>
      <c r="T367" s="779"/>
      <c r="U367" s="779"/>
      <c r="V367" s="779"/>
      <c r="W367" s="779"/>
      <c r="X367" s="779"/>
      <c r="Y367" s="779"/>
      <c r="Z367" s="779"/>
      <c r="AA367" s="779"/>
      <c r="AB367" s="779"/>
      <c r="AC367" s="779"/>
      <c r="AD367" s="779"/>
      <c r="AE367" s="779"/>
      <c r="AF367" s="779"/>
      <c r="AG367" s="779"/>
      <c r="AH367" s="779"/>
      <c r="AI367" s="779"/>
      <c r="AJ367" s="779"/>
      <c r="AK367" s="779"/>
      <c r="AL367" s="779"/>
      <c r="AM367" s="779"/>
      <c r="AN367" s="779"/>
      <c r="AO367" s="779"/>
      <c r="AP367" s="779"/>
      <c r="AQ367" s="779"/>
      <c r="AR367" s="779"/>
      <c r="AS367" s="779"/>
      <c r="AT367" s="779"/>
      <c r="AU367" s="779"/>
      <c r="AV367" s="779"/>
      <c r="AW367" s="779"/>
      <c r="AX367" s="779"/>
      <c r="AY367" s="779"/>
      <c r="AZ367" s="779"/>
      <c r="BA367" s="779"/>
      <c r="BB367" s="779"/>
      <c r="BC367" s="779"/>
      <c r="BD367" s="779"/>
      <c r="BE367" s="779"/>
      <c r="BF367" s="779"/>
      <c r="BG367" s="779"/>
      <c r="BH367" s="779"/>
      <c r="BI367" s="779"/>
      <c r="BJ367" s="779"/>
      <c r="BK367" s="779"/>
      <c r="BL367" s="779"/>
      <c r="BM367" s="779"/>
      <c r="BN367" s="779"/>
      <c r="BO367" s="779"/>
      <c r="BP367" s="779"/>
      <c r="BQ367" s="779"/>
      <c r="BR367" s="779"/>
      <c r="BS367" s="779"/>
      <c r="BT367" s="779"/>
      <c r="BU367" s="779"/>
      <c r="BV367" s="779"/>
      <c r="BW367" s="779"/>
      <c r="BX367" s="779"/>
      <c r="BY367" s="779"/>
      <c r="BZ367" s="779"/>
      <c r="CA367" s="779"/>
      <c r="CB367" s="779"/>
      <c r="CC367" s="779"/>
    </row>
    <row r="368" spans="1:81">
      <c r="A368" s="779"/>
      <c r="B368" s="779"/>
      <c r="C368" s="779"/>
      <c r="D368" s="779"/>
      <c r="E368" s="779"/>
      <c r="F368" s="779"/>
      <c r="G368" s="779"/>
      <c r="H368" s="779"/>
      <c r="I368" s="779"/>
      <c r="J368" s="779"/>
      <c r="K368" s="779"/>
      <c r="L368" s="779"/>
      <c r="M368" s="779"/>
      <c r="N368" s="779"/>
      <c r="O368" s="779"/>
      <c r="P368" s="779"/>
      <c r="Q368" s="779"/>
      <c r="R368" s="779"/>
      <c r="S368" s="779"/>
      <c r="T368" s="779"/>
      <c r="U368" s="779"/>
      <c r="V368" s="779"/>
      <c r="W368" s="779"/>
      <c r="X368" s="779"/>
      <c r="Y368" s="779"/>
      <c r="Z368" s="779"/>
      <c r="AA368" s="779"/>
      <c r="AB368" s="779"/>
      <c r="AC368" s="779"/>
      <c r="AD368" s="779"/>
      <c r="AE368" s="779"/>
      <c r="AF368" s="779"/>
      <c r="AG368" s="779"/>
      <c r="AH368" s="779"/>
      <c r="AI368" s="779"/>
      <c r="AJ368" s="779"/>
      <c r="AK368" s="779"/>
      <c r="AL368" s="779"/>
      <c r="AM368" s="779"/>
      <c r="AN368" s="779"/>
      <c r="AO368" s="779"/>
      <c r="AP368" s="779"/>
      <c r="AQ368" s="779"/>
      <c r="AR368" s="779"/>
      <c r="AS368" s="779"/>
      <c r="AT368" s="779"/>
      <c r="AU368" s="779"/>
      <c r="AV368" s="779"/>
      <c r="AW368" s="779"/>
      <c r="AX368" s="779"/>
      <c r="AY368" s="779"/>
      <c r="AZ368" s="779"/>
      <c r="BA368" s="779"/>
      <c r="BB368" s="779"/>
      <c r="BC368" s="779"/>
      <c r="BD368" s="779"/>
      <c r="BE368" s="779"/>
      <c r="BF368" s="779"/>
      <c r="BG368" s="779"/>
      <c r="BH368" s="779"/>
      <c r="BI368" s="779"/>
      <c r="BJ368" s="779"/>
      <c r="BK368" s="779"/>
      <c r="BL368" s="779"/>
      <c r="BM368" s="779"/>
      <c r="BN368" s="779"/>
      <c r="BO368" s="779"/>
      <c r="BP368" s="779"/>
      <c r="BQ368" s="779"/>
      <c r="BR368" s="779"/>
      <c r="BS368" s="779"/>
      <c r="BT368" s="779"/>
      <c r="BU368" s="779"/>
      <c r="BV368" s="779"/>
      <c r="BW368" s="779"/>
      <c r="BX368" s="779"/>
      <c r="BY368" s="779"/>
      <c r="BZ368" s="779"/>
      <c r="CA368" s="779"/>
      <c r="CB368" s="779"/>
      <c r="CC368" s="779"/>
    </row>
    <row r="369" spans="1:81">
      <c r="A369" s="779"/>
      <c r="B369" s="779"/>
      <c r="C369" s="779"/>
      <c r="D369" s="779"/>
      <c r="E369" s="779"/>
      <c r="F369" s="779"/>
      <c r="G369" s="779"/>
      <c r="H369" s="779"/>
      <c r="I369" s="779"/>
      <c r="J369" s="779"/>
      <c r="K369" s="779"/>
      <c r="L369" s="779"/>
      <c r="M369" s="779"/>
      <c r="N369" s="779"/>
      <c r="O369" s="779"/>
      <c r="P369" s="779"/>
      <c r="Q369" s="779"/>
      <c r="R369" s="779"/>
      <c r="S369" s="779"/>
      <c r="T369" s="779"/>
      <c r="U369" s="779"/>
      <c r="V369" s="779"/>
      <c r="W369" s="779"/>
      <c r="X369" s="779"/>
      <c r="Y369" s="779"/>
      <c r="Z369" s="779"/>
      <c r="AA369" s="779"/>
      <c r="AB369" s="779"/>
      <c r="AC369" s="779"/>
      <c r="AD369" s="779"/>
      <c r="AE369" s="779"/>
      <c r="AF369" s="779"/>
      <c r="AG369" s="779"/>
      <c r="AH369" s="779"/>
      <c r="AI369" s="779"/>
      <c r="AJ369" s="779"/>
      <c r="AK369" s="779"/>
      <c r="AL369" s="779"/>
      <c r="AM369" s="779"/>
      <c r="AN369" s="779"/>
      <c r="AO369" s="779"/>
      <c r="AP369" s="779"/>
      <c r="AQ369" s="779"/>
      <c r="AR369" s="779"/>
      <c r="AS369" s="779"/>
      <c r="AT369" s="779"/>
      <c r="AU369" s="779"/>
      <c r="AV369" s="779"/>
      <c r="AW369" s="779"/>
      <c r="AX369" s="779"/>
      <c r="AY369" s="779"/>
      <c r="AZ369" s="779"/>
      <c r="BA369" s="779"/>
      <c r="BB369" s="779"/>
      <c r="BC369" s="779"/>
      <c r="BD369" s="779"/>
      <c r="BE369" s="779"/>
      <c r="BF369" s="779"/>
      <c r="BG369" s="779"/>
      <c r="BH369" s="779"/>
      <c r="BI369" s="779"/>
      <c r="BJ369" s="779"/>
      <c r="BK369" s="779"/>
      <c r="BL369" s="779"/>
      <c r="BM369" s="779"/>
      <c r="BN369" s="779"/>
      <c r="BO369" s="779"/>
      <c r="BP369" s="779"/>
      <c r="BQ369" s="779"/>
      <c r="BR369" s="779"/>
      <c r="BS369" s="779"/>
      <c r="BT369" s="779"/>
      <c r="BU369" s="779"/>
      <c r="BV369" s="779"/>
      <c r="BW369" s="779"/>
      <c r="BX369" s="779"/>
      <c r="BY369" s="779"/>
      <c r="BZ369" s="779"/>
      <c r="CA369" s="779"/>
      <c r="CB369" s="779"/>
      <c r="CC369" s="779"/>
    </row>
    <row r="370" spans="1:81">
      <c r="A370" s="779"/>
      <c r="B370" s="779"/>
      <c r="C370" s="779"/>
      <c r="D370" s="779"/>
      <c r="E370" s="779"/>
      <c r="F370" s="779"/>
      <c r="G370" s="779"/>
      <c r="H370" s="779"/>
      <c r="I370" s="779"/>
      <c r="J370" s="779"/>
      <c r="K370" s="779"/>
      <c r="L370" s="779"/>
      <c r="M370" s="779"/>
      <c r="N370" s="779"/>
      <c r="O370" s="779"/>
      <c r="P370" s="779"/>
      <c r="Q370" s="779"/>
      <c r="R370" s="779"/>
      <c r="S370" s="779"/>
      <c r="T370" s="779"/>
      <c r="U370" s="779"/>
      <c r="V370" s="779"/>
      <c r="W370" s="779"/>
      <c r="X370" s="779"/>
      <c r="Y370" s="779"/>
      <c r="Z370" s="779"/>
      <c r="AA370" s="779"/>
      <c r="AB370" s="779"/>
      <c r="AC370" s="779"/>
      <c r="AD370" s="779"/>
      <c r="AE370" s="779"/>
      <c r="AF370" s="779"/>
      <c r="AG370" s="779"/>
      <c r="AH370" s="779"/>
      <c r="AI370" s="779"/>
      <c r="AJ370" s="779"/>
      <c r="AK370" s="779"/>
      <c r="AL370" s="779"/>
      <c r="AM370" s="779"/>
      <c r="AN370" s="779"/>
      <c r="AO370" s="779"/>
      <c r="AP370" s="779"/>
      <c r="AQ370" s="779"/>
      <c r="AR370" s="779"/>
      <c r="AS370" s="779"/>
      <c r="AT370" s="779"/>
      <c r="AU370" s="779"/>
      <c r="AV370" s="779"/>
      <c r="AW370" s="779"/>
      <c r="AX370" s="779"/>
      <c r="AY370" s="779"/>
      <c r="AZ370" s="779"/>
      <c r="BA370" s="779"/>
      <c r="BB370" s="779"/>
      <c r="BC370" s="779"/>
      <c r="BD370" s="779"/>
      <c r="BE370" s="779"/>
      <c r="BF370" s="779"/>
      <c r="BG370" s="779"/>
      <c r="BH370" s="779"/>
      <c r="BI370" s="779"/>
      <c r="BJ370" s="779"/>
      <c r="BK370" s="779"/>
      <c r="BL370" s="779"/>
      <c r="BM370" s="779"/>
      <c r="BN370" s="779"/>
      <c r="BO370" s="779"/>
      <c r="BP370" s="779"/>
      <c r="BQ370" s="779"/>
      <c r="BR370" s="779"/>
      <c r="BS370" s="779"/>
      <c r="BT370" s="779"/>
      <c r="BU370" s="779"/>
      <c r="BV370" s="779"/>
      <c r="BW370" s="779"/>
      <c r="BX370" s="779"/>
      <c r="BY370" s="779"/>
      <c r="BZ370" s="779"/>
      <c r="CA370" s="779"/>
      <c r="CB370" s="779"/>
      <c r="CC370" s="779"/>
    </row>
    <row r="371" spans="1:81">
      <c r="A371" s="779"/>
      <c r="B371" s="779"/>
      <c r="C371" s="779"/>
      <c r="D371" s="779"/>
      <c r="E371" s="779"/>
      <c r="F371" s="779"/>
      <c r="G371" s="779"/>
      <c r="H371" s="779"/>
      <c r="I371" s="779"/>
      <c r="J371" s="779"/>
      <c r="K371" s="779"/>
      <c r="L371" s="779"/>
      <c r="M371" s="779"/>
      <c r="N371" s="779"/>
      <c r="O371" s="779"/>
      <c r="P371" s="779"/>
      <c r="Q371" s="779"/>
      <c r="R371" s="779"/>
      <c r="S371" s="779"/>
      <c r="T371" s="779"/>
      <c r="U371" s="779"/>
      <c r="V371" s="779"/>
      <c r="W371" s="779"/>
      <c r="X371" s="779"/>
      <c r="Y371" s="779"/>
      <c r="Z371" s="779"/>
      <c r="AA371" s="779"/>
      <c r="AB371" s="779"/>
      <c r="AC371" s="779"/>
      <c r="AD371" s="779"/>
      <c r="AE371" s="779"/>
      <c r="AF371" s="779"/>
      <c r="AG371" s="779"/>
      <c r="AH371" s="779"/>
      <c r="AI371" s="779"/>
      <c r="AJ371" s="779"/>
      <c r="AK371" s="779"/>
      <c r="AL371" s="779"/>
      <c r="AM371" s="779"/>
      <c r="AN371" s="779"/>
      <c r="AO371" s="779"/>
      <c r="AP371" s="779"/>
      <c r="AQ371" s="779"/>
      <c r="AR371" s="779"/>
      <c r="AS371" s="779"/>
      <c r="AT371" s="779"/>
      <c r="AU371" s="779"/>
      <c r="AV371" s="779"/>
      <c r="AW371" s="779"/>
      <c r="AX371" s="779"/>
      <c r="AY371" s="779"/>
      <c r="AZ371" s="779"/>
      <c r="BA371" s="779"/>
      <c r="BB371" s="779"/>
      <c r="BC371" s="779"/>
      <c r="BD371" s="779"/>
      <c r="BE371" s="779"/>
      <c r="BF371" s="779"/>
      <c r="BG371" s="779"/>
      <c r="BH371" s="779"/>
      <c r="BI371" s="779"/>
      <c r="BJ371" s="779"/>
      <c r="BK371" s="779"/>
      <c r="BL371" s="779"/>
      <c r="BM371" s="779"/>
      <c r="BN371" s="779"/>
      <c r="BO371" s="779"/>
      <c r="BP371" s="779"/>
      <c r="BQ371" s="779"/>
      <c r="BR371" s="779"/>
      <c r="BS371" s="779"/>
      <c r="BT371" s="779"/>
      <c r="BU371" s="779"/>
      <c r="BV371" s="779"/>
      <c r="BW371" s="779"/>
      <c r="BX371" s="779"/>
      <c r="BY371" s="779"/>
      <c r="BZ371" s="779"/>
      <c r="CA371" s="779"/>
      <c r="CB371" s="779"/>
      <c r="CC371" s="779"/>
    </row>
    <row r="372" spans="1:81">
      <c r="A372" s="779"/>
      <c r="B372" s="779"/>
      <c r="C372" s="779"/>
      <c r="D372" s="779"/>
      <c r="E372" s="779"/>
      <c r="F372" s="779"/>
      <c r="G372" s="779"/>
      <c r="H372" s="779"/>
      <c r="I372" s="779"/>
      <c r="J372" s="779"/>
      <c r="K372" s="779"/>
      <c r="L372" s="779"/>
      <c r="M372" s="779"/>
      <c r="N372" s="779"/>
      <c r="O372" s="779"/>
      <c r="P372" s="779"/>
      <c r="Q372" s="779"/>
      <c r="R372" s="779"/>
      <c r="S372" s="779"/>
      <c r="T372" s="779"/>
      <c r="U372" s="779"/>
      <c r="V372" s="779"/>
      <c r="W372" s="779"/>
      <c r="X372" s="779"/>
      <c r="Y372" s="779"/>
      <c r="Z372" s="779"/>
      <c r="AA372" s="779"/>
      <c r="AB372" s="779"/>
      <c r="AC372" s="779"/>
      <c r="AD372" s="779"/>
      <c r="AE372" s="779"/>
      <c r="AF372" s="779"/>
      <c r="AG372" s="779"/>
      <c r="AH372" s="779"/>
      <c r="AI372" s="779"/>
      <c r="AJ372" s="779"/>
      <c r="AK372" s="779"/>
      <c r="AL372" s="779"/>
      <c r="AM372" s="779"/>
      <c r="AN372" s="779"/>
      <c r="AO372" s="779"/>
      <c r="AP372" s="779"/>
      <c r="AQ372" s="779"/>
      <c r="AR372" s="779"/>
      <c r="AS372" s="779"/>
      <c r="AT372" s="779"/>
      <c r="AU372" s="779"/>
      <c r="AV372" s="779"/>
      <c r="AW372" s="779"/>
      <c r="AX372" s="779"/>
      <c r="AY372" s="779"/>
      <c r="AZ372" s="779"/>
      <c r="BA372" s="779"/>
      <c r="BB372" s="779"/>
      <c r="BC372" s="779"/>
      <c r="BD372" s="779"/>
      <c r="BE372" s="779"/>
      <c r="BF372" s="779"/>
      <c r="BG372" s="779"/>
      <c r="BH372" s="779"/>
      <c r="BI372" s="779"/>
      <c r="BJ372" s="779"/>
      <c r="BK372" s="779"/>
      <c r="BL372" s="779"/>
      <c r="BM372" s="779"/>
      <c r="BN372" s="779"/>
      <c r="BO372" s="779"/>
      <c r="BP372" s="779"/>
      <c r="BQ372" s="779"/>
      <c r="BR372" s="779"/>
      <c r="BS372" s="779"/>
      <c r="BT372" s="779"/>
      <c r="BU372" s="779"/>
      <c r="BV372" s="779"/>
      <c r="BW372" s="779"/>
      <c r="BX372" s="779"/>
      <c r="BY372" s="779"/>
      <c r="BZ372" s="779"/>
      <c r="CA372" s="779"/>
      <c r="CB372" s="779"/>
      <c r="CC372" s="779"/>
    </row>
    <row r="373" spans="1:81">
      <c r="A373" s="779"/>
      <c r="B373" s="779"/>
      <c r="C373" s="779"/>
      <c r="D373" s="779"/>
      <c r="E373" s="779"/>
      <c r="F373" s="779"/>
      <c r="G373" s="779"/>
      <c r="H373" s="779"/>
      <c r="I373" s="779"/>
      <c r="J373" s="779"/>
      <c r="K373" s="779"/>
      <c r="L373" s="779"/>
      <c r="M373" s="779"/>
      <c r="N373" s="779"/>
      <c r="O373" s="779"/>
      <c r="P373" s="779"/>
      <c r="Q373" s="779"/>
      <c r="R373" s="779"/>
      <c r="S373" s="779"/>
      <c r="T373" s="779"/>
      <c r="U373" s="779"/>
      <c r="V373" s="779"/>
      <c r="W373" s="779"/>
      <c r="X373" s="779"/>
      <c r="Y373" s="779"/>
      <c r="Z373" s="779"/>
      <c r="AA373" s="779"/>
      <c r="AB373" s="779"/>
      <c r="AC373" s="779"/>
      <c r="AD373" s="779"/>
      <c r="AE373" s="779"/>
      <c r="AF373" s="779"/>
      <c r="AG373" s="779"/>
      <c r="AH373" s="779"/>
      <c r="AI373" s="779"/>
      <c r="AJ373" s="779"/>
      <c r="AK373" s="779"/>
      <c r="AL373" s="779"/>
      <c r="AM373" s="779"/>
      <c r="AN373" s="779"/>
      <c r="AO373" s="779"/>
      <c r="AP373" s="779"/>
      <c r="AQ373" s="779"/>
      <c r="AR373" s="779"/>
      <c r="AS373" s="779"/>
      <c r="AT373" s="779"/>
      <c r="AU373" s="779"/>
      <c r="AV373" s="779"/>
      <c r="AW373" s="779"/>
      <c r="AX373" s="779"/>
      <c r="AY373" s="779"/>
      <c r="AZ373" s="779"/>
      <c r="BA373" s="779"/>
      <c r="BB373" s="779"/>
      <c r="BC373" s="779"/>
      <c r="BD373" s="779"/>
      <c r="BE373" s="779"/>
      <c r="BF373" s="779"/>
      <c r="BG373" s="779"/>
      <c r="BH373" s="779"/>
      <c r="BI373" s="779"/>
      <c r="BJ373" s="779"/>
      <c r="BK373" s="779"/>
      <c r="BL373" s="779"/>
      <c r="BM373" s="779"/>
      <c r="BN373" s="779"/>
      <c r="BO373" s="779"/>
      <c r="BP373" s="779"/>
      <c r="BQ373" s="779"/>
      <c r="BR373" s="779"/>
      <c r="BS373" s="779"/>
      <c r="BT373" s="779"/>
      <c r="BU373" s="779"/>
      <c r="BV373" s="779"/>
      <c r="BW373" s="779"/>
      <c r="BX373" s="779"/>
      <c r="BY373" s="779"/>
      <c r="BZ373" s="779"/>
      <c r="CA373" s="779"/>
      <c r="CB373" s="779"/>
      <c r="CC373" s="779"/>
    </row>
    <row r="374" spans="1:81">
      <c r="A374" s="779"/>
      <c r="B374" s="779"/>
      <c r="C374" s="779"/>
      <c r="D374" s="779"/>
      <c r="E374" s="779"/>
      <c r="F374" s="779"/>
      <c r="G374" s="779"/>
      <c r="H374" s="779"/>
      <c r="I374" s="779"/>
      <c r="J374" s="779"/>
      <c r="K374" s="779"/>
      <c r="L374" s="779"/>
      <c r="M374" s="779"/>
      <c r="N374" s="779"/>
      <c r="O374" s="779"/>
      <c r="P374" s="779"/>
      <c r="Q374" s="779"/>
      <c r="R374" s="779"/>
      <c r="S374" s="779"/>
      <c r="T374" s="779"/>
      <c r="U374" s="779"/>
      <c r="V374" s="779"/>
      <c r="W374" s="779"/>
      <c r="X374" s="779"/>
      <c r="Y374" s="779"/>
      <c r="Z374" s="779"/>
      <c r="AA374" s="779"/>
      <c r="AB374" s="779"/>
      <c r="AC374" s="779"/>
      <c r="AD374" s="779"/>
      <c r="AE374" s="779"/>
      <c r="AF374" s="779"/>
      <c r="AG374" s="779"/>
      <c r="AH374" s="779"/>
      <c r="AI374" s="779"/>
      <c r="AJ374" s="779"/>
      <c r="AK374" s="779"/>
      <c r="AL374" s="779"/>
      <c r="AM374" s="779"/>
      <c r="AN374" s="779"/>
      <c r="AO374" s="779"/>
      <c r="AP374" s="779"/>
      <c r="AQ374" s="779"/>
      <c r="AR374" s="779"/>
      <c r="AS374" s="779"/>
      <c r="AT374" s="779"/>
      <c r="AU374" s="779"/>
      <c r="AV374" s="779"/>
      <c r="AW374" s="779"/>
      <c r="AX374" s="779"/>
      <c r="AY374" s="779"/>
      <c r="AZ374" s="779"/>
      <c r="BA374" s="779"/>
      <c r="BB374" s="779"/>
      <c r="BC374" s="779"/>
      <c r="BD374" s="779"/>
      <c r="BE374" s="779"/>
      <c r="BF374" s="779"/>
      <c r="BG374" s="779"/>
      <c r="BH374" s="779"/>
      <c r="BI374" s="779"/>
      <c r="BJ374" s="779"/>
      <c r="BK374" s="779"/>
      <c r="BL374" s="779"/>
      <c r="BM374" s="779"/>
      <c r="BN374" s="779"/>
      <c r="BO374" s="779"/>
      <c r="BP374" s="779"/>
      <c r="BQ374" s="779"/>
      <c r="BR374" s="779"/>
      <c r="BS374" s="779"/>
      <c r="BT374" s="779"/>
      <c r="BU374" s="779"/>
      <c r="BV374" s="779"/>
      <c r="BW374" s="779"/>
      <c r="BX374" s="779"/>
      <c r="BY374" s="779"/>
      <c r="BZ374" s="779"/>
      <c r="CA374" s="779"/>
      <c r="CB374" s="779"/>
      <c r="CC374" s="779"/>
    </row>
    <row r="375" spans="1:81">
      <c r="A375" s="779"/>
      <c r="B375" s="779"/>
      <c r="C375" s="779"/>
      <c r="D375" s="779"/>
      <c r="E375" s="779"/>
      <c r="F375" s="779"/>
      <c r="G375" s="779"/>
      <c r="H375" s="779"/>
      <c r="I375" s="779"/>
      <c r="J375" s="779"/>
      <c r="K375" s="779"/>
      <c r="L375" s="779"/>
      <c r="M375" s="779"/>
      <c r="N375" s="779"/>
      <c r="O375" s="779"/>
      <c r="P375" s="779"/>
      <c r="Q375" s="779"/>
      <c r="R375" s="779"/>
      <c r="S375" s="779"/>
      <c r="T375" s="779"/>
      <c r="U375" s="779"/>
      <c r="V375" s="779"/>
      <c r="W375" s="779"/>
      <c r="X375" s="779"/>
      <c r="Y375" s="779"/>
      <c r="Z375" s="779"/>
      <c r="AA375" s="779"/>
      <c r="AB375" s="779"/>
      <c r="AC375" s="779"/>
      <c r="AD375" s="779"/>
      <c r="AE375" s="779"/>
      <c r="AF375" s="779"/>
      <c r="AG375" s="779"/>
      <c r="AH375" s="779"/>
      <c r="AI375" s="779"/>
      <c r="AJ375" s="779"/>
      <c r="AK375" s="779"/>
      <c r="AL375" s="779"/>
      <c r="AM375" s="779"/>
      <c r="AN375" s="779"/>
      <c r="AO375" s="779"/>
      <c r="AP375" s="779"/>
      <c r="AQ375" s="779"/>
      <c r="AR375" s="779"/>
      <c r="AS375" s="779"/>
      <c r="AT375" s="779"/>
      <c r="AU375" s="779"/>
      <c r="AV375" s="779"/>
      <c r="AW375" s="779"/>
      <c r="AX375" s="779"/>
      <c r="AY375" s="779"/>
      <c r="AZ375" s="779"/>
      <c r="BA375" s="779"/>
      <c r="BB375" s="779"/>
      <c r="BC375" s="779"/>
      <c r="BD375" s="779"/>
      <c r="BE375" s="779"/>
      <c r="BF375" s="779"/>
      <c r="BG375" s="779"/>
      <c r="BH375" s="779"/>
      <c r="BI375" s="779"/>
      <c r="BJ375" s="779"/>
      <c r="BK375" s="779"/>
      <c r="BL375" s="779"/>
      <c r="BM375" s="779"/>
      <c r="BN375" s="779"/>
      <c r="BO375" s="779"/>
      <c r="BP375" s="779"/>
      <c r="BQ375" s="779"/>
      <c r="BR375" s="779"/>
      <c r="BS375" s="779"/>
      <c r="BT375" s="779"/>
      <c r="BU375" s="779"/>
      <c r="BV375" s="779"/>
      <c r="BW375" s="779"/>
      <c r="BX375" s="779"/>
      <c r="BY375" s="779"/>
      <c r="BZ375" s="779"/>
      <c r="CA375" s="779"/>
      <c r="CB375" s="779"/>
      <c r="CC375" s="779"/>
    </row>
    <row r="376" spans="1:81">
      <c r="A376" s="779"/>
      <c r="B376" s="779"/>
      <c r="C376" s="779"/>
      <c r="D376" s="779"/>
      <c r="E376" s="779"/>
      <c r="F376" s="779"/>
      <c r="G376" s="779"/>
      <c r="H376" s="779"/>
      <c r="I376" s="779"/>
      <c r="J376" s="779"/>
      <c r="K376" s="779"/>
      <c r="L376" s="779"/>
      <c r="M376" s="779"/>
      <c r="N376" s="779"/>
      <c r="O376" s="779"/>
      <c r="P376" s="779"/>
      <c r="Q376" s="779"/>
      <c r="R376" s="779"/>
      <c r="S376" s="779"/>
      <c r="T376" s="779"/>
      <c r="U376" s="779"/>
      <c r="V376" s="779"/>
      <c r="W376" s="779"/>
      <c r="X376" s="779"/>
      <c r="Y376" s="779"/>
      <c r="Z376" s="779"/>
      <c r="AA376" s="779"/>
      <c r="AB376" s="779"/>
      <c r="AC376" s="779"/>
      <c r="AD376" s="779"/>
      <c r="AE376" s="779"/>
      <c r="AF376" s="779"/>
      <c r="AG376" s="779"/>
      <c r="AH376" s="779"/>
      <c r="AI376" s="779"/>
      <c r="AJ376" s="779"/>
      <c r="AK376" s="779"/>
      <c r="AL376" s="779"/>
      <c r="AM376" s="779"/>
      <c r="AN376" s="779"/>
      <c r="AO376" s="779"/>
      <c r="AP376" s="779"/>
      <c r="AQ376" s="779"/>
      <c r="AR376" s="779"/>
      <c r="AS376" s="779"/>
      <c r="AT376" s="779"/>
      <c r="AU376" s="779"/>
      <c r="AV376" s="779"/>
      <c r="AW376" s="779"/>
      <c r="AX376" s="779"/>
      <c r="AY376" s="779"/>
      <c r="AZ376" s="779"/>
      <c r="BA376" s="779"/>
      <c r="BB376" s="779"/>
      <c r="BC376" s="779"/>
      <c r="BD376" s="779"/>
      <c r="BE376" s="779"/>
      <c r="BF376" s="779"/>
      <c r="BG376" s="779"/>
      <c r="BH376" s="779"/>
      <c r="BI376" s="779"/>
      <c r="BJ376" s="779"/>
      <c r="BK376" s="779"/>
      <c r="BL376" s="779"/>
      <c r="BM376" s="779"/>
      <c r="BN376" s="779"/>
      <c r="BO376" s="779"/>
      <c r="BP376" s="779"/>
      <c r="BQ376" s="779"/>
      <c r="BR376" s="779"/>
      <c r="BS376" s="779"/>
      <c r="BT376" s="779"/>
      <c r="BU376" s="779"/>
      <c r="BV376" s="779"/>
      <c r="BW376" s="779"/>
      <c r="BX376" s="779"/>
      <c r="BY376" s="779"/>
      <c r="BZ376" s="779"/>
      <c r="CA376" s="779"/>
      <c r="CB376" s="779"/>
      <c r="CC376" s="779"/>
    </row>
    <row r="377" spans="1:81">
      <c r="A377" s="779"/>
      <c r="B377" s="779"/>
      <c r="C377" s="779"/>
      <c r="D377" s="779"/>
      <c r="E377" s="779"/>
      <c r="F377" s="779"/>
      <c r="G377" s="779"/>
      <c r="H377" s="779"/>
      <c r="I377" s="779"/>
      <c r="J377" s="779"/>
      <c r="K377" s="779"/>
      <c r="L377" s="779"/>
      <c r="M377" s="779"/>
      <c r="N377" s="779"/>
      <c r="O377" s="779"/>
      <c r="P377" s="779"/>
      <c r="Q377" s="779"/>
      <c r="R377" s="779"/>
      <c r="S377" s="779"/>
      <c r="T377" s="779"/>
      <c r="U377" s="779"/>
      <c r="V377" s="779"/>
      <c r="W377" s="779"/>
      <c r="X377" s="779"/>
      <c r="Y377" s="779"/>
      <c r="Z377" s="779"/>
      <c r="AA377" s="779"/>
      <c r="AB377" s="779"/>
      <c r="AC377" s="779"/>
      <c r="AD377" s="779"/>
      <c r="AE377" s="779"/>
      <c r="AF377" s="779"/>
      <c r="AG377" s="779"/>
      <c r="AH377" s="779"/>
      <c r="AI377" s="779"/>
      <c r="AJ377" s="779"/>
      <c r="AK377" s="779"/>
      <c r="AL377" s="779"/>
      <c r="AM377" s="779"/>
      <c r="AN377" s="779"/>
      <c r="AO377" s="779"/>
      <c r="AP377" s="779"/>
      <c r="AQ377" s="779"/>
      <c r="AR377" s="779"/>
      <c r="AS377" s="779"/>
      <c r="AT377" s="779"/>
      <c r="AU377" s="779"/>
      <c r="AV377" s="779"/>
      <c r="AW377" s="779"/>
      <c r="AX377" s="779"/>
      <c r="AY377" s="779"/>
      <c r="AZ377" s="779"/>
      <c r="BA377" s="779"/>
      <c r="BB377" s="779"/>
      <c r="BC377" s="779"/>
      <c r="BD377" s="779"/>
      <c r="BE377" s="779"/>
      <c r="BF377" s="779"/>
      <c r="BG377" s="779"/>
      <c r="BH377" s="779"/>
      <c r="BI377" s="779"/>
      <c r="BJ377" s="779"/>
      <c r="BK377" s="779"/>
      <c r="BL377" s="779"/>
      <c r="BM377" s="779"/>
      <c r="BN377" s="779"/>
      <c r="BO377" s="779"/>
      <c r="BP377" s="779"/>
      <c r="BQ377" s="779"/>
      <c r="BR377" s="779"/>
      <c r="BS377" s="779"/>
      <c r="BT377" s="779"/>
      <c r="BU377" s="779"/>
      <c r="BV377" s="779"/>
      <c r="BW377" s="779"/>
      <c r="BX377" s="779"/>
      <c r="BY377" s="779"/>
      <c r="BZ377" s="779"/>
      <c r="CA377" s="779"/>
      <c r="CB377" s="779"/>
      <c r="CC377" s="779"/>
    </row>
    <row r="378" spans="1:81">
      <c r="A378" s="779"/>
      <c r="B378" s="779"/>
      <c r="C378" s="779"/>
      <c r="D378" s="779"/>
      <c r="E378" s="779"/>
      <c r="F378" s="779"/>
      <c r="G378" s="779"/>
      <c r="H378" s="779"/>
      <c r="I378" s="779"/>
      <c r="J378" s="779"/>
      <c r="K378" s="779"/>
      <c r="L378" s="779"/>
      <c r="M378" s="779"/>
      <c r="N378" s="779"/>
      <c r="O378" s="779"/>
      <c r="P378" s="779"/>
      <c r="Q378" s="779"/>
      <c r="R378" s="779"/>
      <c r="S378" s="779"/>
      <c r="T378" s="779"/>
      <c r="U378" s="779"/>
      <c r="V378" s="779"/>
      <c r="W378" s="779"/>
      <c r="X378" s="779"/>
      <c r="Y378" s="779"/>
      <c r="Z378" s="779"/>
      <c r="AA378" s="779"/>
      <c r="AB378" s="779"/>
      <c r="AC378" s="779"/>
      <c r="AD378" s="779"/>
      <c r="AE378" s="779"/>
      <c r="AF378" s="779"/>
      <c r="AG378" s="779"/>
      <c r="AH378" s="779"/>
      <c r="AI378" s="779"/>
      <c r="AJ378" s="779"/>
      <c r="AK378" s="779"/>
      <c r="AL378" s="779"/>
      <c r="AM378" s="779"/>
      <c r="AN378" s="779"/>
      <c r="AO378" s="779"/>
      <c r="AP378" s="779"/>
      <c r="AQ378" s="779"/>
      <c r="AR378" s="779"/>
      <c r="AS378" s="779"/>
      <c r="AT378" s="779"/>
      <c r="AU378" s="779"/>
      <c r="AV378" s="779"/>
      <c r="AW378" s="779"/>
      <c r="AX378" s="779"/>
      <c r="AY378" s="779"/>
      <c r="AZ378" s="779"/>
      <c r="BA378" s="779"/>
      <c r="BB378" s="779"/>
      <c r="BC378" s="779"/>
      <c r="BD378" s="779"/>
      <c r="BE378" s="779"/>
      <c r="BF378" s="779"/>
      <c r="BG378" s="779"/>
      <c r="BH378" s="779"/>
      <c r="BI378" s="779"/>
      <c r="BJ378" s="779"/>
      <c r="BK378" s="779"/>
      <c r="BL378" s="779"/>
      <c r="BM378" s="779"/>
      <c r="BN378" s="779"/>
      <c r="BO378" s="779"/>
      <c r="BP378" s="779"/>
      <c r="BQ378" s="779"/>
      <c r="BR378" s="779"/>
      <c r="BS378" s="779"/>
      <c r="BT378" s="779"/>
      <c r="BU378" s="779"/>
      <c r="BV378" s="779"/>
      <c r="BW378" s="779"/>
      <c r="BX378" s="779"/>
      <c r="BY378" s="779"/>
      <c r="BZ378" s="779"/>
      <c r="CA378" s="779"/>
      <c r="CB378" s="779"/>
      <c r="CC378" s="779"/>
    </row>
    <row r="379" spans="1:81">
      <c r="A379" s="779"/>
      <c r="B379" s="779"/>
      <c r="C379" s="779"/>
      <c r="D379" s="779"/>
      <c r="E379" s="779"/>
      <c r="F379" s="779"/>
      <c r="G379" s="779"/>
      <c r="H379" s="779"/>
      <c r="I379" s="779"/>
      <c r="J379" s="779"/>
      <c r="K379" s="779"/>
      <c r="L379" s="779"/>
      <c r="M379" s="779"/>
      <c r="N379" s="779"/>
      <c r="O379" s="779"/>
      <c r="P379" s="779"/>
      <c r="Q379" s="779"/>
      <c r="R379" s="779"/>
      <c r="S379" s="779"/>
      <c r="T379" s="779"/>
      <c r="U379" s="779"/>
      <c r="V379" s="779"/>
      <c r="W379" s="779"/>
      <c r="X379" s="779"/>
      <c r="Y379" s="779"/>
      <c r="Z379" s="779"/>
      <c r="AA379" s="779"/>
      <c r="AB379" s="779"/>
      <c r="AC379" s="779"/>
      <c r="AD379" s="779"/>
      <c r="AE379" s="779"/>
      <c r="AF379" s="779"/>
      <c r="AG379" s="779"/>
      <c r="AH379" s="779"/>
      <c r="AI379" s="779"/>
      <c r="AJ379" s="779"/>
      <c r="AK379" s="779"/>
      <c r="AL379" s="779"/>
      <c r="AM379" s="779"/>
      <c r="AN379" s="779"/>
      <c r="AO379" s="779"/>
      <c r="AP379" s="779"/>
      <c r="AQ379" s="779"/>
      <c r="AR379" s="779"/>
      <c r="AS379" s="779"/>
      <c r="AT379" s="779"/>
      <c r="AU379" s="779"/>
      <c r="AV379" s="779"/>
      <c r="AW379" s="779"/>
      <c r="AX379" s="779"/>
      <c r="AY379" s="779"/>
      <c r="AZ379" s="779"/>
      <c r="BA379" s="779"/>
      <c r="BB379" s="779"/>
      <c r="BC379" s="779"/>
      <c r="BD379" s="779"/>
      <c r="BE379" s="779"/>
      <c r="BF379" s="779"/>
      <c r="BG379" s="779"/>
      <c r="BH379" s="779"/>
      <c r="BI379" s="779"/>
      <c r="BJ379" s="779"/>
      <c r="BK379" s="779"/>
      <c r="BL379" s="779"/>
      <c r="BM379" s="779"/>
      <c r="BN379" s="779"/>
      <c r="BO379" s="779"/>
      <c r="BP379" s="779"/>
      <c r="BQ379" s="779"/>
      <c r="BR379" s="779"/>
      <c r="BS379" s="779"/>
      <c r="BT379" s="779"/>
      <c r="BU379" s="779"/>
      <c r="BV379" s="779"/>
      <c r="BW379" s="779"/>
      <c r="BX379" s="779"/>
      <c r="BY379" s="779"/>
      <c r="BZ379" s="779"/>
      <c r="CA379" s="779"/>
      <c r="CB379" s="779"/>
      <c r="CC379" s="779"/>
    </row>
    <row r="380" spans="1:81">
      <c r="A380" s="779"/>
      <c r="B380" s="779"/>
      <c r="C380" s="779"/>
      <c r="D380" s="779"/>
      <c r="E380" s="779"/>
      <c r="F380" s="779"/>
      <c r="G380" s="779"/>
      <c r="H380" s="779"/>
      <c r="I380" s="779"/>
      <c r="J380" s="779"/>
      <c r="K380" s="779"/>
      <c r="L380" s="779"/>
      <c r="M380" s="779"/>
      <c r="N380" s="779"/>
      <c r="O380" s="779"/>
      <c r="P380" s="779"/>
      <c r="Q380" s="779"/>
      <c r="R380" s="779"/>
      <c r="S380" s="779"/>
      <c r="T380" s="779"/>
      <c r="U380" s="779"/>
      <c r="V380" s="779"/>
      <c r="W380" s="779"/>
      <c r="X380" s="779"/>
      <c r="Y380" s="779"/>
      <c r="Z380" s="779"/>
      <c r="AA380" s="779"/>
      <c r="AB380" s="779"/>
      <c r="AC380" s="779"/>
      <c r="AD380" s="779"/>
      <c r="AE380" s="779"/>
      <c r="AF380" s="779"/>
      <c r="AG380" s="779"/>
      <c r="AH380" s="779"/>
      <c r="AI380" s="779"/>
      <c r="AJ380" s="779"/>
      <c r="AK380" s="779"/>
      <c r="AL380" s="779"/>
      <c r="AM380" s="779"/>
      <c r="AN380" s="779"/>
      <c r="AO380" s="779"/>
      <c r="AP380" s="779"/>
      <c r="AQ380" s="779"/>
      <c r="AR380" s="779"/>
      <c r="AS380" s="779"/>
      <c r="AT380" s="779"/>
      <c r="AU380" s="779"/>
      <c r="AV380" s="779"/>
      <c r="AW380" s="779"/>
      <c r="AX380" s="779"/>
      <c r="AY380" s="779"/>
      <c r="AZ380" s="779"/>
      <c r="BA380" s="779"/>
      <c r="BB380" s="779"/>
      <c r="BC380" s="779"/>
      <c r="BD380" s="779"/>
      <c r="BE380" s="779"/>
      <c r="BF380" s="779"/>
      <c r="BG380" s="779"/>
      <c r="BH380" s="779"/>
      <c r="BI380" s="779"/>
      <c r="BJ380" s="779"/>
      <c r="BK380" s="779"/>
      <c r="BL380" s="779"/>
      <c r="BM380" s="779"/>
      <c r="BN380" s="779"/>
      <c r="BO380" s="779"/>
      <c r="BP380" s="779"/>
      <c r="BQ380" s="779"/>
      <c r="BR380" s="779"/>
      <c r="BS380" s="779"/>
      <c r="BT380" s="779"/>
      <c r="BU380" s="779"/>
      <c r="BV380" s="779"/>
      <c r="BW380" s="779"/>
      <c r="BX380" s="779"/>
      <c r="BY380" s="779"/>
      <c r="BZ380" s="779"/>
      <c r="CA380" s="779"/>
      <c r="CB380" s="779"/>
      <c r="CC380" s="779"/>
    </row>
    <row r="381" spans="1:81">
      <c r="A381" s="779"/>
      <c r="B381" s="779"/>
      <c r="C381" s="779"/>
      <c r="D381" s="779"/>
      <c r="E381" s="779"/>
      <c r="F381" s="779"/>
      <c r="G381" s="779"/>
      <c r="H381" s="779"/>
      <c r="I381" s="779"/>
      <c r="J381" s="779"/>
      <c r="K381" s="779"/>
      <c r="L381" s="779"/>
      <c r="M381" s="779"/>
      <c r="N381" s="779"/>
      <c r="O381" s="779"/>
      <c r="P381" s="779"/>
      <c r="Q381" s="779"/>
      <c r="R381" s="779"/>
      <c r="S381" s="779"/>
      <c r="T381" s="779"/>
      <c r="U381" s="779"/>
      <c r="V381" s="779"/>
      <c r="W381" s="779"/>
      <c r="X381" s="779"/>
      <c r="Y381" s="779"/>
      <c r="Z381" s="779"/>
      <c r="AA381" s="779"/>
      <c r="AB381" s="779"/>
      <c r="AC381" s="779"/>
      <c r="AD381" s="779"/>
      <c r="AE381" s="779"/>
      <c r="AF381" s="779"/>
      <c r="AG381" s="779"/>
      <c r="AH381" s="779"/>
      <c r="AI381" s="779"/>
      <c r="AJ381" s="779"/>
      <c r="AK381" s="779"/>
      <c r="AL381" s="779"/>
      <c r="AM381" s="779"/>
      <c r="AN381" s="779"/>
      <c r="AO381" s="779"/>
      <c r="AP381" s="779"/>
      <c r="AQ381" s="779"/>
      <c r="AR381" s="779"/>
      <c r="AS381" s="779"/>
      <c r="AT381" s="779"/>
      <c r="AU381" s="779"/>
      <c r="AV381" s="779"/>
      <c r="AW381" s="779"/>
      <c r="AX381" s="779"/>
      <c r="AY381" s="779"/>
      <c r="AZ381" s="779"/>
      <c r="BA381" s="779"/>
      <c r="BB381" s="779"/>
      <c r="BC381" s="779"/>
      <c r="BD381" s="779"/>
      <c r="BE381" s="779"/>
      <c r="BF381" s="779"/>
      <c r="BG381" s="779"/>
      <c r="BH381" s="779"/>
      <c r="BI381" s="779"/>
      <c r="BJ381" s="779"/>
      <c r="BK381" s="779"/>
      <c r="BL381" s="779"/>
      <c r="BM381" s="779"/>
      <c r="BN381" s="779"/>
      <c r="BO381" s="779"/>
      <c r="BP381" s="779"/>
      <c r="BQ381" s="779"/>
      <c r="BR381" s="779"/>
      <c r="BS381" s="779"/>
      <c r="BT381" s="779"/>
      <c r="BU381" s="779"/>
      <c r="BV381" s="779"/>
      <c r="BW381" s="779"/>
      <c r="BX381" s="779"/>
      <c r="BY381" s="779"/>
      <c r="BZ381" s="779"/>
      <c r="CA381" s="779"/>
      <c r="CB381" s="779"/>
      <c r="CC381" s="779"/>
    </row>
    <row r="382" spans="1:81">
      <c r="A382" s="779"/>
      <c r="B382" s="779"/>
      <c r="C382" s="779"/>
      <c r="D382" s="779"/>
      <c r="E382" s="779"/>
      <c r="F382" s="779"/>
      <c r="G382" s="779"/>
      <c r="H382" s="779"/>
      <c r="I382" s="779"/>
      <c r="J382" s="779"/>
      <c r="K382" s="779"/>
      <c r="L382" s="779"/>
      <c r="M382" s="779"/>
      <c r="N382" s="779"/>
      <c r="O382" s="779"/>
      <c r="P382" s="779"/>
      <c r="Q382" s="779"/>
      <c r="R382" s="779"/>
      <c r="S382" s="779"/>
      <c r="T382" s="779"/>
      <c r="U382" s="779"/>
      <c r="V382" s="779"/>
      <c r="W382" s="779"/>
      <c r="X382" s="779"/>
      <c r="Y382" s="779"/>
      <c r="Z382" s="779"/>
      <c r="AA382" s="779"/>
      <c r="AB382" s="779"/>
      <c r="AC382" s="779"/>
      <c r="AD382" s="779"/>
      <c r="AE382" s="779"/>
      <c r="AF382" s="779"/>
      <c r="AG382" s="779"/>
      <c r="AH382" s="779"/>
      <c r="AI382" s="779"/>
      <c r="AJ382" s="779"/>
      <c r="AK382" s="779"/>
      <c r="AL382" s="779"/>
      <c r="AM382" s="779"/>
      <c r="AN382" s="779"/>
      <c r="AO382" s="779"/>
      <c r="AP382" s="779"/>
      <c r="AQ382" s="779"/>
      <c r="AR382" s="779"/>
      <c r="AS382" s="779"/>
      <c r="AT382" s="779"/>
      <c r="AU382" s="779"/>
      <c r="AV382" s="779"/>
      <c r="AW382" s="779"/>
      <c r="AX382" s="779"/>
      <c r="AY382" s="779"/>
      <c r="AZ382" s="779"/>
      <c r="BA382" s="779"/>
      <c r="BB382" s="779"/>
      <c r="BC382" s="779"/>
      <c r="BD382" s="779"/>
      <c r="BE382" s="779"/>
      <c r="BF382" s="779"/>
      <c r="BG382" s="779"/>
      <c r="BH382" s="779"/>
      <c r="BI382" s="779"/>
      <c r="BJ382" s="779"/>
      <c r="BK382" s="779"/>
      <c r="BL382" s="779"/>
      <c r="BM382" s="779"/>
      <c r="BN382" s="779"/>
      <c r="BO382" s="779"/>
      <c r="BP382" s="779"/>
      <c r="BQ382" s="779"/>
      <c r="BR382" s="779"/>
      <c r="BS382" s="779"/>
      <c r="BT382" s="779"/>
      <c r="BU382" s="779"/>
      <c r="BV382" s="779"/>
      <c r="BW382" s="779"/>
      <c r="BX382" s="779"/>
      <c r="BY382" s="779"/>
      <c r="BZ382" s="779"/>
      <c r="CA382" s="779"/>
      <c r="CB382" s="779"/>
      <c r="CC382" s="779"/>
    </row>
    <row r="383" spans="1:81">
      <c r="A383" s="779"/>
      <c r="B383" s="779"/>
      <c r="C383" s="779"/>
      <c r="D383" s="779"/>
      <c r="E383" s="779"/>
      <c r="F383" s="779"/>
      <c r="G383" s="779"/>
      <c r="H383" s="779"/>
      <c r="I383" s="779"/>
      <c r="J383" s="779"/>
      <c r="K383" s="779"/>
      <c r="L383" s="779"/>
      <c r="M383" s="779"/>
      <c r="N383" s="779"/>
      <c r="O383" s="779"/>
      <c r="P383" s="779"/>
      <c r="Q383" s="779"/>
      <c r="R383" s="779"/>
      <c r="S383" s="779"/>
      <c r="T383" s="779"/>
      <c r="U383" s="779"/>
      <c r="V383" s="779"/>
      <c r="W383" s="779"/>
      <c r="X383" s="779"/>
      <c r="Y383" s="779"/>
      <c r="Z383" s="779"/>
      <c r="AA383" s="779"/>
      <c r="AB383" s="779"/>
      <c r="AC383" s="779"/>
      <c r="AD383" s="779"/>
      <c r="AE383" s="779"/>
      <c r="AF383" s="779"/>
      <c r="AG383" s="779"/>
      <c r="AH383" s="779"/>
      <c r="AI383" s="779"/>
      <c r="AJ383" s="779"/>
      <c r="AK383" s="779"/>
      <c r="AL383" s="779"/>
      <c r="AM383" s="779"/>
      <c r="AN383" s="779"/>
      <c r="AO383" s="779"/>
      <c r="AP383" s="779"/>
      <c r="AQ383" s="779"/>
      <c r="AR383" s="779"/>
      <c r="AS383" s="779"/>
      <c r="AT383" s="779"/>
      <c r="AU383" s="779"/>
      <c r="AV383" s="779"/>
      <c r="AW383" s="779"/>
      <c r="AX383" s="779"/>
      <c r="AY383" s="779"/>
      <c r="AZ383" s="779"/>
      <c r="BA383" s="779"/>
      <c r="BB383" s="779"/>
      <c r="BC383" s="779"/>
      <c r="BD383" s="779"/>
      <c r="BE383" s="779"/>
      <c r="BF383" s="779"/>
      <c r="BG383" s="779"/>
      <c r="BH383" s="779"/>
      <c r="BI383" s="779"/>
      <c r="BJ383" s="779"/>
      <c r="BK383" s="779"/>
      <c r="BL383" s="779"/>
      <c r="BM383" s="779"/>
      <c r="BN383" s="779"/>
      <c r="BO383" s="779"/>
      <c r="BP383" s="779"/>
      <c r="BQ383" s="779"/>
      <c r="BR383" s="779"/>
      <c r="BS383" s="779"/>
      <c r="BT383" s="779"/>
      <c r="BU383" s="779"/>
      <c r="BV383" s="779"/>
      <c r="BW383" s="779"/>
      <c r="BX383" s="779"/>
      <c r="BY383" s="779"/>
      <c r="BZ383" s="779"/>
      <c r="CA383" s="779"/>
      <c r="CB383" s="779"/>
      <c r="CC383" s="779"/>
    </row>
    <row r="384" spans="1:81">
      <c r="A384" s="779"/>
      <c r="B384" s="779"/>
      <c r="C384" s="779"/>
      <c r="D384" s="779"/>
      <c r="E384" s="779"/>
      <c r="F384" s="779"/>
      <c r="G384" s="779"/>
      <c r="H384" s="779"/>
      <c r="I384" s="779"/>
      <c r="J384" s="779"/>
      <c r="K384" s="779"/>
      <c r="L384" s="779"/>
      <c r="M384" s="779"/>
      <c r="N384" s="779"/>
      <c r="O384" s="779"/>
      <c r="P384" s="779"/>
      <c r="Q384" s="779"/>
      <c r="R384" s="779"/>
      <c r="S384" s="779"/>
      <c r="T384" s="779"/>
      <c r="U384" s="779"/>
      <c r="V384" s="779"/>
      <c r="W384" s="779"/>
      <c r="X384" s="779"/>
      <c r="Y384" s="779"/>
      <c r="Z384" s="779"/>
      <c r="AA384" s="779"/>
      <c r="AB384" s="779"/>
      <c r="AC384" s="779"/>
      <c r="AD384" s="779"/>
      <c r="AE384" s="779"/>
      <c r="AF384" s="779"/>
      <c r="AG384" s="779"/>
      <c r="AH384" s="779"/>
      <c r="AI384" s="779"/>
      <c r="AJ384" s="779"/>
      <c r="AK384" s="779"/>
      <c r="AL384" s="779"/>
      <c r="AM384" s="779"/>
      <c r="AN384" s="779"/>
      <c r="AO384" s="779"/>
      <c r="AP384" s="779"/>
      <c r="AQ384" s="779"/>
      <c r="AR384" s="779"/>
      <c r="AS384" s="779"/>
      <c r="AT384" s="779"/>
      <c r="AU384" s="779"/>
      <c r="AV384" s="779"/>
      <c r="AW384" s="779"/>
      <c r="AX384" s="779"/>
      <c r="AY384" s="779"/>
      <c r="AZ384" s="779"/>
      <c r="BA384" s="779"/>
      <c r="BB384" s="779"/>
      <c r="BC384" s="779"/>
      <c r="BD384" s="779"/>
      <c r="BE384" s="779"/>
      <c r="BF384" s="779"/>
      <c r="BG384" s="779"/>
      <c r="BH384" s="779"/>
      <c r="BI384" s="779"/>
      <c r="BJ384" s="779"/>
      <c r="BK384" s="779"/>
      <c r="BL384" s="779"/>
      <c r="BM384" s="779"/>
      <c r="BN384" s="779"/>
      <c r="BO384" s="779"/>
      <c r="BP384" s="779"/>
      <c r="BQ384" s="779"/>
      <c r="BR384" s="779"/>
      <c r="BS384" s="779"/>
      <c r="BT384" s="779"/>
      <c r="BU384" s="779"/>
      <c r="BV384" s="779"/>
      <c r="BW384" s="779"/>
      <c r="BX384" s="779"/>
      <c r="BY384" s="779"/>
      <c r="BZ384" s="779"/>
      <c r="CA384" s="779"/>
      <c r="CB384" s="779"/>
      <c r="CC384" s="779"/>
    </row>
    <row r="385" spans="1:81">
      <c r="A385" s="779"/>
      <c r="B385" s="779"/>
      <c r="C385" s="779"/>
      <c r="D385" s="779"/>
      <c r="E385" s="779"/>
      <c r="F385" s="779"/>
      <c r="G385" s="779"/>
      <c r="H385" s="779"/>
      <c r="I385" s="779"/>
      <c r="J385" s="779"/>
      <c r="K385" s="779"/>
      <c r="L385" s="779"/>
      <c r="M385" s="779"/>
      <c r="N385" s="779"/>
      <c r="O385" s="779"/>
      <c r="P385" s="779"/>
      <c r="Q385" s="779"/>
      <c r="R385" s="779"/>
      <c r="S385" s="779"/>
      <c r="T385" s="779"/>
      <c r="U385" s="779"/>
      <c r="V385" s="779"/>
      <c r="W385" s="779"/>
      <c r="X385" s="779"/>
      <c r="Y385" s="779"/>
      <c r="Z385" s="779"/>
      <c r="AA385" s="779"/>
      <c r="AB385" s="779"/>
      <c r="AC385" s="779"/>
      <c r="AD385" s="779"/>
      <c r="AE385" s="779"/>
      <c r="AF385" s="779"/>
      <c r="AG385" s="779"/>
      <c r="AH385" s="779"/>
      <c r="AI385" s="779"/>
      <c r="AJ385" s="779"/>
      <c r="AK385" s="779"/>
      <c r="AL385" s="779"/>
      <c r="AM385" s="779"/>
      <c r="AN385" s="779"/>
      <c r="AO385" s="779"/>
      <c r="AP385" s="779"/>
      <c r="AQ385" s="779"/>
      <c r="AR385" s="779"/>
      <c r="AS385" s="779"/>
      <c r="AT385" s="779"/>
      <c r="AU385" s="779"/>
      <c r="AV385" s="779"/>
      <c r="AW385" s="779"/>
      <c r="AX385" s="779"/>
      <c r="AY385" s="779"/>
      <c r="AZ385" s="779"/>
      <c r="BA385" s="779"/>
      <c r="BB385" s="779"/>
      <c r="BC385" s="779"/>
      <c r="BD385" s="779"/>
      <c r="BE385" s="779"/>
      <c r="BF385" s="779"/>
      <c r="BG385" s="779"/>
      <c r="BH385" s="779"/>
      <c r="BI385" s="779"/>
      <c r="BJ385" s="779"/>
      <c r="BK385" s="779"/>
      <c r="BL385" s="779"/>
      <c r="BM385" s="779"/>
      <c r="BN385" s="779"/>
      <c r="BO385" s="779"/>
      <c r="BP385" s="779"/>
      <c r="BQ385" s="779"/>
      <c r="BR385" s="779"/>
      <c r="BS385" s="779"/>
      <c r="BT385" s="779"/>
      <c r="BU385" s="779"/>
      <c r="BV385" s="779"/>
      <c r="BW385" s="779"/>
      <c r="BX385" s="779"/>
      <c r="BY385" s="779"/>
      <c r="BZ385" s="779"/>
      <c r="CA385" s="779"/>
      <c r="CB385" s="779"/>
      <c r="CC385" s="779"/>
    </row>
    <row r="386" spans="1:81">
      <c r="A386" s="779"/>
      <c r="B386" s="779"/>
      <c r="C386" s="779"/>
      <c r="D386" s="779"/>
      <c r="E386" s="779"/>
      <c r="F386" s="779"/>
      <c r="G386" s="779"/>
      <c r="H386" s="779"/>
      <c r="I386" s="779"/>
      <c r="J386" s="779"/>
      <c r="K386" s="779"/>
      <c r="L386" s="779"/>
      <c r="M386" s="779"/>
      <c r="N386" s="779"/>
      <c r="O386" s="779"/>
      <c r="P386" s="779"/>
      <c r="Q386" s="779"/>
      <c r="R386" s="779"/>
      <c r="S386" s="779"/>
      <c r="T386" s="779"/>
      <c r="U386" s="779"/>
      <c r="V386" s="779"/>
      <c r="W386" s="779"/>
      <c r="X386" s="779"/>
      <c r="Y386" s="779"/>
      <c r="Z386" s="779"/>
      <c r="AA386" s="779"/>
      <c r="AB386" s="779"/>
      <c r="AC386" s="779"/>
      <c r="AD386" s="779"/>
      <c r="AE386" s="779"/>
      <c r="AF386" s="779"/>
      <c r="AG386" s="779"/>
      <c r="AH386" s="779"/>
      <c r="AI386" s="779"/>
      <c r="AJ386" s="779"/>
      <c r="AK386" s="779"/>
      <c r="AL386" s="779"/>
      <c r="AM386" s="779"/>
      <c r="AN386" s="779"/>
      <c r="AO386" s="779"/>
      <c r="AP386" s="779"/>
      <c r="AQ386" s="779"/>
      <c r="AR386" s="779"/>
      <c r="AS386" s="779"/>
      <c r="AT386" s="779"/>
      <c r="AU386" s="779"/>
      <c r="AV386" s="779"/>
      <c r="AW386" s="779"/>
      <c r="AX386" s="779"/>
      <c r="AY386" s="779"/>
      <c r="AZ386" s="779"/>
      <c r="BA386" s="779"/>
      <c r="BB386" s="779"/>
      <c r="BC386" s="779"/>
      <c r="BD386" s="779"/>
      <c r="BE386" s="779"/>
      <c r="BF386" s="779"/>
      <c r="BG386" s="779"/>
      <c r="BH386" s="779"/>
      <c r="BI386" s="779"/>
      <c r="BJ386" s="779"/>
      <c r="BK386" s="779"/>
      <c r="BL386" s="779"/>
      <c r="BM386" s="779"/>
      <c r="BN386" s="779"/>
      <c r="BO386" s="779"/>
      <c r="BP386" s="779"/>
      <c r="BQ386" s="779"/>
      <c r="BR386" s="779"/>
      <c r="BS386" s="779"/>
      <c r="BT386" s="779"/>
      <c r="BU386" s="779"/>
      <c r="BV386" s="779"/>
      <c r="BW386" s="779"/>
      <c r="BX386" s="779"/>
      <c r="BY386" s="779"/>
      <c r="BZ386" s="779"/>
      <c r="CA386" s="779"/>
      <c r="CB386" s="779"/>
      <c r="CC386" s="779"/>
    </row>
    <row r="387" spans="1:81">
      <c r="A387" s="779"/>
      <c r="B387" s="779"/>
      <c r="C387" s="779"/>
      <c r="D387" s="779"/>
      <c r="E387" s="779"/>
      <c r="F387" s="779"/>
      <c r="G387" s="779"/>
      <c r="H387" s="779"/>
      <c r="I387" s="779"/>
      <c r="J387" s="779"/>
      <c r="K387" s="779"/>
      <c r="L387" s="779"/>
      <c r="M387" s="779"/>
      <c r="N387" s="779"/>
      <c r="O387" s="779"/>
      <c r="P387" s="779"/>
      <c r="Q387" s="779"/>
      <c r="R387" s="779"/>
      <c r="S387" s="779"/>
      <c r="T387" s="779"/>
      <c r="U387" s="779"/>
      <c r="V387" s="779"/>
      <c r="W387" s="779"/>
      <c r="X387" s="779"/>
      <c r="Y387" s="779"/>
      <c r="Z387" s="779"/>
      <c r="AA387" s="779"/>
      <c r="AB387" s="779"/>
      <c r="AC387" s="779"/>
      <c r="AD387" s="779"/>
      <c r="AE387" s="779"/>
      <c r="AF387" s="779"/>
      <c r="AG387" s="779"/>
      <c r="AH387" s="779"/>
      <c r="AI387" s="779"/>
      <c r="AJ387" s="779"/>
      <c r="AK387" s="779"/>
      <c r="AL387" s="779"/>
      <c r="AM387" s="779"/>
      <c r="AN387" s="779"/>
      <c r="AO387" s="779"/>
      <c r="AP387" s="779"/>
      <c r="AQ387" s="779"/>
      <c r="AR387" s="779"/>
      <c r="AS387" s="779"/>
      <c r="AT387" s="779"/>
      <c r="AU387" s="779"/>
      <c r="AV387" s="779"/>
      <c r="AW387" s="779"/>
      <c r="AX387" s="779"/>
      <c r="AY387" s="779"/>
      <c r="AZ387" s="779"/>
      <c r="BA387" s="779"/>
      <c r="BB387" s="779"/>
      <c r="BC387" s="779"/>
      <c r="BD387" s="779"/>
      <c r="BE387" s="779"/>
      <c r="BF387" s="779"/>
      <c r="BG387" s="779"/>
      <c r="BH387" s="779"/>
      <c r="BI387" s="779"/>
      <c r="BJ387" s="779"/>
      <c r="BK387" s="779"/>
      <c r="BL387" s="779"/>
      <c r="BM387" s="779"/>
      <c r="BN387" s="779"/>
      <c r="BO387" s="779"/>
      <c r="BP387" s="779"/>
      <c r="BQ387" s="779"/>
      <c r="BR387" s="779"/>
      <c r="BS387" s="779"/>
      <c r="BT387" s="779"/>
      <c r="BU387" s="779"/>
      <c r="BV387" s="779"/>
      <c r="BW387" s="779"/>
      <c r="BX387" s="779"/>
      <c r="BY387" s="779"/>
      <c r="BZ387" s="779"/>
      <c r="CA387" s="779"/>
      <c r="CB387" s="779"/>
      <c r="CC387" s="779"/>
    </row>
    <row r="388" spans="1:81">
      <c r="A388" s="779"/>
      <c r="B388" s="779"/>
      <c r="C388" s="779"/>
      <c r="D388" s="779"/>
      <c r="E388" s="779"/>
      <c r="F388" s="779"/>
      <c r="G388" s="779"/>
      <c r="H388" s="779"/>
      <c r="I388" s="779"/>
      <c r="J388" s="779"/>
      <c r="K388" s="779"/>
      <c r="L388" s="779"/>
      <c r="M388" s="779"/>
      <c r="N388" s="779"/>
      <c r="O388" s="779"/>
      <c r="P388" s="779"/>
      <c r="Q388" s="779"/>
      <c r="R388" s="779"/>
      <c r="S388" s="779"/>
      <c r="T388" s="779"/>
      <c r="U388" s="779"/>
      <c r="V388" s="779"/>
      <c r="W388" s="779"/>
      <c r="X388" s="779"/>
      <c r="Y388" s="779"/>
      <c r="Z388" s="779"/>
      <c r="AA388" s="779"/>
      <c r="AB388" s="779"/>
      <c r="AC388" s="779"/>
      <c r="AD388" s="779"/>
      <c r="AE388" s="779"/>
      <c r="AF388" s="779"/>
      <c r="AG388" s="779"/>
      <c r="AH388" s="779"/>
      <c r="AI388" s="779"/>
      <c r="AJ388" s="779"/>
      <c r="AK388" s="779"/>
      <c r="AL388" s="779"/>
      <c r="AM388" s="779"/>
      <c r="AN388" s="779"/>
      <c r="AO388" s="779"/>
      <c r="AP388" s="779"/>
      <c r="AQ388" s="779"/>
      <c r="AR388" s="779"/>
      <c r="AS388" s="779"/>
      <c r="AT388" s="779"/>
      <c r="AU388" s="779"/>
      <c r="AV388" s="779"/>
      <c r="AW388" s="779"/>
      <c r="AX388" s="779"/>
      <c r="AY388" s="779"/>
      <c r="AZ388" s="779"/>
      <c r="BA388" s="779"/>
      <c r="BB388" s="779"/>
      <c r="BC388" s="779"/>
      <c r="BD388" s="779"/>
      <c r="BE388" s="779"/>
      <c r="BF388" s="779"/>
      <c r="BG388" s="779"/>
      <c r="BH388" s="779"/>
      <c r="BI388" s="779"/>
      <c r="BJ388" s="779"/>
      <c r="BK388" s="779"/>
      <c r="BL388" s="779"/>
      <c r="BM388" s="779"/>
      <c r="BN388" s="779"/>
      <c r="BO388" s="779"/>
      <c r="BP388" s="779"/>
      <c r="BQ388" s="779"/>
      <c r="BR388" s="779"/>
      <c r="BS388" s="779"/>
      <c r="BT388" s="779"/>
      <c r="BU388" s="779"/>
      <c r="BV388" s="779"/>
      <c r="BW388" s="779"/>
      <c r="BX388" s="779"/>
      <c r="BY388" s="779"/>
      <c r="BZ388" s="779"/>
      <c r="CA388" s="779"/>
      <c r="CB388" s="779"/>
      <c r="CC388" s="779"/>
    </row>
    <row r="389" spans="1:81">
      <c r="A389" s="779"/>
      <c r="B389" s="779"/>
      <c r="C389" s="779"/>
      <c r="D389" s="779"/>
      <c r="E389" s="779"/>
      <c r="F389" s="779"/>
      <c r="G389" s="779"/>
      <c r="H389" s="779"/>
      <c r="I389" s="779"/>
      <c r="J389" s="779"/>
      <c r="K389" s="779"/>
      <c r="L389" s="779"/>
      <c r="M389" s="779"/>
      <c r="N389" s="779"/>
      <c r="O389" s="779"/>
      <c r="P389" s="779"/>
      <c r="Q389" s="779"/>
      <c r="R389" s="779"/>
      <c r="S389" s="779"/>
      <c r="T389" s="779"/>
      <c r="U389" s="779"/>
      <c r="V389" s="779"/>
      <c r="W389" s="779"/>
      <c r="X389" s="779"/>
      <c r="Y389" s="779"/>
      <c r="Z389" s="779"/>
      <c r="AA389" s="779"/>
      <c r="AB389" s="779"/>
      <c r="AC389" s="779"/>
      <c r="AD389" s="779"/>
      <c r="AE389" s="779"/>
      <c r="AF389" s="779"/>
      <c r="AG389" s="779"/>
      <c r="AH389" s="779"/>
      <c r="AI389" s="779"/>
      <c r="AJ389" s="779"/>
      <c r="AK389" s="779"/>
      <c r="AL389" s="779"/>
      <c r="AM389" s="779"/>
      <c r="AN389" s="779"/>
      <c r="AO389" s="779"/>
      <c r="AP389" s="779"/>
      <c r="AQ389" s="779"/>
      <c r="AR389" s="779"/>
      <c r="AS389" s="779"/>
      <c r="AT389" s="779"/>
      <c r="AU389" s="779"/>
      <c r="AV389" s="779"/>
      <c r="AW389" s="779"/>
      <c r="AX389" s="779"/>
      <c r="AY389" s="779"/>
      <c r="AZ389" s="779"/>
      <c r="BA389" s="779"/>
      <c r="BB389" s="779"/>
      <c r="BC389" s="779"/>
      <c r="BD389" s="779"/>
      <c r="BE389" s="779"/>
      <c r="BF389" s="779"/>
      <c r="BG389" s="779"/>
      <c r="BH389" s="779"/>
      <c r="BI389" s="779"/>
      <c r="BJ389" s="779"/>
      <c r="BK389" s="779"/>
      <c r="BL389" s="779"/>
      <c r="BM389" s="779"/>
      <c r="BN389" s="779"/>
      <c r="BO389" s="779"/>
      <c r="BP389" s="779"/>
      <c r="BQ389" s="779"/>
      <c r="BR389" s="779"/>
      <c r="BS389" s="779"/>
      <c r="BT389" s="779"/>
      <c r="BU389" s="779"/>
      <c r="BV389" s="779"/>
      <c r="BW389" s="779"/>
      <c r="BX389" s="779"/>
      <c r="BY389" s="779"/>
      <c r="BZ389" s="779"/>
      <c r="CA389" s="779"/>
      <c r="CB389" s="779"/>
      <c r="CC389" s="779"/>
    </row>
    <row r="390" spans="1:81">
      <c r="A390" s="779"/>
      <c r="B390" s="779"/>
      <c r="C390" s="779"/>
      <c r="D390" s="779"/>
      <c r="E390" s="779"/>
      <c r="F390" s="779"/>
      <c r="G390" s="779"/>
      <c r="H390" s="779"/>
      <c r="I390" s="779"/>
      <c r="J390" s="779"/>
      <c r="K390" s="779"/>
      <c r="L390" s="779"/>
      <c r="M390" s="779"/>
      <c r="N390" s="779"/>
      <c r="O390" s="779"/>
      <c r="P390" s="779"/>
      <c r="Q390" s="779"/>
      <c r="R390" s="779"/>
      <c r="S390" s="779"/>
      <c r="T390" s="779"/>
      <c r="U390" s="779"/>
      <c r="V390" s="779"/>
      <c r="W390" s="779"/>
      <c r="X390" s="779"/>
      <c r="Y390" s="779"/>
      <c r="Z390" s="779"/>
      <c r="AA390" s="779"/>
      <c r="AB390" s="779"/>
      <c r="AC390" s="779"/>
      <c r="AD390" s="779"/>
      <c r="AE390" s="779"/>
      <c r="AF390" s="779"/>
      <c r="AG390" s="779"/>
      <c r="AH390" s="779"/>
      <c r="AI390" s="779"/>
      <c r="AJ390" s="779"/>
      <c r="AK390" s="779"/>
      <c r="AL390" s="779"/>
      <c r="AM390" s="779"/>
      <c r="AN390" s="779"/>
      <c r="AO390" s="779"/>
      <c r="AP390" s="779"/>
      <c r="AQ390" s="779"/>
      <c r="AR390" s="779"/>
      <c r="AS390" s="779"/>
      <c r="AT390" s="779"/>
      <c r="AU390" s="779"/>
      <c r="AV390" s="779"/>
      <c r="AW390" s="779"/>
      <c r="AX390" s="779"/>
      <c r="AY390" s="779"/>
      <c r="AZ390" s="779"/>
      <c r="BA390" s="779"/>
      <c r="BB390" s="779"/>
      <c r="BC390" s="779"/>
      <c r="BD390" s="779"/>
      <c r="BE390" s="779"/>
      <c r="BF390" s="779"/>
      <c r="BG390" s="779"/>
      <c r="BH390" s="779"/>
      <c r="BI390" s="779"/>
      <c r="BJ390" s="779"/>
      <c r="BK390" s="779"/>
      <c r="BL390" s="779"/>
      <c r="BM390" s="779"/>
      <c r="BN390" s="779"/>
      <c r="BO390" s="779"/>
      <c r="BP390" s="779"/>
      <c r="BQ390" s="779"/>
      <c r="BR390" s="779"/>
      <c r="BS390" s="779"/>
      <c r="BT390" s="779"/>
      <c r="BU390" s="779"/>
      <c r="BV390" s="779"/>
      <c r="BW390" s="779"/>
      <c r="BX390" s="779"/>
      <c r="BY390" s="779"/>
      <c r="BZ390" s="779"/>
      <c r="CA390" s="779"/>
      <c r="CB390" s="779"/>
      <c r="CC390" s="779"/>
    </row>
    <row r="391" spans="1:81">
      <c r="A391" s="779"/>
      <c r="B391" s="779"/>
      <c r="C391" s="779"/>
      <c r="D391" s="779"/>
      <c r="E391" s="779"/>
      <c r="F391" s="779"/>
      <c r="G391" s="779"/>
      <c r="H391" s="779"/>
      <c r="I391" s="779"/>
      <c r="J391" s="779"/>
      <c r="K391" s="779"/>
      <c r="L391" s="779"/>
      <c r="M391" s="779"/>
      <c r="N391" s="779"/>
      <c r="O391" s="779"/>
      <c r="P391" s="779"/>
      <c r="Q391" s="779"/>
      <c r="R391" s="779"/>
      <c r="S391" s="779"/>
      <c r="T391" s="779"/>
      <c r="U391" s="779"/>
      <c r="V391" s="779"/>
      <c r="W391" s="779"/>
      <c r="X391" s="779"/>
      <c r="Y391" s="779"/>
      <c r="Z391" s="779"/>
      <c r="AA391" s="779"/>
      <c r="AB391" s="779"/>
      <c r="AC391" s="779"/>
      <c r="AD391" s="779"/>
      <c r="AE391" s="779"/>
      <c r="AF391" s="779"/>
      <c r="AG391" s="779"/>
      <c r="AH391" s="779"/>
      <c r="AI391" s="779"/>
      <c r="AJ391" s="779"/>
      <c r="AK391" s="779"/>
      <c r="AL391" s="779"/>
      <c r="AM391" s="779"/>
      <c r="AN391" s="779"/>
      <c r="AO391" s="779"/>
      <c r="AP391" s="779"/>
      <c r="AQ391" s="779"/>
      <c r="AR391" s="779"/>
      <c r="AS391" s="779"/>
      <c r="AT391" s="779"/>
      <c r="AU391" s="779"/>
      <c r="AV391" s="779"/>
      <c r="AW391" s="779"/>
      <c r="AX391" s="779"/>
      <c r="AY391" s="779"/>
      <c r="AZ391" s="779"/>
      <c r="BA391" s="779"/>
      <c r="BB391" s="779"/>
      <c r="BC391" s="779"/>
      <c r="BD391" s="779"/>
      <c r="BE391" s="779"/>
      <c r="BF391" s="779"/>
      <c r="BG391" s="779"/>
      <c r="BH391" s="779"/>
      <c r="BI391" s="779"/>
      <c r="BJ391" s="779"/>
      <c r="BK391" s="779"/>
      <c r="BL391" s="779"/>
      <c r="BM391" s="779"/>
      <c r="BN391" s="779"/>
      <c r="BO391" s="779"/>
      <c r="BP391" s="779"/>
      <c r="BQ391" s="779"/>
      <c r="BR391" s="779"/>
      <c r="BS391" s="779"/>
      <c r="BT391" s="779"/>
      <c r="BU391" s="779"/>
      <c r="BV391" s="779"/>
      <c r="BW391" s="779"/>
      <c r="BX391" s="779"/>
      <c r="BY391" s="779"/>
      <c r="BZ391" s="779"/>
      <c r="CA391" s="779"/>
      <c r="CB391" s="779"/>
      <c r="CC391" s="779"/>
    </row>
    <row r="392" spans="1:81">
      <c r="A392" s="779"/>
      <c r="B392" s="779"/>
      <c r="C392" s="779"/>
      <c r="D392" s="779"/>
      <c r="E392" s="779"/>
      <c r="F392" s="779"/>
      <c r="G392" s="779"/>
      <c r="H392" s="779"/>
      <c r="I392" s="779"/>
      <c r="J392" s="779"/>
      <c r="K392" s="779"/>
      <c r="L392" s="779"/>
      <c r="M392" s="779"/>
      <c r="N392" s="779"/>
      <c r="O392" s="779"/>
      <c r="P392" s="779"/>
      <c r="Q392" s="779"/>
      <c r="R392" s="779"/>
      <c r="S392" s="779"/>
      <c r="T392" s="779"/>
      <c r="U392" s="779"/>
      <c r="V392" s="779"/>
      <c r="W392" s="779"/>
      <c r="X392" s="779"/>
      <c r="Y392" s="779"/>
      <c r="Z392" s="779"/>
      <c r="AA392" s="779"/>
      <c r="AB392" s="779"/>
      <c r="AC392" s="779"/>
      <c r="AD392" s="779"/>
      <c r="AE392" s="779"/>
      <c r="AF392" s="779"/>
      <c r="AG392" s="779"/>
      <c r="AH392" s="779"/>
      <c r="AI392" s="779"/>
      <c r="AJ392" s="779"/>
      <c r="AK392" s="779"/>
      <c r="AL392" s="779"/>
      <c r="AM392" s="779"/>
      <c r="AN392" s="779"/>
      <c r="AO392" s="779"/>
      <c r="AP392" s="779"/>
      <c r="AQ392" s="779"/>
      <c r="AR392" s="779"/>
      <c r="AS392" s="779"/>
      <c r="AT392" s="779"/>
      <c r="AU392" s="779"/>
      <c r="AV392" s="779"/>
      <c r="AW392" s="779"/>
      <c r="AX392" s="779"/>
      <c r="AY392" s="779"/>
      <c r="AZ392" s="779"/>
      <c r="BA392" s="779"/>
      <c r="BB392" s="779"/>
      <c r="BC392" s="779"/>
      <c r="BD392" s="779"/>
      <c r="BE392" s="779"/>
      <c r="BF392" s="779"/>
      <c r="BG392" s="779"/>
      <c r="BH392" s="779"/>
      <c r="BI392" s="779"/>
      <c r="BJ392" s="779"/>
      <c r="BK392" s="779"/>
      <c r="BL392" s="779"/>
      <c r="BM392" s="779"/>
      <c r="BN392" s="779"/>
      <c r="BO392" s="779"/>
      <c r="BP392" s="779"/>
      <c r="BQ392" s="779"/>
      <c r="BR392" s="779"/>
      <c r="BS392" s="779"/>
      <c r="BT392" s="779"/>
      <c r="BU392" s="779"/>
      <c r="BV392" s="779"/>
      <c r="BW392" s="779"/>
      <c r="BX392" s="779"/>
      <c r="BY392" s="779"/>
      <c r="BZ392" s="779"/>
      <c r="CA392" s="779"/>
      <c r="CB392" s="779"/>
      <c r="CC392" s="779"/>
    </row>
    <row r="393" spans="1:81">
      <c r="A393" s="779"/>
      <c r="B393" s="779"/>
      <c r="C393" s="779"/>
      <c r="D393" s="779"/>
      <c r="E393" s="779"/>
      <c r="F393" s="779"/>
      <c r="G393" s="779"/>
      <c r="H393" s="779"/>
      <c r="I393" s="779"/>
      <c r="J393" s="779"/>
      <c r="K393" s="779"/>
      <c r="L393" s="779"/>
      <c r="M393" s="779"/>
      <c r="N393" s="779"/>
      <c r="O393" s="779"/>
      <c r="P393" s="779"/>
      <c r="Q393" s="779"/>
      <c r="R393" s="779"/>
      <c r="S393" s="779"/>
      <c r="T393" s="779"/>
      <c r="U393" s="779"/>
      <c r="V393" s="779"/>
      <c r="W393" s="779"/>
      <c r="X393" s="779"/>
      <c r="Y393" s="779"/>
      <c r="Z393" s="779"/>
      <c r="AA393" s="779"/>
      <c r="AB393" s="779"/>
      <c r="AC393" s="779"/>
      <c r="AD393" s="779"/>
      <c r="AE393" s="779"/>
      <c r="AF393" s="779"/>
      <c r="AG393" s="779"/>
      <c r="AH393" s="779"/>
      <c r="AI393" s="779"/>
      <c r="AJ393" s="779"/>
      <c r="AK393" s="779"/>
      <c r="AL393" s="779"/>
      <c r="AM393" s="779"/>
      <c r="AN393" s="779"/>
      <c r="AO393" s="779"/>
      <c r="AP393" s="779"/>
      <c r="AQ393" s="779"/>
      <c r="AR393" s="779"/>
      <c r="AS393" s="779"/>
      <c r="AT393" s="779"/>
      <c r="AU393" s="779"/>
      <c r="AV393" s="779"/>
      <c r="AW393" s="779"/>
      <c r="AX393" s="779"/>
      <c r="AY393" s="779"/>
      <c r="AZ393" s="779"/>
      <c r="BA393" s="779"/>
      <c r="BB393" s="779"/>
      <c r="BC393" s="779"/>
      <c r="BD393" s="779"/>
      <c r="BE393" s="779"/>
      <c r="BF393" s="779"/>
      <c r="BG393" s="779"/>
      <c r="BH393" s="779"/>
      <c r="BI393" s="779"/>
      <c r="BJ393" s="779"/>
      <c r="BK393" s="779"/>
      <c r="BL393" s="779"/>
      <c r="BM393" s="779"/>
      <c r="BN393" s="779"/>
      <c r="BO393" s="779"/>
      <c r="BP393" s="779"/>
      <c r="BQ393" s="779"/>
      <c r="BR393" s="779"/>
      <c r="BS393" s="779"/>
      <c r="BT393" s="779"/>
      <c r="BU393" s="779"/>
      <c r="BV393" s="779"/>
      <c r="BW393" s="779"/>
      <c r="BX393" s="779"/>
      <c r="BY393" s="779"/>
      <c r="BZ393" s="779"/>
      <c r="CA393" s="779"/>
      <c r="CB393" s="779"/>
      <c r="CC393" s="779"/>
    </row>
    <row r="394" spans="1:81">
      <c r="A394" s="779"/>
      <c r="B394" s="779"/>
      <c r="C394" s="779"/>
      <c r="D394" s="779"/>
      <c r="E394" s="779"/>
      <c r="F394" s="779"/>
      <c r="G394" s="779"/>
      <c r="H394" s="779"/>
      <c r="I394" s="779"/>
      <c r="J394" s="779"/>
      <c r="K394" s="779"/>
      <c r="L394" s="779"/>
      <c r="M394" s="779"/>
      <c r="N394" s="779"/>
      <c r="O394" s="779"/>
      <c r="P394" s="779"/>
      <c r="Q394" s="779"/>
      <c r="R394" s="779"/>
      <c r="S394" s="779"/>
      <c r="T394" s="779"/>
      <c r="U394" s="779"/>
      <c r="V394" s="779"/>
      <c r="W394" s="779"/>
      <c r="X394" s="779"/>
      <c r="Y394" s="779"/>
      <c r="Z394" s="779"/>
      <c r="AA394" s="779"/>
      <c r="AB394" s="779"/>
      <c r="AC394" s="779"/>
      <c r="AD394" s="779"/>
      <c r="AE394" s="779"/>
      <c r="AF394" s="779"/>
      <c r="AG394" s="779"/>
      <c r="AH394" s="779"/>
      <c r="AI394" s="779"/>
      <c r="AJ394" s="779"/>
      <c r="AK394" s="779"/>
      <c r="AL394" s="779"/>
      <c r="AM394" s="779"/>
      <c r="AN394" s="779"/>
      <c r="AO394" s="779"/>
      <c r="AP394" s="779"/>
      <c r="AQ394" s="779"/>
      <c r="AR394" s="779"/>
      <c r="AS394" s="779"/>
      <c r="AT394" s="779"/>
      <c r="AU394" s="779"/>
      <c r="AV394" s="779"/>
      <c r="AW394" s="779"/>
      <c r="AX394" s="779"/>
      <c r="AY394" s="779"/>
      <c r="AZ394" s="779"/>
      <c r="BA394" s="779"/>
      <c r="BB394" s="779"/>
      <c r="BC394" s="779"/>
      <c r="BD394" s="779"/>
      <c r="BE394" s="779"/>
      <c r="BF394" s="779"/>
      <c r="BG394" s="779"/>
      <c r="BH394" s="779"/>
      <c r="BI394" s="779"/>
      <c r="BJ394" s="779"/>
      <c r="BK394" s="779"/>
      <c r="BL394" s="779"/>
      <c r="BM394" s="779"/>
      <c r="BN394" s="779"/>
      <c r="BO394" s="779"/>
      <c r="BP394" s="779"/>
      <c r="BQ394" s="779"/>
      <c r="BR394" s="779"/>
      <c r="BS394" s="779"/>
      <c r="BT394" s="779"/>
      <c r="BU394" s="779"/>
      <c r="BV394" s="779"/>
      <c r="BW394" s="779"/>
      <c r="BX394" s="779"/>
      <c r="BY394" s="779"/>
      <c r="BZ394" s="779"/>
      <c r="CA394" s="779"/>
      <c r="CB394" s="779"/>
      <c r="CC394" s="779"/>
    </row>
    <row r="395" spans="1:81">
      <c r="A395" s="779"/>
      <c r="B395" s="779"/>
      <c r="C395" s="779"/>
      <c r="D395" s="779"/>
      <c r="E395" s="779"/>
      <c r="F395" s="779"/>
      <c r="G395" s="779"/>
      <c r="H395" s="779"/>
      <c r="I395" s="779"/>
      <c r="J395" s="779"/>
      <c r="K395" s="779"/>
      <c r="L395" s="779"/>
      <c r="M395" s="779"/>
      <c r="N395" s="779"/>
      <c r="O395" s="779"/>
      <c r="P395" s="779"/>
      <c r="Q395" s="779"/>
      <c r="R395" s="779"/>
      <c r="S395" s="779"/>
      <c r="T395" s="779"/>
      <c r="U395" s="779"/>
      <c r="V395" s="779"/>
      <c r="W395" s="779"/>
      <c r="X395" s="779"/>
      <c r="Y395" s="779"/>
      <c r="Z395" s="779"/>
      <c r="AA395" s="779"/>
      <c r="AB395" s="779"/>
      <c r="AC395" s="779"/>
      <c r="AD395" s="779"/>
      <c r="AE395" s="779"/>
      <c r="AF395" s="779"/>
      <c r="AG395" s="779"/>
      <c r="AH395" s="779"/>
      <c r="AI395" s="779"/>
      <c r="AJ395" s="779"/>
      <c r="AK395" s="779"/>
      <c r="AL395" s="779"/>
      <c r="AM395" s="779"/>
      <c r="AN395" s="779"/>
      <c r="AO395" s="779"/>
      <c r="AP395" s="779"/>
      <c r="AQ395" s="779"/>
      <c r="AR395" s="779"/>
      <c r="AS395" s="779"/>
      <c r="AT395" s="779"/>
      <c r="AU395" s="779"/>
      <c r="AV395" s="779"/>
      <c r="AW395" s="779"/>
      <c r="AX395" s="779"/>
      <c r="AY395" s="779"/>
      <c r="AZ395" s="779"/>
      <c r="BA395" s="779"/>
      <c r="BB395" s="779"/>
      <c r="BC395" s="779"/>
      <c r="BD395" s="779"/>
      <c r="BE395" s="779"/>
      <c r="BF395" s="779"/>
      <c r="BG395" s="779"/>
      <c r="BH395" s="779"/>
      <c r="BI395" s="779"/>
      <c r="BJ395" s="779"/>
      <c r="BK395" s="779"/>
      <c r="BL395" s="779"/>
      <c r="BM395" s="779"/>
      <c r="BN395" s="779"/>
      <c r="BO395" s="779"/>
      <c r="BP395" s="779"/>
      <c r="BQ395" s="779"/>
      <c r="BR395" s="779"/>
      <c r="BS395" s="779"/>
      <c r="BT395" s="779"/>
      <c r="BU395" s="779"/>
      <c r="BV395" s="779"/>
      <c r="BW395" s="779"/>
      <c r="BX395" s="779"/>
      <c r="BY395" s="779"/>
      <c r="BZ395" s="779"/>
      <c r="CA395" s="779"/>
      <c r="CB395" s="779"/>
      <c r="CC395" s="779"/>
    </row>
    <row r="396" spans="1:81">
      <c r="A396" s="779"/>
      <c r="B396" s="779"/>
      <c r="C396" s="779"/>
      <c r="D396" s="779"/>
      <c r="E396" s="779"/>
      <c r="F396" s="779"/>
      <c r="G396" s="779"/>
      <c r="H396" s="779"/>
      <c r="I396" s="779"/>
      <c r="J396" s="779"/>
      <c r="K396" s="779"/>
      <c r="L396" s="779"/>
      <c r="M396" s="779"/>
      <c r="N396" s="779"/>
      <c r="O396" s="779"/>
      <c r="P396" s="779"/>
      <c r="Q396" s="779"/>
      <c r="R396" s="779"/>
      <c r="S396" s="779"/>
      <c r="T396" s="779"/>
      <c r="U396" s="779"/>
      <c r="V396" s="779"/>
      <c r="W396" s="779"/>
      <c r="X396" s="779"/>
      <c r="Y396" s="779"/>
      <c r="Z396" s="779"/>
      <c r="AA396" s="779"/>
      <c r="AB396" s="779"/>
      <c r="AC396" s="779"/>
      <c r="AD396" s="779"/>
      <c r="AE396" s="779"/>
      <c r="AF396" s="779"/>
      <c r="AG396" s="779"/>
      <c r="AH396" s="779"/>
      <c r="AI396" s="779"/>
      <c r="AJ396" s="779"/>
      <c r="AK396" s="779"/>
      <c r="AL396" s="779"/>
      <c r="AM396" s="779"/>
      <c r="AN396" s="779"/>
      <c r="AO396" s="779"/>
      <c r="AP396" s="779"/>
      <c r="AQ396" s="779"/>
      <c r="AR396" s="779"/>
      <c r="AS396" s="779"/>
      <c r="AT396" s="779"/>
      <c r="AU396" s="779"/>
      <c r="AV396" s="779"/>
      <c r="AW396" s="779"/>
      <c r="AX396" s="779"/>
      <c r="AY396" s="779"/>
      <c r="AZ396" s="779"/>
      <c r="BA396" s="779"/>
      <c r="BB396" s="779"/>
      <c r="BC396" s="779"/>
      <c r="BD396" s="779"/>
      <c r="BE396" s="779"/>
      <c r="BF396" s="779"/>
      <c r="BG396" s="779"/>
      <c r="BH396" s="779"/>
      <c r="BI396" s="779"/>
      <c r="BJ396" s="779"/>
      <c r="BK396" s="779"/>
      <c r="BL396" s="779"/>
      <c r="BM396" s="779"/>
      <c r="BN396" s="779"/>
      <c r="BO396" s="779"/>
      <c r="BP396" s="779"/>
      <c r="BQ396" s="779"/>
      <c r="BR396" s="779"/>
      <c r="BS396" s="779"/>
      <c r="BT396" s="779"/>
      <c r="BU396" s="779"/>
      <c r="BV396" s="779"/>
      <c r="BW396" s="779"/>
      <c r="BX396" s="779"/>
      <c r="BY396" s="779"/>
      <c r="BZ396" s="779"/>
      <c r="CA396" s="779"/>
      <c r="CB396" s="779"/>
      <c r="CC396" s="779"/>
    </row>
    <row r="397" spans="1:81">
      <c r="A397" s="779"/>
      <c r="B397" s="779"/>
      <c r="C397" s="779"/>
      <c r="D397" s="779"/>
      <c r="E397" s="779"/>
      <c r="F397" s="779"/>
      <c r="G397" s="779"/>
      <c r="H397" s="779"/>
      <c r="I397" s="779"/>
      <c r="J397" s="779"/>
      <c r="K397" s="779"/>
      <c r="L397" s="779"/>
      <c r="M397" s="779"/>
      <c r="N397" s="779"/>
      <c r="O397" s="779"/>
      <c r="P397" s="779"/>
      <c r="Q397" s="779"/>
      <c r="R397" s="779"/>
      <c r="S397" s="779"/>
      <c r="T397" s="779"/>
      <c r="U397" s="779"/>
      <c r="V397" s="779"/>
      <c r="W397" s="779"/>
      <c r="X397" s="779"/>
      <c r="Y397" s="779"/>
      <c r="Z397" s="779"/>
      <c r="AA397" s="779"/>
      <c r="AB397" s="779"/>
      <c r="AC397" s="779"/>
      <c r="AD397" s="779"/>
      <c r="AE397" s="779"/>
      <c r="AF397" s="779"/>
      <c r="AG397" s="779"/>
      <c r="AH397" s="779"/>
      <c r="AI397" s="779"/>
      <c r="AJ397" s="779"/>
      <c r="AK397" s="779"/>
      <c r="AL397" s="779"/>
      <c r="AM397" s="779"/>
      <c r="AN397" s="779"/>
      <c r="AO397" s="779"/>
      <c r="AP397" s="779"/>
      <c r="AQ397" s="779"/>
      <c r="AR397" s="779"/>
      <c r="AS397" s="779"/>
      <c r="AT397" s="779"/>
      <c r="AU397" s="779"/>
      <c r="AV397" s="779"/>
      <c r="AW397" s="779"/>
      <c r="AX397" s="779"/>
      <c r="AY397" s="779"/>
      <c r="AZ397" s="779"/>
      <c r="BA397" s="779"/>
      <c r="BB397" s="779"/>
      <c r="BC397" s="779"/>
      <c r="BD397" s="779"/>
      <c r="BE397" s="779"/>
      <c r="BF397" s="779"/>
      <c r="BG397" s="779"/>
      <c r="BH397" s="779"/>
      <c r="BI397" s="779"/>
      <c r="BJ397" s="779"/>
      <c r="BK397" s="779"/>
      <c r="BL397" s="779"/>
      <c r="BM397" s="779"/>
      <c r="BN397" s="779"/>
      <c r="BO397" s="779"/>
      <c r="BP397" s="779"/>
      <c r="BQ397" s="779"/>
      <c r="BR397" s="779"/>
      <c r="BS397" s="779"/>
      <c r="BT397" s="779"/>
      <c r="BU397" s="779"/>
      <c r="BV397" s="779"/>
      <c r="BW397" s="779"/>
      <c r="BX397" s="779"/>
      <c r="BY397" s="779"/>
      <c r="BZ397" s="779"/>
      <c r="CA397" s="779"/>
      <c r="CB397" s="779"/>
      <c r="CC397" s="779"/>
    </row>
    <row r="398" spans="1:81">
      <c r="A398" s="779"/>
      <c r="B398" s="779"/>
      <c r="C398" s="779"/>
      <c r="D398" s="779"/>
      <c r="E398" s="779"/>
      <c r="F398" s="779"/>
      <c r="G398" s="779"/>
      <c r="H398" s="779"/>
      <c r="I398" s="779"/>
      <c r="J398" s="779"/>
      <c r="K398" s="779"/>
      <c r="L398" s="779"/>
      <c r="M398" s="779"/>
      <c r="N398" s="779"/>
      <c r="O398" s="779"/>
      <c r="P398" s="779"/>
      <c r="Q398" s="779"/>
      <c r="R398" s="779"/>
      <c r="S398" s="779"/>
      <c r="T398" s="779"/>
      <c r="U398" s="779"/>
      <c r="V398" s="779"/>
      <c r="W398" s="779"/>
      <c r="X398" s="779"/>
      <c r="Y398" s="779"/>
      <c r="Z398" s="779"/>
      <c r="AA398" s="779"/>
      <c r="AB398" s="779"/>
      <c r="AC398" s="779"/>
      <c r="AD398" s="779"/>
      <c r="AE398" s="779"/>
      <c r="AF398" s="779"/>
      <c r="AG398" s="779"/>
      <c r="AH398" s="779"/>
      <c r="AI398" s="779"/>
      <c r="AJ398" s="779"/>
      <c r="AK398" s="779"/>
      <c r="AL398" s="779"/>
      <c r="AM398" s="779"/>
      <c r="AN398" s="779"/>
      <c r="AO398" s="779"/>
      <c r="AP398" s="779"/>
      <c r="AQ398" s="779"/>
      <c r="AR398" s="779"/>
      <c r="AS398" s="779"/>
      <c r="AT398" s="779"/>
      <c r="AU398" s="779"/>
      <c r="AV398" s="779"/>
      <c r="AW398" s="779"/>
      <c r="AX398" s="779"/>
      <c r="AY398" s="779"/>
      <c r="AZ398" s="779"/>
      <c r="BA398" s="779"/>
      <c r="BB398" s="779"/>
      <c r="BC398" s="779"/>
      <c r="BD398" s="779"/>
      <c r="BE398" s="779"/>
      <c r="BF398" s="779"/>
      <c r="BG398" s="779"/>
      <c r="BH398" s="779"/>
      <c r="BI398" s="779"/>
      <c r="BJ398" s="779"/>
      <c r="BK398" s="779"/>
      <c r="BL398" s="779"/>
      <c r="BM398" s="779"/>
      <c r="BN398" s="779"/>
      <c r="BO398" s="779"/>
      <c r="BP398" s="779"/>
      <c r="BQ398" s="779"/>
      <c r="BR398" s="779"/>
      <c r="BS398" s="779"/>
      <c r="BT398" s="779"/>
      <c r="BU398" s="779"/>
      <c r="BV398" s="779"/>
      <c r="BW398" s="779"/>
      <c r="BX398" s="779"/>
      <c r="BY398" s="779"/>
      <c r="BZ398" s="779"/>
      <c r="CA398" s="779"/>
      <c r="CB398" s="779"/>
      <c r="CC398" s="779"/>
    </row>
    <row r="399" spans="1:81">
      <c r="A399" s="779"/>
      <c r="B399" s="779"/>
      <c r="C399" s="779"/>
      <c r="D399" s="779"/>
      <c r="E399" s="779"/>
      <c r="F399" s="779"/>
      <c r="G399" s="779"/>
      <c r="H399" s="779"/>
      <c r="I399" s="779"/>
      <c r="J399" s="779"/>
      <c r="K399" s="779"/>
      <c r="L399" s="779"/>
      <c r="M399" s="779"/>
      <c r="N399" s="779"/>
      <c r="O399" s="779"/>
      <c r="P399" s="779"/>
      <c r="Q399" s="779"/>
      <c r="R399" s="779"/>
      <c r="S399" s="779"/>
      <c r="T399" s="779"/>
      <c r="U399" s="779"/>
      <c r="V399" s="779"/>
      <c r="W399" s="779"/>
      <c r="X399" s="779"/>
      <c r="Y399" s="779"/>
      <c r="Z399" s="779"/>
      <c r="AA399" s="779"/>
      <c r="AB399" s="779"/>
      <c r="AC399" s="779"/>
      <c r="AD399" s="779"/>
      <c r="AE399" s="779"/>
      <c r="AF399" s="779"/>
      <c r="AG399" s="779"/>
      <c r="AH399" s="779"/>
      <c r="AI399" s="779"/>
      <c r="AJ399" s="779"/>
      <c r="AK399" s="779"/>
      <c r="AL399" s="779"/>
      <c r="AM399" s="779"/>
      <c r="AN399" s="779"/>
      <c r="AO399" s="779"/>
      <c r="AP399" s="779"/>
      <c r="AQ399" s="779"/>
      <c r="AR399" s="779"/>
      <c r="AS399" s="779"/>
      <c r="AT399" s="779"/>
      <c r="AU399" s="779"/>
      <c r="AV399" s="779"/>
      <c r="AW399" s="779"/>
      <c r="AX399" s="779"/>
      <c r="AY399" s="779"/>
      <c r="AZ399" s="779"/>
      <c r="BA399" s="779"/>
      <c r="BB399" s="779"/>
      <c r="BC399" s="779"/>
      <c r="BD399" s="779"/>
      <c r="BE399" s="779"/>
      <c r="BF399" s="779"/>
      <c r="BG399" s="779"/>
      <c r="BH399" s="779"/>
      <c r="BI399" s="779"/>
      <c r="BJ399" s="779"/>
      <c r="BK399" s="779"/>
      <c r="BL399" s="779"/>
      <c r="BM399" s="779"/>
      <c r="BN399" s="779"/>
      <c r="BO399" s="779"/>
      <c r="BP399" s="779"/>
      <c r="BQ399" s="779"/>
      <c r="BR399" s="779"/>
      <c r="BS399" s="779"/>
      <c r="BT399" s="779"/>
      <c r="BU399" s="779"/>
      <c r="BV399" s="779"/>
      <c r="BW399" s="779"/>
      <c r="BX399" s="779"/>
      <c r="BY399" s="779"/>
      <c r="BZ399" s="779"/>
      <c r="CA399" s="779"/>
      <c r="CB399" s="779"/>
      <c r="CC399" s="779"/>
    </row>
    <row r="400" spans="1:81">
      <c r="A400" s="779"/>
      <c r="B400" s="779"/>
      <c r="C400" s="779"/>
      <c r="D400" s="779"/>
      <c r="E400" s="779"/>
      <c r="F400" s="779"/>
      <c r="G400" s="779"/>
      <c r="H400" s="779"/>
      <c r="I400" s="779"/>
      <c r="J400" s="779"/>
      <c r="K400" s="779"/>
      <c r="L400" s="779"/>
      <c r="M400" s="779"/>
      <c r="N400" s="779"/>
      <c r="O400" s="779"/>
      <c r="P400" s="779"/>
      <c r="Q400" s="779"/>
      <c r="R400" s="779"/>
      <c r="S400" s="779"/>
      <c r="T400" s="779"/>
      <c r="U400" s="779"/>
      <c r="V400" s="779"/>
      <c r="W400" s="779"/>
      <c r="X400" s="779"/>
      <c r="Y400" s="779"/>
      <c r="Z400" s="779"/>
      <c r="AA400" s="779"/>
      <c r="AB400" s="779"/>
      <c r="AC400" s="779"/>
      <c r="AD400" s="779"/>
      <c r="AE400" s="779"/>
      <c r="AF400" s="779"/>
      <c r="AG400" s="779"/>
      <c r="AH400" s="779"/>
      <c r="AI400" s="779"/>
      <c r="AJ400" s="779"/>
      <c r="AK400" s="779"/>
      <c r="AL400" s="779"/>
      <c r="AM400" s="779"/>
      <c r="AN400" s="779"/>
      <c r="AO400" s="779"/>
      <c r="AP400" s="779"/>
      <c r="AQ400" s="779"/>
      <c r="AR400" s="779"/>
      <c r="AS400" s="779"/>
      <c r="AT400" s="779"/>
      <c r="AU400" s="779"/>
      <c r="AV400" s="779"/>
      <c r="AW400" s="779"/>
      <c r="AX400" s="779"/>
      <c r="AY400" s="779"/>
      <c r="AZ400" s="779"/>
      <c r="BA400" s="779"/>
      <c r="BB400" s="779"/>
      <c r="BC400" s="779"/>
      <c r="BD400" s="779"/>
      <c r="BE400" s="779"/>
      <c r="BF400" s="779"/>
      <c r="BG400" s="779"/>
      <c r="BH400" s="779"/>
      <c r="BI400" s="779"/>
      <c r="BJ400" s="779"/>
      <c r="BK400" s="779"/>
      <c r="BL400" s="779"/>
      <c r="BM400" s="779"/>
      <c r="BN400" s="779"/>
      <c r="BO400" s="779"/>
      <c r="BP400" s="779"/>
      <c r="BQ400" s="779"/>
      <c r="BR400" s="779"/>
      <c r="BS400" s="779"/>
      <c r="BT400" s="779"/>
      <c r="BU400" s="779"/>
      <c r="BV400" s="779"/>
      <c r="BW400" s="779"/>
      <c r="BX400" s="779"/>
      <c r="BY400" s="779"/>
      <c r="BZ400" s="779"/>
      <c r="CA400" s="779"/>
      <c r="CB400" s="779"/>
      <c r="CC400" s="779"/>
    </row>
    <row r="401" spans="1:81">
      <c r="A401" s="779"/>
      <c r="B401" s="779"/>
      <c r="C401" s="779"/>
      <c r="D401" s="779"/>
      <c r="E401" s="779"/>
      <c r="F401" s="779"/>
      <c r="G401" s="779"/>
      <c r="H401" s="779"/>
      <c r="I401" s="779"/>
      <c r="J401" s="779"/>
      <c r="K401" s="779"/>
      <c r="L401" s="779"/>
      <c r="M401" s="779"/>
      <c r="N401" s="779"/>
      <c r="O401" s="779"/>
      <c r="P401" s="779"/>
      <c r="Q401" s="779"/>
      <c r="R401" s="779"/>
      <c r="S401" s="779"/>
      <c r="T401" s="779"/>
      <c r="U401" s="779"/>
      <c r="V401" s="779"/>
      <c r="W401" s="779"/>
      <c r="X401" s="779"/>
      <c r="Y401" s="779"/>
      <c r="Z401" s="779"/>
      <c r="AA401" s="779"/>
      <c r="AB401" s="779"/>
      <c r="AC401" s="779"/>
      <c r="AD401" s="779"/>
      <c r="AE401" s="779"/>
      <c r="AF401" s="779"/>
      <c r="AG401" s="779"/>
      <c r="AH401" s="779"/>
      <c r="AI401" s="779"/>
      <c r="AJ401" s="779"/>
      <c r="AK401" s="779"/>
      <c r="AL401" s="779"/>
      <c r="AM401" s="779"/>
      <c r="AN401" s="779"/>
      <c r="AO401" s="779"/>
      <c r="AP401" s="779"/>
      <c r="AQ401" s="779"/>
      <c r="AR401" s="779"/>
      <c r="AS401" s="779"/>
      <c r="AT401" s="779"/>
      <c r="AU401" s="779"/>
      <c r="AV401" s="779"/>
      <c r="AW401" s="779"/>
      <c r="AX401" s="779"/>
      <c r="AY401" s="779"/>
      <c r="AZ401" s="779"/>
      <c r="BA401" s="779"/>
      <c r="BB401" s="779"/>
      <c r="BC401" s="779"/>
      <c r="BD401" s="779"/>
      <c r="BE401" s="779"/>
      <c r="BF401" s="779"/>
      <c r="BG401" s="779"/>
      <c r="BH401" s="779"/>
      <c r="BI401" s="779"/>
      <c r="BJ401" s="779"/>
      <c r="BK401" s="779"/>
      <c r="BL401" s="779"/>
      <c r="BM401" s="779"/>
      <c r="BN401" s="779"/>
      <c r="BO401" s="779"/>
      <c r="BP401" s="779"/>
      <c r="BQ401" s="779"/>
      <c r="BR401" s="779"/>
      <c r="BS401" s="779"/>
      <c r="BT401" s="779"/>
      <c r="BU401" s="779"/>
      <c r="BV401" s="779"/>
      <c r="BW401" s="779"/>
      <c r="BX401" s="779"/>
      <c r="BY401" s="779"/>
      <c r="BZ401" s="779"/>
      <c r="CA401" s="779"/>
      <c r="CB401" s="779"/>
      <c r="CC401" s="779"/>
    </row>
    <row r="402" spans="1:81">
      <c r="A402" s="779"/>
      <c r="B402" s="779"/>
      <c r="C402" s="779"/>
      <c r="D402" s="779"/>
      <c r="E402" s="779"/>
      <c r="F402" s="779"/>
      <c r="G402" s="779"/>
      <c r="H402" s="779"/>
      <c r="I402" s="779"/>
      <c r="J402" s="779"/>
      <c r="K402" s="779"/>
      <c r="L402" s="779"/>
      <c r="M402" s="779"/>
      <c r="N402" s="779"/>
      <c r="O402" s="779"/>
      <c r="P402" s="779"/>
      <c r="Q402" s="779"/>
      <c r="R402" s="779"/>
      <c r="S402" s="779"/>
      <c r="T402" s="779"/>
      <c r="U402" s="779"/>
      <c r="V402" s="779"/>
      <c r="W402" s="779"/>
      <c r="X402" s="779"/>
      <c r="Y402" s="779"/>
      <c r="Z402" s="779"/>
      <c r="AA402" s="779"/>
      <c r="AB402" s="779"/>
      <c r="AC402" s="779"/>
      <c r="AD402" s="779"/>
      <c r="AE402" s="779"/>
      <c r="AF402" s="779"/>
      <c r="AG402" s="779"/>
      <c r="AH402" s="779"/>
      <c r="AI402" s="779"/>
      <c r="AJ402" s="779"/>
      <c r="AK402" s="779"/>
      <c r="AL402" s="779"/>
      <c r="AM402" s="779"/>
      <c r="AN402" s="779"/>
      <c r="AO402" s="779"/>
      <c r="AP402" s="779"/>
      <c r="AQ402" s="779"/>
      <c r="AR402" s="779"/>
      <c r="AS402" s="779"/>
      <c r="AT402" s="779"/>
      <c r="AU402" s="779"/>
      <c r="AV402" s="779"/>
      <c r="AW402" s="779"/>
      <c r="AX402" s="779"/>
      <c r="AY402" s="779"/>
      <c r="AZ402" s="779"/>
      <c r="BA402" s="779"/>
      <c r="BB402" s="779"/>
      <c r="BC402" s="779"/>
      <c r="BD402" s="779"/>
      <c r="BE402" s="779"/>
      <c r="BF402" s="779"/>
      <c r="BG402" s="779"/>
      <c r="BH402" s="779"/>
      <c r="BI402" s="779"/>
      <c r="BJ402" s="779"/>
      <c r="BK402" s="779"/>
      <c r="BL402" s="779"/>
      <c r="BM402" s="779"/>
      <c r="BN402" s="779"/>
      <c r="BO402" s="779"/>
      <c r="BP402" s="779"/>
      <c r="BQ402" s="779"/>
      <c r="BR402" s="779"/>
      <c r="BS402" s="779"/>
      <c r="BT402" s="779"/>
      <c r="BU402" s="779"/>
      <c r="BV402" s="779"/>
      <c r="BW402" s="779"/>
      <c r="BX402" s="779"/>
      <c r="BY402" s="779"/>
      <c r="BZ402" s="779"/>
      <c r="CA402" s="779"/>
      <c r="CB402" s="779"/>
      <c r="CC402" s="779"/>
    </row>
    <row r="403" spans="1:81">
      <c r="A403" s="779"/>
      <c r="B403" s="779"/>
      <c r="C403" s="779"/>
      <c r="D403" s="779"/>
      <c r="E403" s="779"/>
      <c r="F403" s="779"/>
      <c r="G403" s="779"/>
      <c r="H403" s="779"/>
      <c r="I403" s="779"/>
      <c r="J403" s="779"/>
      <c r="K403" s="779"/>
      <c r="L403" s="779"/>
      <c r="M403" s="779"/>
      <c r="N403" s="779"/>
      <c r="O403" s="779"/>
      <c r="P403" s="779"/>
      <c r="Q403" s="779"/>
      <c r="R403" s="779"/>
      <c r="S403" s="779"/>
      <c r="T403" s="779"/>
      <c r="U403" s="779"/>
      <c r="V403" s="779"/>
      <c r="W403" s="779"/>
      <c r="X403" s="779"/>
      <c r="Y403" s="779"/>
      <c r="Z403" s="779"/>
      <c r="AA403" s="779"/>
      <c r="AB403" s="779"/>
      <c r="AC403" s="779"/>
      <c r="AD403" s="779"/>
      <c r="AE403" s="779"/>
      <c r="AF403" s="779"/>
      <c r="AG403" s="779"/>
      <c r="AH403" s="779"/>
      <c r="AI403" s="779"/>
      <c r="AJ403" s="779"/>
      <c r="AK403" s="779"/>
      <c r="AL403" s="779"/>
      <c r="AM403" s="779"/>
      <c r="AN403" s="779"/>
      <c r="AO403" s="779"/>
      <c r="AP403" s="779"/>
      <c r="AQ403" s="779"/>
      <c r="AR403" s="779"/>
      <c r="AS403" s="779"/>
      <c r="AT403" s="779"/>
      <c r="AU403" s="779"/>
      <c r="AV403" s="779"/>
      <c r="AW403" s="779"/>
      <c r="AX403" s="779"/>
      <c r="AY403" s="779"/>
      <c r="AZ403" s="779"/>
      <c r="BA403" s="779"/>
      <c r="BB403" s="779"/>
      <c r="BC403" s="779"/>
      <c r="BD403" s="779"/>
      <c r="BE403" s="779"/>
      <c r="BF403" s="779"/>
      <c r="BG403" s="779"/>
      <c r="BH403" s="779"/>
      <c r="BI403" s="779"/>
      <c r="BJ403" s="779"/>
      <c r="BK403" s="779"/>
      <c r="BL403" s="779"/>
      <c r="BM403" s="779"/>
      <c r="BN403" s="779"/>
      <c r="BO403" s="779"/>
      <c r="BP403" s="779"/>
      <c r="BQ403" s="779"/>
      <c r="BR403" s="779"/>
      <c r="BS403" s="779"/>
      <c r="BT403" s="779"/>
      <c r="BU403" s="779"/>
      <c r="BV403" s="779"/>
      <c r="BW403" s="779"/>
      <c r="BX403" s="779"/>
      <c r="BY403" s="779"/>
      <c r="BZ403" s="779"/>
      <c r="CA403" s="779"/>
      <c r="CB403" s="779"/>
      <c r="CC403" s="779"/>
    </row>
    <row r="404" spans="1:81">
      <c r="A404" s="779"/>
      <c r="B404" s="779"/>
      <c r="C404" s="779"/>
      <c r="D404" s="779"/>
      <c r="E404" s="779"/>
      <c r="F404" s="779"/>
      <c r="G404" s="779"/>
      <c r="H404" s="779"/>
      <c r="I404" s="779"/>
      <c r="J404" s="779"/>
      <c r="K404" s="779"/>
      <c r="L404" s="779"/>
      <c r="M404" s="779"/>
      <c r="N404" s="779"/>
      <c r="O404" s="779"/>
      <c r="P404" s="779"/>
      <c r="Q404" s="779"/>
      <c r="R404" s="779"/>
      <c r="S404" s="779"/>
      <c r="T404" s="779"/>
      <c r="U404" s="779"/>
      <c r="V404" s="779"/>
      <c r="W404" s="779"/>
      <c r="X404" s="779"/>
      <c r="Y404" s="779"/>
      <c r="Z404" s="779"/>
      <c r="AA404" s="779"/>
      <c r="AB404" s="779"/>
      <c r="AC404" s="779"/>
      <c r="AD404" s="779"/>
      <c r="AE404" s="779"/>
      <c r="AF404" s="779"/>
      <c r="AG404" s="779"/>
      <c r="AH404" s="779"/>
      <c r="AI404" s="779"/>
      <c r="AJ404" s="779"/>
      <c r="AK404" s="779"/>
      <c r="AL404" s="779"/>
      <c r="AM404" s="779"/>
      <c r="AN404" s="779"/>
      <c r="AO404" s="779"/>
      <c r="AP404" s="779"/>
      <c r="AQ404" s="779"/>
      <c r="AR404" s="779"/>
      <c r="AS404" s="779"/>
      <c r="AT404" s="779"/>
      <c r="AU404" s="779"/>
      <c r="AV404" s="779"/>
      <c r="AW404" s="779"/>
      <c r="AX404" s="779"/>
      <c r="AY404" s="779"/>
      <c r="AZ404" s="779"/>
      <c r="BA404" s="779"/>
      <c r="BB404" s="779"/>
      <c r="BC404" s="779"/>
      <c r="BD404" s="779"/>
      <c r="BE404" s="779"/>
      <c r="BF404" s="779"/>
      <c r="BG404" s="779"/>
      <c r="BH404" s="779"/>
      <c r="BI404" s="779"/>
      <c r="BJ404" s="779"/>
      <c r="BK404" s="779"/>
      <c r="BL404" s="779"/>
      <c r="BM404" s="779"/>
      <c r="BN404" s="779"/>
      <c r="BO404" s="779"/>
      <c r="BP404" s="779"/>
      <c r="BQ404" s="779"/>
      <c r="BR404" s="779"/>
      <c r="BS404" s="779"/>
      <c r="BT404" s="779"/>
      <c r="BU404" s="779"/>
      <c r="BV404" s="779"/>
      <c r="BW404" s="779"/>
      <c r="BX404" s="779"/>
      <c r="BY404" s="779"/>
      <c r="BZ404" s="779"/>
      <c r="CA404" s="779"/>
      <c r="CB404" s="779"/>
      <c r="CC404" s="779"/>
    </row>
    <row r="405" spans="1:81">
      <c r="A405" s="779"/>
      <c r="B405" s="779"/>
      <c r="C405" s="779"/>
      <c r="D405" s="779"/>
      <c r="E405" s="779"/>
      <c r="F405" s="779"/>
      <c r="G405" s="779"/>
      <c r="H405" s="779"/>
      <c r="I405" s="779"/>
      <c r="J405" s="779"/>
      <c r="K405" s="779"/>
      <c r="L405" s="779"/>
      <c r="M405" s="779"/>
      <c r="N405" s="779"/>
      <c r="O405" s="779"/>
      <c r="P405" s="779"/>
      <c r="Q405" s="779"/>
      <c r="R405" s="779"/>
      <c r="S405" s="779"/>
      <c r="T405" s="779"/>
      <c r="U405" s="779"/>
      <c r="V405" s="779"/>
      <c r="W405" s="779"/>
      <c r="X405" s="779"/>
      <c r="Y405" s="779"/>
      <c r="Z405" s="779"/>
      <c r="AA405" s="779"/>
      <c r="AB405" s="779"/>
      <c r="AC405" s="779"/>
      <c r="AD405" s="779"/>
      <c r="AE405" s="779"/>
      <c r="AF405" s="779"/>
      <c r="AG405" s="779"/>
      <c r="AH405" s="779"/>
      <c r="AI405" s="779"/>
      <c r="AJ405" s="779"/>
      <c r="AK405" s="779"/>
      <c r="AL405" s="779"/>
      <c r="AM405" s="779"/>
      <c r="AN405" s="779"/>
      <c r="AO405" s="779"/>
      <c r="AP405" s="779"/>
      <c r="AQ405" s="779"/>
      <c r="AR405" s="779"/>
      <c r="AS405" s="779"/>
      <c r="AT405" s="779"/>
      <c r="AU405" s="779"/>
      <c r="AV405" s="779"/>
      <c r="AW405" s="779"/>
      <c r="AX405" s="779"/>
      <c r="AY405" s="779"/>
      <c r="AZ405" s="779"/>
      <c r="BA405" s="779"/>
      <c r="BB405" s="779"/>
      <c r="BC405" s="779"/>
      <c r="BD405" s="779"/>
      <c r="BE405" s="779"/>
      <c r="BF405" s="779"/>
      <c r="BG405" s="779"/>
      <c r="BH405" s="779"/>
      <c r="BI405" s="779"/>
      <c r="BJ405" s="779"/>
      <c r="BK405" s="779"/>
      <c r="BL405" s="779"/>
      <c r="BM405" s="779"/>
      <c r="BN405" s="779"/>
      <c r="BO405" s="779"/>
      <c r="BP405" s="779"/>
      <c r="BQ405" s="779"/>
      <c r="BR405" s="779"/>
      <c r="BS405" s="779"/>
      <c r="BT405" s="779"/>
      <c r="BU405" s="779"/>
      <c r="BV405" s="779"/>
      <c r="BW405" s="779"/>
      <c r="BX405" s="779"/>
      <c r="BY405" s="779"/>
      <c r="BZ405" s="779"/>
      <c r="CA405" s="779"/>
      <c r="CB405" s="779"/>
      <c r="CC405" s="779"/>
    </row>
    <row r="406" spans="1:81">
      <c r="A406" s="779"/>
      <c r="B406" s="779"/>
      <c r="C406" s="779"/>
      <c r="D406" s="779"/>
      <c r="E406" s="779"/>
      <c r="F406" s="779"/>
      <c r="G406" s="779"/>
      <c r="H406" s="779"/>
      <c r="I406" s="779"/>
      <c r="J406" s="779"/>
      <c r="K406" s="779"/>
      <c r="L406" s="779"/>
      <c r="M406" s="779"/>
      <c r="N406" s="779"/>
      <c r="O406" s="779"/>
      <c r="P406" s="779"/>
      <c r="Q406" s="779"/>
      <c r="R406" s="779"/>
      <c r="S406" s="779"/>
      <c r="T406" s="779"/>
      <c r="U406" s="779"/>
      <c r="V406" s="779"/>
      <c r="W406" s="779"/>
      <c r="X406" s="779"/>
      <c r="Y406" s="779"/>
      <c r="Z406" s="779"/>
      <c r="AA406" s="779"/>
      <c r="AB406" s="779"/>
      <c r="AC406" s="779"/>
      <c r="AD406" s="779"/>
      <c r="AE406" s="779"/>
      <c r="AF406" s="779"/>
      <c r="AG406" s="779"/>
      <c r="AH406" s="779"/>
      <c r="AI406" s="779"/>
      <c r="AJ406" s="779"/>
      <c r="AK406" s="779"/>
      <c r="AL406" s="779"/>
      <c r="AM406" s="779"/>
      <c r="AN406" s="779"/>
      <c r="AO406" s="779"/>
      <c r="AP406" s="779"/>
      <c r="AQ406" s="779"/>
      <c r="AR406" s="779"/>
      <c r="AS406" s="779"/>
      <c r="AT406" s="779"/>
      <c r="AU406" s="779"/>
      <c r="AV406" s="779"/>
      <c r="AW406" s="779"/>
      <c r="AX406" s="779"/>
      <c r="AY406" s="779"/>
      <c r="AZ406" s="779"/>
      <c r="BA406" s="779"/>
      <c r="BB406" s="779"/>
      <c r="BC406" s="779"/>
      <c r="BD406" s="779"/>
      <c r="BE406" s="779"/>
      <c r="BF406" s="779"/>
      <c r="BG406" s="779"/>
      <c r="BH406" s="779"/>
      <c r="BI406" s="779"/>
      <c r="BJ406" s="779"/>
      <c r="BK406" s="779"/>
      <c r="BL406" s="779"/>
      <c r="BM406" s="779"/>
      <c r="BN406" s="779"/>
      <c r="BO406" s="779"/>
      <c r="BP406" s="779"/>
      <c r="BQ406" s="779"/>
      <c r="BR406" s="779"/>
      <c r="BS406" s="779"/>
      <c r="BT406" s="779"/>
      <c r="BU406" s="779"/>
      <c r="BV406" s="779"/>
      <c r="BW406" s="779"/>
      <c r="BX406" s="779"/>
      <c r="BY406" s="779"/>
      <c r="BZ406" s="779"/>
      <c r="CA406" s="779"/>
      <c r="CB406" s="779"/>
      <c r="CC406" s="779"/>
    </row>
    <row r="407" spans="1:81">
      <c r="A407" s="779"/>
      <c r="B407" s="779"/>
      <c r="C407" s="779"/>
      <c r="D407" s="779"/>
      <c r="E407" s="779"/>
      <c r="F407" s="779"/>
      <c r="G407" s="779"/>
      <c r="H407" s="779"/>
      <c r="I407" s="779"/>
      <c r="J407" s="779"/>
      <c r="K407" s="779"/>
      <c r="L407" s="779"/>
      <c r="M407" s="779"/>
      <c r="N407" s="779"/>
      <c r="O407" s="779"/>
      <c r="P407" s="779"/>
      <c r="Q407" s="779"/>
      <c r="R407" s="779"/>
      <c r="S407" s="779"/>
      <c r="T407" s="779"/>
      <c r="U407" s="779"/>
      <c r="V407" s="779"/>
      <c r="W407" s="779"/>
      <c r="X407" s="779"/>
      <c r="Y407" s="779"/>
      <c r="Z407" s="779"/>
      <c r="AA407" s="779"/>
      <c r="AB407" s="779"/>
      <c r="AC407" s="779"/>
      <c r="AD407" s="779"/>
      <c r="AE407" s="779"/>
      <c r="AF407" s="779"/>
      <c r="AG407" s="779"/>
      <c r="AH407" s="779"/>
      <c r="AI407" s="779"/>
      <c r="AJ407" s="779"/>
      <c r="AK407" s="779"/>
      <c r="AL407" s="779"/>
      <c r="AM407" s="779"/>
      <c r="AN407" s="779"/>
      <c r="AO407" s="779"/>
      <c r="AP407" s="779"/>
      <c r="AQ407" s="779"/>
      <c r="AR407" s="779"/>
      <c r="AS407" s="779"/>
      <c r="AT407" s="779"/>
      <c r="AU407" s="779"/>
      <c r="AV407" s="779"/>
      <c r="AW407" s="779"/>
      <c r="AX407" s="779"/>
      <c r="AY407" s="779"/>
      <c r="AZ407" s="779"/>
      <c r="BA407" s="779"/>
      <c r="BB407" s="779"/>
      <c r="BC407" s="779"/>
      <c r="BD407" s="779"/>
      <c r="BE407" s="779"/>
      <c r="BF407" s="779"/>
      <c r="BG407" s="779"/>
      <c r="BH407" s="779"/>
      <c r="BI407" s="779"/>
      <c r="BJ407" s="779"/>
      <c r="BK407" s="779"/>
      <c r="BL407" s="779"/>
      <c r="BM407" s="779"/>
      <c r="BN407" s="779"/>
      <c r="BO407" s="779"/>
      <c r="BP407" s="779"/>
      <c r="BQ407" s="779"/>
      <c r="BR407" s="779"/>
      <c r="BS407" s="779"/>
      <c r="BT407" s="779"/>
      <c r="BU407" s="779"/>
      <c r="BV407" s="779"/>
      <c r="BW407" s="779"/>
      <c r="BX407" s="779"/>
      <c r="BY407" s="779"/>
      <c r="BZ407" s="779"/>
      <c r="CA407" s="779"/>
      <c r="CB407" s="779"/>
      <c r="CC407" s="779"/>
    </row>
    <row r="408" spans="1:81">
      <c r="A408" s="779"/>
      <c r="B408" s="779"/>
      <c r="C408" s="779"/>
      <c r="D408" s="779"/>
      <c r="E408" s="779"/>
      <c r="F408" s="779"/>
      <c r="G408" s="779"/>
      <c r="H408" s="779"/>
      <c r="I408" s="779"/>
      <c r="J408" s="779"/>
      <c r="K408" s="779"/>
      <c r="L408" s="779"/>
      <c r="M408" s="779"/>
      <c r="N408" s="779"/>
      <c r="O408" s="779"/>
      <c r="P408" s="779"/>
      <c r="Q408" s="779"/>
      <c r="R408" s="779"/>
      <c r="S408" s="779"/>
      <c r="T408" s="779"/>
      <c r="U408" s="779"/>
      <c r="V408" s="779"/>
      <c r="W408" s="779"/>
      <c r="X408" s="779"/>
      <c r="Y408" s="779"/>
      <c r="Z408" s="779"/>
      <c r="AA408" s="779"/>
      <c r="AB408" s="779"/>
      <c r="AC408" s="779"/>
      <c r="AD408" s="779"/>
      <c r="AE408" s="779"/>
      <c r="AF408" s="779"/>
      <c r="AG408" s="779"/>
      <c r="AH408" s="779"/>
      <c r="AI408" s="779"/>
      <c r="AJ408" s="779"/>
      <c r="AK408" s="779"/>
      <c r="AL408" s="779"/>
      <c r="AM408" s="779"/>
      <c r="AN408" s="779"/>
      <c r="AO408" s="779"/>
      <c r="AP408" s="779"/>
      <c r="AQ408" s="779"/>
      <c r="AR408" s="779"/>
      <c r="AS408" s="779"/>
      <c r="AT408" s="779"/>
      <c r="AU408" s="779"/>
      <c r="AV408" s="779"/>
      <c r="AW408" s="779"/>
      <c r="AX408" s="779"/>
      <c r="AY408" s="779"/>
      <c r="AZ408" s="779"/>
      <c r="BA408" s="779"/>
      <c r="BB408" s="779"/>
      <c r="BC408" s="779"/>
      <c r="BD408" s="779"/>
      <c r="BE408" s="779"/>
      <c r="BF408" s="779"/>
      <c r="BG408" s="779"/>
      <c r="BH408" s="779"/>
      <c r="BI408" s="779"/>
      <c r="BJ408" s="779"/>
      <c r="BK408" s="779"/>
      <c r="BL408" s="779"/>
      <c r="BM408" s="779"/>
      <c r="BN408" s="779"/>
      <c r="BO408" s="779"/>
      <c r="BP408" s="779"/>
      <c r="BQ408" s="779"/>
      <c r="BR408" s="779"/>
      <c r="BS408" s="779"/>
      <c r="BT408" s="779"/>
      <c r="BU408" s="779"/>
      <c r="BV408" s="779"/>
      <c r="BW408" s="779"/>
      <c r="BX408" s="779"/>
      <c r="BY408" s="779"/>
      <c r="BZ408" s="779"/>
      <c r="CA408" s="779"/>
      <c r="CB408" s="779"/>
      <c r="CC408" s="779"/>
    </row>
    <row r="409" spans="1:81">
      <c r="A409" s="779"/>
      <c r="B409" s="779"/>
      <c r="C409" s="779"/>
      <c r="D409" s="779"/>
      <c r="E409" s="779"/>
      <c r="F409" s="779"/>
      <c r="G409" s="779"/>
      <c r="H409" s="779"/>
      <c r="I409" s="779"/>
      <c r="J409" s="779"/>
      <c r="K409" s="779"/>
      <c r="L409" s="779"/>
      <c r="M409" s="779"/>
      <c r="N409" s="779"/>
      <c r="O409" s="779"/>
      <c r="P409" s="779"/>
      <c r="Q409" s="779"/>
      <c r="R409" s="779"/>
      <c r="S409" s="779"/>
      <c r="T409" s="779"/>
      <c r="U409" s="779"/>
      <c r="V409" s="779"/>
      <c r="W409" s="779"/>
      <c r="X409" s="779"/>
      <c r="Y409" s="779"/>
      <c r="Z409" s="779"/>
      <c r="AA409" s="779"/>
      <c r="AB409" s="779"/>
      <c r="AC409" s="779"/>
      <c r="AD409" s="779"/>
      <c r="AE409" s="779"/>
      <c r="AF409" s="779"/>
      <c r="AG409" s="779"/>
      <c r="AH409" s="779"/>
      <c r="AI409" s="779"/>
      <c r="AJ409" s="779"/>
      <c r="AK409" s="779"/>
      <c r="AL409" s="779"/>
      <c r="AM409" s="779"/>
      <c r="AN409" s="779"/>
      <c r="AO409" s="779"/>
      <c r="AP409" s="779"/>
      <c r="AQ409" s="779"/>
      <c r="AR409" s="779"/>
      <c r="AS409" s="779"/>
      <c r="AT409" s="779"/>
      <c r="AU409" s="779"/>
      <c r="AV409" s="779"/>
      <c r="AW409" s="779"/>
      <c r="AX409" s="779"/>
      <c r="AY409" s="779"/>
      <c r="AZ409" s="779"/>
      <c r="BA409" s="779"/>
      <c r="BB409" s="779"/>
      <c r="BC409" s="779"/>
      <c r="BD409" s="779"/>
      <c r="BE409" s="779"/>
      <c r="BF409" s="779"/>
      <c r="BG409" s="779"/>
      <c r="BH409" s="779"/>
      <c r="BI409" s="779"/>
      <c r="BJ409" s="779"/>
      <c r="BK409" s="779"/>
      <c r="BL409" s="779"/>
      <c r="BM409" s="779"/>
      <c r="BN409" s="779"/>
      <c r="BO409" s="779"/>
      <c r="BP409" s="779"/>
      <c r="BQ409" s="779"/>
      <c r="BR409" s="779"/>
      <c r="BS409" s="779"/>
      <c r="BT409" s="779"/>
      <c r="BU409" s="779"/>
      <c r="BV409" s="779"/>
      <c r="BW409" s="779"/>
      <c r="BX409" s="779"/>
      <c r="BY409" s="779"/>
      <c r="BZ409" s="779"/>
      <c r="CA409" s="779"/>
      <c r="CB409" s="779"/>
      <c r="CC409" s="779"/>
    </row>
    <row r="410" spans="1:81">
      <c r="A410" s="779"/>
      <c r="B410" s="779"/>
      <c r="C410" s="779"/>
      <c r="D410" s="779"/>
      <c r="E410" s="779"/>
      <c r="F410" s="779"/>
      <c r="G410" s="779"/>
      <c r="H410" s="779"/>
      <c r="I410" s="779"/>
      <c r="J410" s="779"/>
      <c r="K410" s="779"/>
      <c r="L410" s="779"/>
      <c r="M410" s="779"/>
      <c r="N410" s="779"/>
      <c r="O410" s="779"/>
      <c r="P410" s="779"/>
      <c r="Q410" s="779"/>
      <c r="R410" s="779"/>
      <c r="S410" s="779"/>
      <c r="T410" s="779"/>
      <c r="U410" s="779"/>
      <c r="V410" s="779"/>
      <c r="W410" s="779"/>
      <c r="X410" s="779"/>
      <c r="Y410" s="779"/>
      <c r="Z410" s="779"/>
      <c r="AA410" s="779"/>
      <c r="AB410" s="779"/>
      <c r="AC410" s="779"/>
      <c r="AD410" s="779"/>
      <c r="AE410" s="779"/>
      <c r="AF410" s="779"/>
      <c r="AG410" s="779"/>
      <c r="AH410" s="779"/>
      <c r="AI410" s="779"/>
      <c r="AJ410" s="779"/>
      <c r="AK410" s="779"/>
      <c r="AL410" s="779"/>
      <c r="AM410" s="779"/>
      <c r="AN410" s="779"/>
      <c r="AO410" s="779"/>
      <c r="AP410" s="779"/>
      <c r="AQ410" s="779"/>
      <c r="AR410" s="779"/>
      <c r="AS410" s="779"/>
      <c r="AT410" s="779"/>
      <c r="AU410" s="779"/>
      <c r="AV410" s="779"/>
      <c r="AW410" s="779"/>
      <c r="AX410" s="779"/>
      <c r="AY410" s="779"/>
      <c r="AZ410" s="779"/>
      <c r="BA410" s="779"/>
      <c r="BB410" s="779"/>
      <c r="BC410" s="779"/>
      <c r="BD410" s="779"/>
      <c r="BE410" s="779"/>
      <c r="BF410" s="779"/>
      <c r="BG410" s="779"/>
      <c r="BH410" s="779"/>
      <c r="BI410" s="779"/>
      <c r="BJ410" s="779"/>
      <c r="BK410" s="779"/>
      <c r="BL410" s="779"/>
      <c r="BM410" s="779"/>
      <c r="BN410" s="779"/>
      <c r="BO410" s="779"/>
      <c r="BP410" s="779"/>
      <c r="BQ410" s="779"/>
      <c r="BR410" s="779"/>
      <c r="BS410" s="779"/>
      <c r="BT410" s="779"/>
      <c r="BU410" s="779"/>
      <c r="BV410" s="779"/>
      <c r="BW410" s="779"/>
      <c r="BX410" s="779"/>
      <c r="BY410" s="779"/>
      <c r="BZ410" s="779"/>
      <c r="CA410" s="779"/>
      <c r="CB410" s="779"/>
      <c r="CC410" s="779"/>
    </row>
    <row r="411" spans="1:81">
      <c r="A411" s="779"/>
      <c r="B411" s="779"/>
      <c r="C411" s="779"/>
      <c r="D411" s="779"/>
      <c r="E411" s="779"/>
      <c r="F411" s="779"/>
      <c r="G411" s="779"/>
      <c r="H411" s="779"/>
      <c r="I411" s="779"/>
      <c r="J411" s="779"/>
      <c r="K411" s="779"/>
      <c r="L411" s="779"/>
      <c r="M411" s="779"/>
      <c r="N411" s="779"/>
      <c r="O411" s="779"/>
      <c r="P411" s="779"/>
      <c r="Q411" s="779"/>
      <c r="R411" s="779"/>
      <c r="S411" s="779"/>
      <c r="T411" s="779"/>
      <c r="U411" s="779"/>
      <c r="V411" s="779"/>
      <c r="W411" s="779"/>
      <c r="X411" s="779"/>
      <c r="Y411" s="779"/>
      <c r="Z411" s="779"/>
      <c r="AA411" s="779"/>
      <c r="AB411" s="779"/>
      <c r="AC411" s="779"/>
      <c r="AD411" s="779"/>
      <c r="AE411" s="779"/>
      <c r="AF411" s="779"/>
      <c r="AG411" s="779"/>
      <c r="AH411" s="779"/>
      <c r="AI411" s="779"/>
      <c r="AJ411" s="779"/>
      <c r="AK411" s="779"/>
      <c r="AL411" s="779"/>
      <c r="AM411" s="779"/>
      <c r="AN411" s="779"/>
      <c r="AO411" s="779"/>
      <c r="AP411" s="779"/>
      <c r="AQ411" s="779"/>
      <c r="AR411" s="779"/>
      <c r="AS411" s="779"/>
      <c r="AT411" s="779"/>
      <c r="AU411" s="779"/>
      <c r="AV411" s="779"/>
      <c r="AW411" s="779"/>
      <c r="AX411" s="779"/>
      <c r="AY411" s="779"/>
      <c r="AZ411" s="779"/>
      <c r="BA411" s="779"/>
      <c r="BB411" s="779"/>
      <c r="BC411" s="779"/>
      <c r="BD411" s="779"/>
      <c r="BE411" s="779"/>
      <c r="BF411" s="779"/>
      <c r="BG411" s="779"/>
      <c r="BH411" s="779"/>
      <c r="BI411" s="779"/>
      <c r="BJ411" s="779"/>
      <c r="BK411" s="779"/>
      <c r="BL411" s="779"/>
      <c r="BM411" s="779"/>
      <c r="BN411" s="779"/>
      <c r="BO411" s="779"/>
      <c r="BP411" s="779"/>
      <c r="BQ411" s="779"/>
      <c r="BR411" s="779"/>
      <c r="BS411" s="779"/>
      <c r="BT411" s="779"/>
      <c r="BU411" s="779"/>
      <c r="BV411" s="779"/>
      <c r="BW411" s="779"/>
      <c r="BX411" s="779"/>
      <c r="BY411" s="779"/>
      <c r="BZ411" s="779"/>
      <c r="CA411" s="779"/>
      <c r="CB411" s="779"/>
      <c r="CC411" s="779"/>
    </row>
    <row r="412" spans="1:81">
      <c r="A412" s="779"/>
      <c r="B412" s="779"/>
      <c r="C412" s="779"/>
      <c r="D412" s="779"/>
      <c r="E412" s="779"/>
      <c r="F412" s="779"/>
      <c r="G412" s="779"/>
      <c r="H412" s="779"/>
      <c r="I412" s="779"/>
      <c r="J412" s="779"/>
      <c r="K412" s="779"/>
      <c r="L412" s="779"/>
      <c r="M412" s="779"/>
      <c r="N412" s="779"/>
      <c r="O412" s="779"/>
      <c r="P412" s="779"/>
      <c r="Q412" s="779"/>
      <c r="R412" s="779"/>
      <c r="S412" s="779"/>
      <c r="T412" s="779"/>
      <c r="U412" s="779"/>
      <c r="V412" s="779"/>
      <c r="W412" s="779"/>
      <c r="X412" s="779"/>
      <c r="Y412" s="779"/>
      <c r="Z412" s="779"/>
      <c r="AA412" s="779"/>
      <c r="AB412" s="779"/>
      <c r="AC412" s="779"/>
      <c r="AD412" s="779"/>
      <c r="AE412" s="779"/>
      <c r="AF412" s="779"/>
      <c r="AG412" s="779"/>
      <c r="AH412" s="779"/>
      <c r="AI412" s="779"/>
      <c r="AJ412" s="779"/>
      <c r="AK412" s="779"/>
      <c r="AL412" s="779"/>
      <c r="AM412" s="779"/>
      <c r="AN412" s="779"/>
      <c r="AO412" s="779"/>
      <c r="AP412" s="779"/>
      <c r="AQ412" s="779"/>
      <c r="AR412" s="779"/>
      <c r="AS412" s="779"/>
      <c r="AT412" s="779"/>
      <c r="AU412" s="779"/>
      <c r="AV412" s="779"/>
      <c r="AW412" s="779"/>
      <c r="AX412" s="779"/>
      <c r="AY412" s="779"/>
      <c r="AZ412" s="779"/>
      <c r="BA412" s="779"/>
      <c r="BB412" s="779"/>
      <c r="BC412" s="779"/>
      <c r="BD412" s="779"/>
      <c r="BE412" s="779"/>
      <c r="BF412" s="779"/>
      <c r="BG412" s="779"/>
      <c r="BH412" s="779"/>
      <c r="BI412" s="779"/>
      <c r="BJ412" s="779"/>
      <c r="BK412" s="779"/>
      <c r="BL412" s="779"/>
      <c r="BM412" s="779"/>
      <c r="BN412" s="779"/>
      <c r="BO412" s="779"/>
      <c r="BP412" s="779"/>
      <c r="BQ412" s="779"/>
      <c r="BR412" s="779"/>
      <c r="BS412" s="779"/>
      <c r="BT412" s="779"/>
      <c r="BU412" s="779"/>
      <c r="BV412" s="779"/>
      <c r="BW412" s="779"/>
      <c r="BX412" s="779"/>
      <c r="BY412" s="779"/>
      <c r="BZ412" s="779"/>
      <c r="CA412" s="779"/>
      <c r="CB412" s="779"/>
      <c r="CC412" s="779"/>
    </row>
    <row r="413" spans="1:81">
      <c r="A413" s="779"/>
      <c r="B413" s="779"/>
      <c r="C413" s="779"/>
      <c r="D413" s="779"/>
      <c r="E413" s="779"/>
      <c r="F413" s="779"/>
      <c r="G413" s="779"/>
      <c r="H413" s="779"/>
      <c r="I413" s="779"/>
      <c r="J413" s="779"/>
      <c r="K413" s="779"/>
      <c r="L413" s="779"/>
      <c r="M413" s="779"/>
      <c r="N413" s="779"/>
      <c r="O413" s="779"/>
      <c r="P413" s="779"/>
      <c r="Q413" s="779"/>
      <c r="R413" s="779"/>
      <c r="S413" s="779"/>
      <c r="T413" s="779"/>
      <c r="U413" s="779"/>
      <c r="V413" s="779"/>
      <c r="W413" s="779"/>
      <c r="X413" s="779"/>
      <c r="Y413" s="779"/>
      <c r="Z413" s="779"/>
      <c r="AA413" s="779"/>
      <c r="AB413" s="779"/>
      <c r="AC413" s="779"/>
      <c r="AD413" s="779"/>
      <c r="AE413" s="779"/>
      <c r="AF413" s="779"/>
      <c r="AG413" s="779"/>
      <c r="AH413" s="779"/>
      <c r="AI413" s="779"/>
      <c r="AJ413" s="779"/>
      <c r="AK413" s="779"/>
      <c r="AL413" s="779"/>
      <c r="AM413" s="779"/>
      <c r="AN413" s="779"/>
      <c r="AO413" s="779"/>
      <c r="AP413" s="779"/>
      <c r="AQ413" s="779"/>
      <c r="AR413" s="779"/>
      <c r="AS413" s="779"/>
      <c r="AT413" s="779"/>
      <c r="AU413" s="779"/>
      <c r="AV413" s="779"/>
      <c r="AW413" s="779"/>
      <c r="AX413" s="779"/>
      <c r="AY413" s="779"/>
      <c r="AZ413" s="779"/>
      <c r="BA413" s="779"/>
      <c r="BB413" s="779"/>
      <c r="BC413" s="779"/>
      <c r="BD413" s="779"/>
      <c r="BE413" s="779"/>
      <c r="BF413" s="779"/>
      <c r="BG413" s="779"/>
      <c r="BH413" s="779"/>
      <c r="BI413" s="779"/>
      <c r="BJ413" s="779"/>
      <c r="BK413" s="779"/>
      <c r="BL413" s="779"/>
      <c r="BM413" s="779"/>
      <c r="BN413" s="779"/>
      <c r="BO413" s="779"/>
      <c r="BP413" s="779"/>
      <c r="BQ413" s="779"/>
      <c r="BR413" s="779"/>
      <c r="BS413" s="779"/>
      <c r="BT413" s="779"/>
      <c r="BU413" s="779"/>
      <c r="BV413" s="779"/>
      <c r="BW413" s="779"/>
      <c r="BX413" s="779"/>
      <c r="BY413" s="779"/>
      <c r="BZ413" s="779"/>
      <c r="CA413" s="779"/>
      <c r="CB413" s="779"/>
      <c r="CC413" s="779"/>
    </row>
    <row r="414" spans="1:81">
      <c r="A414" s="779"/>
      <c r="B414" s="779"/>
      <c r="C414" s="779"/>
      <c r="D414" s="779"/>
      <c r="E414" s="779"/>
      <c r="F414" s="779"/>
      <c r="G414" s="779"/>
      <c r="H414" s="779"/>
      <c r="I414" s="779"/>
      <c r="J414" s="779"/>
      <c r="K414" s="779"/>
      <c r="L414" s="779"/>
      <c r="M414" s="779"/>
      <c r="N414" s="779"/>
      <c r="O414" s="779"/>
      <c r="P414" s="779"/>
      <c r="Q414" s="779"/>
      <c r="R414" s="779"/>
      <c r="S414" s="779"/>
      <c r="T414" s="779"/>
      <c r="U414" s="779"/>
      <c r="V414" s="779"/>
      <c r="W414" s="779"/>
      <c r="X414" s="779"/>
      <c r="Y414" s="779"/>
      <c r="Z414" s="779"/>
      <c r="AA414" s="779"/>
      <c r="AB414" s="779"/>
      <c r="AC414" s="779"/>
      <c r="AD414" s="779"/>
      <c r="AE414" s="779"/>
      <c r="AF414" s="779"/>
      <c r="AG414" s="779"/>
      <c r="AH414" s="779"/>
      <c r="AI414" s="779"/>
      <c r="AJ414" s="779"/>
      <c r="AK414" s="779"/>
      <c r="AL414" s="779"/>
      <c r="AM414" s="779"/>
      <c r="AN414" s="779"/>
      <c r="AO414" s="779"/>
      <c r="AP414" s="779"/>
      <c r="AQ414" s="779"/>
      <c r="AR414" s="779"/>
      <c r="AS414" s="779"/>
      <c r="AT414" s="779"/>
      <c r="AU414" s="779"/>
      <c r="AV414" s="779"/>
      <c r="AW414" s="779"/>
      <c r="AX414" s="779"/>
      <c r="AY414" s="779"/>
      <c r="AZ414" s="779"/>
      <c r="BA414" s="779"/>
      <c r="BB414" s="779"/>
      <c r="BC414" s="779"/>
      <c r="BD414" s="779"/>
      <c r="BE414" s="779"/>
      <c r="BF414" s="779"/>
      <c r="BG414" s="779"/>
      <c r="BH414" s="779"/>
      <c r="BI414" s="779"/>
      <c r="BJ414" s="779"/>
      <c r="BK414" s="779"/>
      <c r="BL414" s="779"/>
      <c r="BM414" s="779"/>
      <c r="BN414" s="779"/>
      <c r="BO414" s="779"/>
      <c r="BP414" s="779"/>
      <c r="BQ414" s="779"/>
      <c r="BR414" s="779"/>
      <c r="BS414" s="779"/>
      <c r="BT414" s="779"/>
      <c r="BU414" s="779"/>
      <c r="BV414" s="779"/>
      <c r="BW414" s="779"/>
      <c r="BX414" s="779"/>
      <c r="BY414" s="779"/>
      <c r="BZ414" s="779"/>
      <c r="CA414" s="779"/>
      <c r="CB414" s="779"/>
      <c r="CC414" s="779"/>
    </row>
    <row r="415" spans="1:81">
      <c r="A415" s="779"/>
      <c r="B415" s="779"/>
      <c r="C415" s="779"/>
      <c r="D415" s="779"/>
      <c r="E415" s="779"/>
      <c r="F415" s="779"/>
      <c r="G415" s="779"/>
      <c r="H415" s="779"/>
      <c r="I415" s="779"/>
      <c r="J415" s="779"/>
      <c r="K415" s="779"/>
      <c r="L415" s="779"/>
      <c r="M415" s="779"/>
      <c r="N415" s="779"/>
      <c r="O415" s="779"/>
      <c r="P415" s="779"/>
      <c r="Q415" s="779"/>
      <c r="R415" s="779"/>
      <c r="S415" s="779"/>
      <c r="T415" s="779"/>
      <c r="U415" s="779"/>
      <c r="V415" s="779"/>
      <c r="W415" s="779"/>
      <c r="X415" s="779"/>
      <c r="Y415" s="779"/>
      <c r="Z415" s="779"/>
      <c r="AA415" s="779"/>
      <c r="AB415" s="779"/>
      <c r="AC415" s="779"/>
      <c r="AD415" s="779"/>
      <c r="AE415" s="779"/>
      <c r="AF415" s="779"/>
      <c r="AG415" s="779"/>
      <c r="AH415" s="779"/>
      <c r="AI415" s="779"/>
      <c r="AJ415" s="779"/>
      <c r="AK415" s="779"/>
      <c r="AL415" s="779"/>
      <c r="AM415" s="779"/>
      <c r="AN415" s="779"/>
      <c r="AO415" s="779"/>
      <c r="AP415" s="779"/>
      <c r="AQ415" s="779"/>
      <c r="AR415" s="779"/>
      <c r="AS415" s="779"/>
      <c r="AT415" s="779"/>
      <c r="AU415" s="779"/>
      <c r="AV415" s="779"/>
      <c r="AW415" s="779"/>
      <c r="AX415" s="779"/>
      <c r="AY415" s="779"/>
      <c r="AZ415" s="779"/>
      <c r="BA415" s="779"/>
      <c r="BB415" s="779"/>
      <c r="BC415" s="779"/>
      <c r="BD415" s="779"/>
      <c r="BE415" s="779"/>
      <c r="BF415" s="779"/>
      <c r="BG415" s="779"/>
      <c r="BH415" s="779"/>
      <c r="BI415" s="779"/>
      <c r="BJ415" s="779"/>
      <c r="BK415" s="779"/>
      <c r="BL415" s="779"/>
      <c r="BM415" s="779"/>
      <c r="BN415" s="779"/>
      <c r="BO415" s="779"/>
      <c r="BP415" s="779"/>
      <c r="BQ415" s="779"/>
      <c r="BR415" s="779"/>
      <c r="BS415" s="779"/>
      <c r="BT415" s="779"/>
      <c r="BU415" s="779"/>
      <c r="BV415" s="779"/>
      <c r="BW415" s="779"/>
      <c r="BX415" s="779"/>
      <c r="BY415" s="779"/>
      <c r="BZ415" s="779"/>
      <c r="CA415" s="779"/>
      <c r="CB415" s="779"/>
      <c r="CC415" s="779"/>
    </row>
    <row r="416" spans="1:81">
      <c r="A416" s="779"/>
      <c r="B416" s="779"/>
      <c r="C416" s="779"/>
      <c r="D416" s="779"/>
      <c r="E416" s="779"/>
      <c r="F416" s="779"/>
      <c r="G416" s="779"/>
      <c r="H416" s="779"/>
      <c r="I416" s="779"/>
      <c r="J416" s="779"/>
      <c r="K416" s="779"/>
      <c r="L416" s="779"/>
      <c r="M416" s="779"/>
      <c r="N416" s="779"/>
      <c r="O416" s="779"/>
      <c r="P416" s="779"/>
      <c r="Q416" s="779"/>
      <c r="R416" s="779"/>
      <c r="S416" s="779"/>
      <c r="T416" s="779"/>
      <c r="U416" s="779"/>
      <c r="V416" s="779"/>
      <c r="W416" s="779"/>
      <c r="X416" s="779"/>
      <c r="Y416" s="779"/>
      <c r="Z416" s="779"/>
      <c r="AA416" s="779"/>
      <c r="AB416" s="779"/>
      <c r="AC416" s="779"/>
      <c r="AD416" s="779"/>
      <c r="AE416" s="779"/>
      <c r="AF416" s="779"/>
      <c r="AG416" s="779"/>
      <c r="AH416" s="779"/>
      <c r="AI416" s="779"/>
      <c r="AJ416" s="779"/>
      <c r="AK416" s="779"/>
      <c r="AL416" s="779"/>
      <c r="AM416" s="779"/>
      <c r="AN416" s="779"/>
      <c r="AO416" s="779"/>
      <c r="AP416" s="779"/>
      <c r="AQ416" s="779"/>
      <c r="AR416" s="779"/>
      <c r="AS416" s="779"/>
      <c r="AT416" s="779"/>
      <c r="AU416" s="779"/>
      <c r="AV416" s="779"/>
      <c r="AW416" s="779"/>
      <c r="AX416" s="779"/>
      <c r="AY416" s="779"/>
      <c r="AZ416" s="779"/>
      <c r="BA416" s="779"/>
      <c r="BB416" s="779"/>
      <c r="BC416" s="779"/>
      <c r="BD416" s="779"/>
      <c r="BE416" s="779"/>
      <c r="BF416" s="779"/>
      <c r="BG416" s="779"/>
      <c r="BH416" s="779"/>
      <c r="BI416" s="779"/>
      <c r="BJ416" s="779"/>
      <c r="BK416" s="779"/>
      <c r="BL416" s="779"/>
      <c r="BM416" s="779"/>
      <c r="BN416" s="779"/>
      <c r="BO416" s="779"/>
      <c r="BP416" s="779"/>
      <c r="BQ416" s="779"/>
      <c r="BR416" s="779"/>
      <c r="BS416" s="779"/>
      <c r="BT416" s="779"/>
      <c r="BU416" s="779"/>
      <c r="BV416" s="779"/>
      <c r="BW416" s="779"/>
      <c r="BX416" s="779"/>
      <c r="BY416" s="779"/>
      <c r="BZ416" s="779"/>
      <c r="CA416" s="779"/>
      <c r="CB416" s="779"/>
      <c r="CC416" s="779"/>
    </row>
    <row r="417" spans="1:81">
      <c r="A417" s="779"/>
      <c r="B417" s="779"/>
      <c r="C417" s="779"/>
      <c r="D417" s="779"/>
      <c r="E417" s="779"/>
      <c r="F417" s="779"/>
      <c r="G417" s="779"/>
      <c r="H417" s="779"/>
      <c r="I417" s="779"/>
      <c r="J417" s="779"/>
      <c r="K417" s="779"/>
      <c r="L417" s="779"/>
      <c r="M417" s="779"/>
      <c r="N417" s="779"/>
      <c r="O417" s="779"/>
      <c r="P417" s="779"/>
      <c r="Q417" s="779"/>
      <c r="R417" s="779"/>
      <c r="S417" s="779"/>
      <c r="T417" s="779"/>
      <c r="U417" s="779"/>
      <c r="V417" s="779"/>
      <c r="W417" s="779"/>
      <c r="X417" s="779"/>
      <c r="Y417" s="779"/>
      <c r="Z417" s="779"/>
      <c r="AA417" s="779"/>
      <c r="AB417" s="779"/>
      <c r="AC417" s="779"/>
      <c r="AD417" s="779"/>
      <c r="AE417" s="779"/>
      <c r="AF417" s="779"/>
      <c r="AG417" s="779"/>
      <c r="AH417" s="779"/>
      <c r="AI417" s="779"/>
      <c r="AJ417" s="779"/>
      <c r="AK417" s="779"/>
      <c r="AL417" s="779"/>
      <c r="AM417" s="779"/>
      <c r="AN417" s="779"/>
      <c r="AO417" s="779"/>
      <c r="AP417" s="779"/>
      <c r="AQ417" s="779"/>
      <c r="AR417" s="779"/>
      <c r="AS417" s="779"/>
      <c r="AT417" s="779"/>
      <c r="AU417" s="779"/>
      <c r="AV417" s="779"/>
      <c r="AW417" s="779"/>
      <c r="AX417" s="779"/>
      <c r="AY417" s="779"/>
      <c r="AZ417" s="779"/>
      <c r="BA417" s="779"/>
      <c r="BB417" s="779"/>
      <c r="BC417" s="779"/>
      <c r="BD417" s="779"/>
      <c r="BE417" s="779"/>
      <c r="BF417" s="779"/>
      <c r="BG417" s="779"/>
      <c r="BH417" s="779"/>
      <c r="BI417" s="779"/>
      <c r="BJ417" s="779"/>
      <c r="BK417" s="779"/>
      <c r="BL417" s="779"/>
      <c r="BM417" s="779"/>
      <c r="BN417" s="779"/>
      <c r="BO417" s="779"/>
      <c r="BP417" s="779"/>
      <c r="BQ417" s="779"/>
      <c r="BR417" s="779"/>
      <c r="BS417" s="779"/>
      <c r="BT417" s="779"/>
      <c r="BU417" s="779"/>
      <c r="BV417" s="779"/>
      <c r="BW417" s="779"/>
      <c r="BX417" s="779"/>
      <c r="BY417" s="779"/>
      <c r="BZ417" s="779"/>
      <c r="CA417" s="779"/>
      <c r="CB417" s="779"/>
      <c r="CC417" s="779"/>
    </row>
    <row r="418" spans="1:81">
      <c r="A418" s="779"/>
      <c r="B418" s="779"/>
      <c r="C418" s="779"/>
      <c r="D418" s="779"/>
      <c r="E418" s="779"/>
      <c r="F418" s="779"/>
      <c r="G418" s="779"/>
      <c r="H418" s="779"/>
      <c r="I418" s="779"/>
      <c r="J418" s="779"/>
      <c r="K418" s="779"/>
      <c r="L418" s="779"/>
      <c r="M418" s="779"/>
      <c r="N418" s="779"/>
      <c r="O418" s="779"/>
      <c r="P418" s="779"/>
      <c r="Q418" s="779"/>
      <c r="R418" s="779"/>
      <c r="S418" s="779"/>
      <c r="T418" s="779"/>
      <c r="U418" s="779"/>
      <c r="V418" s="779"/>
      <c r="W418" s="779"/>
      <c r="X418" s="779"/>
      <c r="Y418" s="779"/>
      <c r="Z418" s="779"/>
      <c r="AA418" s="779"/>
      <c r="AB418" s="779"/>
      <c r="AC418" s="779"/>
      <c r="AD418" s="779"/>
      <c r="AE418" s="779"/>
      <c r="AF418" s="779"/>
      <c r="AG418" s="779"/>
      <c r="AH418" s="779"/>
      <c r="AI418" s="779"/>
      <c r="AJ418" s="779"/>
      <c r="AK418" s="779"/>
      <c r="AL418" s="779"/>
      <c r="AM418" s="779"/>
      <c r="AN418" s="779"/>
      <c r="AO418" s="779"/>
      <c r="AP418" s="779"/>
      <c r="AQ418" s="779"/>
      <c r="AR418" s="779"/>
      <c r="AS418" s="779"/>
      <c r="AT418" s="779"/>
      <c r="AU418" s="779"/>
      <c r="AV418" s="779"/>
      <c r="AW418" s="779"/>
      <c r="AX418" s="779"/>
      <c r="AY418" s="779"/>
      <c r="AZ418" s="779"/>
      <c r="BA418" s="779"/>
      <c r="BB418" s="779"/>
      <c r="BC418" s="779"/>
      <c r="BD418" s="779"/>
      <c r="BE418" s="779"/>
      <c r="BF418" s="779"/>
      <c r="BG418" s="779"/>
      <c r="BH418" s="779"/>
      <c r="BI418" s="779"/>
      <c r="BJ418" s="779"/>
      <c r="BK418" s="779"/>
      <c r="BL418" s="779"/>
      <c r="BM418" s="779"/>
      <c r="BN418" s="779"/>
      <c r="BO418" s="779"/>
      <c r="BP418" s="779"/>
      <c r="BQ418" s="779"/>
      <c r="BR418" s="779"/>
      <c r="BS418" s="779"/>
      <c r="BT418" s="779"/>
      <c r="BU418" s="779"/>
      <c r="BV418" s="779"/>
      <c r="BW418" s="779"/>
      <c r="BX418" s="779"/>
      <c r="BY418" s="779"/>
      <c r="BZ418" s="779"/>
      <c r="CA418" s="779"/>
      <c r="CB418" s="779"/>
      <c r="CC418" s="779"/>
    </row>
    <row r="419" spans="1:81">
      <c r="A419" s="779"/>
      <c r="B419" s="779"/>
      <c r="C419" s="779"/>
      <c r="D419" s="779"/>
      <c r="E419" s="779"/>
      <c r="F419" s="779"/>
      <c r="G419" s="779"/>
      <c r="H419" s="779"/>
      <c r="I419" s="779"/>
      <c r="J419" s="779"/>
      <c r="K419" s="779"/>
      <c r="L419" s="779"/>
      <c r="M419" s="779"/>
      <c r="N419" s="779"/>
      <c r="O419" s="779"/>
      <c r="P419" s="779"/>
      <c r="Q419" s="779"/>
      <c r="R419" s="779"/>
      <c r="S419" s="779"/>
      <c r="T419" s="779"/>
      <c r="U419" s="779"/>
      <c r="V419" s="779"/>
      <c r="W419" s="779"/>
      <c r="X419" s="779"/>
      <c r="Y419" s="779"/>
      <c r="Z419" s="779"/>
      <c r="AA419" s="779"/>
      <c r="AB419" s="779"/>
      <c r="AC419" s="779"/>
      <c r="AD419" s="779"/>
      <c r="AE419" s="779"/>
      <c r="AF419" s="779"/>
      <c r="AG419" s="779"/>
      <c r="AH419" s="779"/>
      <c r="AI419" s="779"/>
      <c r="AJ419" s="779"/>
      <c r="AK419" s="779"/>
      <c r="AL419" s="779"/>
      <c r="AM419" s="779"/>
      <c r="AN419" s="779"/>
      <c r="AO419" s="779"/>
      <c r="AP419" s="779"/>
      <c r="AQ419" s="779"/>
      <c r="AR419" s="779"/>
      <c r="AS419" s="779"/>
      <c r="AT419" s="779"/>
      <c r="AU419" s="779"/>
      <c r="AV419" s="779"/>
      <c r="AW419" s="779"/>
      <c r="AX419" s="779"/>
      <c r="AY419" s="779"/>
      <c r="AZ419" s="779"/>
      <c r="BA419" s="779"/>
      <c r="BB419" s="779"/>
      <c r="BC419" s="779"/>
      <c r="BD419" s="779"/>
      <c r="BE419" s="779"/>
      <c r="BF419" s="779"/>
      <c r="BG419" s="779"/>
      <c r="BH419" s="779"/>
      <c r="BI419" s="779"/>
      <c r="BJ419" s="779"/>
      <c r="BK419" s="779"/>
      <c r="BL419" s="779"/>
      <c r="BM419" s="779"/>
      <c r="BN419" s="779"/>
      <c r="BO419" s="779"/>
      <c r="BP419" s="779"/>
      <c r="BQ419" s="779"/>
      <c r="BR419" s="779"/>
      <c r="BS419" s="779"/>
      <c r="BT419" s="779"/>
      <c r="BU419" s="779"/>
      <c r="BV419" s="779"/>
      <c r="BW419" s="779"/>
      <c r="BX419" s="779"/>
      <c r="BY419" s="779"/>
      <c r="BZ419" s="779"/>
      <c r="CA419" s="779"/>
      <c r="CB419" s="779"/>
      <c r="CC419" s="779"/>
    </row>
    <row r="420" spans="1:81">
      <c r="A420" s="779"/>
      <c r="B420" s="779"/>
      <c r="C420" s="779"/>
      <c r="D420" s="779"/>
      <c r="E420" s="779"/>
      <c r="F420" s="779"/>
      <c r="G420" s="779"/>
      <c r="H420" s="779"/>
      <c r="I420" s="779"/>
      <c r="J420" s="779"/>
      <c r="K420" s="779"/>
      <c r="L420" s="779"/>
      <c r="M420" s="779"/>
      <c r="N420" s="779"/>
      <c r="O420" s="779"/>
      <c r="P420" s="779"/>
      <c r="Q420" s="779"/>
      <c r="R420" s="779"/>
      <c r="S420" s="779"/>
      <c r="T420" s="779"/>
      <c r="U420" s="779"/>
      <c r="V420" s="779"/>
      <c r="W420" s="779"/>
      <c r="X420" s="779"/>
      <c r="Y420" s="779"/>
      <c r="Z420" s="779"/>
      <c r="AA420" s="779"/>
      <c r="AB420" s="779"/>
      <c r="AC420" s="779"/>
      <c r="AD420" s="779"/>
      <c r="AE420" s="779"/>
      <c r="AF420" s="779"/>
      <c r="AG420" s="779"/>
      <c r="AH420" s="779"/>
      <c r="AI420" s="779"/>
      <c r="AJ420" s="779"/>
      <c r="AK420" s="779"/>
      <c r="AL420" s="779"/>
      <c r="AM420" s="779"/>
      <c r="AN420" s="779"/>
      <c r="AO420" s="779"/>
      <c r="AP420" s="779"/>
      <c r="AQ420" s="779"/>
      <c r="AR420" s="779"/>
      <c r="AS420" s="779"/>
      <c r="AT420" s="779"/>
      <c r="AU420" s="779"/>
      <c r="AV420" s="779"/>
      <c r="AW420" s="779"/>
      <c r="AX420" s="779"/>
      <c r="AY420" s="779"/>
      <c r="AZ420" s="779"/>
      <c r="BA420" s="779"/>
      <c r="BB420" s="779"/>
      <c r="BC420" s="779"/>
      <c r="BD420" s="779"/>
      <c r="BE420" s="779"/>
      <c r="BF420" s="779"/>
      <c r="BG420" s="779"/>
      <c r="BH420" s="779"/>
      <c r="BI420" s="779"/>
      <c r="BJ420" s="779"/>
      <c r="BK420" s="779"/>
      <c r="BL420" s="779"/>
      <c r="BM420" s="779"/>
      <c r="BN420" s="779"/>
      <c r="BO420" s="779"/>
      <c r="BP420" s="779"/>
      <c r="BQ420" s="779"/>
      <c r="BR420" s="779"/>
      <c r="BS420" s="779"/>
      <c r="BT420" s="779"/>
      <c r="BU420" s="779"/>
      <c r="BV420" s="779"/>
      <c r="BW420" s="779"/>
      <c r="BX420" s="779"/>
      <c r="BY420" s="779"/>
      <c r="BZ420" s="779"/>
      <c r="CA420" s="779"/>
      <c r="CB420" s="779"/>
      <c r="CC420" s="779"/>
    </row>
    <row r="421" spans="1:81">
      <c r="A421" s="779"/>
      <c r="B421" s="779"/>
      <c r="C421" s="779"/>
      <c r="D421" s="779"/>
      <c r="E421" s="779"/>
      <c r="F421" s="779"/>
      <c r="G421" s="779"/>
      <c r="H421" s="779"/>
      <c r="I421" s="779"/>
      <c r="J421" s="779"/>
      <c r="K421" s="779"/>
      <c r="L421" s="779"/>
      <c r="M421" s="779"/>
      <c r="N421" s="779"/>
      <c r="O421" s="779"/>
      <c r="P421" s="779"/>
      <c r="Q421" s="779"/>
      <c r="R421" s="779"/>
      <c r="S421" s="779"/>
      <c r="T421" s="779"/>
      <c r="U421" s="779"/>
      <c r="V421" s="779"/>
      <c r="W421" s="779"/>
      <c r="X421" s="779"/>
      <c r="Y421" s="779"/>
      <c r="Z421" s="779"/>
      <c r="AA421" s="779"/>
      <c r="AB421" s="779"/>
      <c r="AC421" s="779"/>
      <c r="AD421" s="779"/>
      <c r="AE421" s="779"/>
      <c r="AF421" s="779"/>
      <c r="AG421" s="779"/>
      <c r="AH421" s="779"/>
      <c r="AI421" s="779"/>
      <c r="AJ421" s="779"/>
      <c r="AK421" s="779"/>
      <c r="AL421" s="779"/>
      <c r="AM421" s="779"/>
      <c r="AN421" s="779"/>
      <c r="AO421" s="779"/>
      <c r="AP421" s="779"/>
      <c r="AQ421" s="779"/>
      <c r="AR421" s="779"/>
      <c r="AS421" s="779"/>
      <c r="AT421" s="779"/>
      <c r="AU421" s="779"/>
      <c r="AV421" s="779"/>
      <c r="AW421" s="779"/>
      <c r="AX421" s="779"/>
      <c r="AY421" s="779"/>
      <c r="AZ421" s="779"/>
      <c r="BA421" s="779"/>
      <c r="BB421" s="779"/>
      <c r="BC421" s="779"/>
      <c r="BD421" s="779"/>
      <c r="BE421" s="779"/>
      <c r="BF421" s="779"/>
      <c r="BG421" s="779"/>
      <c r="BH421" s="779"/>
      <c r="BI421" s="779"/>
      <c r="BJ421" s="779"/>
      <c r="BK421" s="779"/>
      <c r="BL421" s="779"/>
      <c r="BM421" s="779"/>
      <c r="BN421" s="779"/>
      <c r="BO421" s="779"/>
      <c r="BP421" s="779"/>
      <c r="BQ421" s="779"/>
      <c r="BR421" s="779"/>
      <c r="BS421" s="779"/>
      <c r="BT421" s="779"/>
      <c r="BU421" s="779"/>
      <c r="BV421" s="779"/>
      <c r="BW421" s="779"/>
      <c r="BX421" s="779"/>
      <c r="BY421" s="779"/>
      <c r="BZ421" s="779"/>
      <c r="CA421" s="779"/>
      <c r="CB421" s="779"/>
      <c r="CC421" s="779"/>
    </row>
    <row r="422" spans="1:81">
      <c r="A422" s="779"/>
      <c r="B422" s="779"/>
      <c r="C422" s="779"/>
      <c r="D422" s="779"/>
      <c r="E422" s="779"/>
      <c r="F422" s="779"/>
      <c r="G422" s="779"/>
      <c r="H422" s="779"/>
      <c r="I422" s="779"/>
      <c r="J422" s="779"/>
      <c r="K422" s="779"/>
      <c r="L422" s="779"/>
      <c r="M422" s="779"/>
      <c r="N422" s="779"/>
      <c r="O422" s="779"/>
      <c r="P422" s="779"/>
      <c r="Q422" s="779"/>
      <c r="R422" s="779"/>
      <c r="S422" s="779"/>
      <c r="T422" s="779"/>
      <c r="U422" s="779"/>
      <c r="V422" s="779"/>
      <c r="W422" s="779"/>
      <c r="X422" s="779"/>
      <c r="Y422" s="779"/>
      <c r="Z422" s="779"/>
      <c r="AA422" s="779"/>
      <c r="AB422" s="779"/>
      <c r="AC422" s="779"/>
      <c r="AD422" s="779"/>
      <c r="AE422" s="779"/>
      <c r="AF422" s="779"/>
      <c r="AG422" s="779"/>
      <c r="AH422" s="779"/>
      <c r="AI422" s="779"/>
      <c r="AJ422" s="779"/>
      <c r="AK422" s="779"/>
      <c r="AL422" s="779"/>
      <c r="AM422" s="779"/>
      <c r="AN422" s="779"/>
      <c r="AO422" s="779"/>
      <c r="AP422" s="779"/>
      <c r="AQ422" s="779"/>
      <c r="AR422" s="779"/>
      <c r="AS422" s="779"/>
      <c r="AT422" s="779"/>
      <c r="AU422" s="779"/>
      <c r="AV422" s="779"/>
      <c r="AW422" s="779"/>
      <c r="AX422" s="779"/>
      <c r="AY422" s="779"/>
      <c r="AZ422" s="779"/>
      <c r="BA422" s="779"/>
      <c r="BB422" s="779"/>
      <c r="BC422" s="779"/>
      <c r="BD422" s="779"/>
      <c r="BE422" s="779"/>
      <c r="BF422" s="779"/>
      <c r="BG422" s="779"/>
      <c r="BH422" s="779"/>
      <c r="BI422" s="779"/>
      <c r="BJ422" s="779"/>
      <c r="BK422" s="779"/>
      <c r="BL422" s="779"/>
      <c r="BM422" s="779"/>
      <c r="BN422" s="779"/>
      <c r="BO422" s="779"/>
      <c r="BP422" s="779"/>
      <c r="BQ422" s="779"/>
      <c r="BR422" s="779"/>
      <c r="BS422" s="779"/>
      <c r="BT422" s="779"/>
      <c r="BU422" s="779"/>
      <c r="BV422" s="779"/>
      <c r="BW422" s="779"/>
      <c r="BX422" s="779"/>
      <c r="BY422" s="779"/>
      <c r="BZ422" s="779"/>
      <c r="CA422" s="779"/>
      <c r="CB422" s="779"/>
      <c r="CC422" s="779"/>
    </row>
    <row r="423" spans="1:81">
      <c r="A423" s="779"/>
      <c r="B423" s="779"/>
      <c r="C423" s="779"/>
      <c r="D423" s="779"/>
      <c r="E423" s="779"/>
      <c r="F423" s="779"/>
      <c r="G423" s="779"/>
      <c r="H423" s="779"/>
      <c r="I423" s="779"/>
      <c r="J423" s="779"/>
      <c r="K423" s="779"/>
      <c r="L423" s="779"/>
      <c r="M423" s="779"/>
      <c r="N423" s="779"/>
      <c r="O423" s="779"/>
      <c r="P423" s="779"/>
      <c r="Q423" s="779"/>
      <c r="R423" s="779"/>
      <c r="S423" s="779"/>
      <c r="T423" s="779"/>
      <c r="U423" s="779"/>
      <c r="V423" s="779"/>
      <c r="W423" s="779"/>
      <c r="X423" s="779"/>
      <c r="Y423" s="779"/>
      <c r="Z423" s="779"/>
      <c r="AA423" s="779"/>
      <c r="AB423" s="779"/>
      <c r="AC423" s="779"/>
      <c r="AD423" s="779"/>
      <c r="AE423" s="779"/>
      <c r="AF423" s="779"/>
      <c r="AG423" s="779"/>
      <c r="AH423" s="779"/>
      <c r="AI423" s="779"/>
      <c r="AJ423" s="779"/>
      <c r="AK423" s="779"/>
      <c r="AL423" s="779"/>
      <c r="AM423" s="779"/>
      <c r="AN423" s="779"/>
      <c r="AO423" s="779"/>
      <c r="AP423" s="779"/>
      <c r="AQ423" s="779"/>
      <c r="AR423" s="779"/>
      <c r="AS423" s="779"/>
      <c r="AT423" s="779"/>
      <c r="AU423" s="779"/>
      <c r="AV423" s="779"/>
      <c r="AW423" s="779"/>
      <c r="AX423" s="779"/>
      <c r="AY423" s="779"/>
      <c r="AZ423" s="779"/>
      <c r="BA423" s="779"/>
      <c r="BB423" s="779"/>
      <c r="BC423" s="779"/>
      <c r="BD423" s="779"/>
      <c r="BE423" s="779"/>
      <c r="BF423" s="779"/>
      <c r="BG423" s="779"/>
      <c r="BH423" s="779"/>
      <c r="BI423" s="779"/>
      <c r="BJ423" s="779"/>
      <c r="BK423" s="779"/>
      <c r="BL423" s="779"/>
      <c r="BM423" s="779"/>
      <c r="BN423" s="779"/>
      <c r="BO423" s="779"/>
      <c r="BP423" s="779"/>
      <c r="BQ423" s="779"/>
      <c r="BR423" s="779"/>
      <c r="BS423" s="779"/>
      <c r="BT423" s="779"/>
      <c r="BU423" s="779"/>
      <c r="BV423" s="779"/>
      <c r="BW423" s="779"/>
      <c r="BX423" s="779"/>
      <c r="BY423" s="779"/>
      <c r="BZ423" s="779"/>
      <c r="CA423" s="779"/>
      <c r="CB423" s="779"/>
      <c r="CC423" s="779"/>
    </row>
    <row r="424" spans="1:81">
      <c r="A424" s="779"/>
      <c r="B424" s="779"/>
      <c r="C424" s="779"/>
      <c r="D424" s="779"/>
      <c r="E424" s="779"/>
      <c r="F424" s="779"/>
      <c r="G424" s="779"/>
      <c r="H424" s="779"/>
      <c r="I424" s="779"/>
      <c r="J424" s="779"/>
      <c r="K424" s="779"/>
      <c r="L424" s="779"/>
      <c r="M424" s="779"/>
      <c r="N424" s="779"/>
      <c r="O424" s="779"/>
      <c r="P424" s="779"/>
      <c r="Q424" s="779"/>
      <c r="R424" s="779"/>
      <c r="S424" s="779"/>
      <c r="T424" s="779"/>
      <c r="U424" s="779"/>
      <c r="V424" s="779"/>
      <c r="W424" s="779"/>
      <c r="X424" s="779"/>
      <c r="Y424" s="779"/>
      <c r="Z424" s="779"/>
      <c r="AA424" s="779"/>
      <c r="AB424" s="779"/>
      <c r="AC424" s="779"/>
      <c r="AD424" s="779"/>
      <c r="AE424" s="779"/>
      <c r="AF424" s="779"/>
      <c r="AG424" s="779"/>
      <c r="AH424" s="779"/>
      <c r="AI424" s="779"/>
      <c r="AJ424" s="779"/>
      <c r="AK424" s="779"/>
      <c r="AL424" s="779"/>
      <c r="AM424" s="779"/>
      <c r="AN424" s="779"/>
      <c r="AO424" s="779"/>
      <c r="AP424" s="779"/>
      <c r="AQ424" s="779"/>
      <c r="AR424" s="779"/>
      <c r="AS424" s="779"/>
      <c r="AT424" s="779"/>
      <c r="AU424" s="779"/>
      <c r="AV424" s="779"/>
      <c r="AW424" s="779"/>
      <c r="AX424" s="779"/>
      <c r="AY424" s="779"/>
      <c r="AZ424" s="779"/>
      <c r="BA424" s="779"/>
      <c r="BB424" s="779"/>
      <c r="BC424" s="779"/>
      <c r="BD424" s="779"/>
      <c r="BE424" s="779"/>
      <c r="BF424" s="779"/>
      <c r="BG424" s="779"/>
      <c r="BH424" s="779"/>
      <c r="BI424" s="779"/>
      <c r="BJ424" s="779"/>
      <c r="BK424" s="779"/>
      <c r="BL424" s="779"/>
      <c r="BM424" s="779"/>
      <c r="BN424" s="779"/>
      <c r="BO424" s="779"/>
      <c r="BP424" s="779"/>
      <c r="BQ424" s="779"/>
      <c r="BR424" s="779"/>
      <c r="BS424" s="779"/>
      <c r="BT424" s="779"/>
      <c r="BU424" s="779"/>
      <c r="BV424" s="779"/>
      <c r="BW424" s="779"/>
      <c r="BX424" s="779"/>
      <c r="BY424" s="779"/>
      <c r="BZ424" s="779"/>
      <c r="CA424" s="779"/>
      <c r="CB424" s="779"/>
      <c r="CC424" s="779"/>
    </row>
    <row r="425" spans="1:81">
      <c r="A425" s="779"/>
      <c r="B425" s="779"/>
      <c r="C425" s="779"/>
      <c r="D425" s="779"/>
      <c r="E425" s="779"/>
      <c r="F425" s="779"/>
      <c r="G425" s="779"/>
      <c r="H425" s="779"/>
      <c r="I425" s="779"/>
      <c r="J425" s="779"/>
      <c r="K425" s="779"/>
      <c r="L425" s="779"/>
      <c r="M425" s="779"/>
      <c r="N425" s="779"/>
      <c r="O425" s="779"/>
      <c r="P425" s="779"/>
      <c r="Q425" s="779"/>
      <c r="R425" s="779"/>
      <c r="S425" s="779"/>
      <c r="T425" s="779"/>
      <c r="U425" s="779"/>
      <c r="V425" s="779"/>
      <c r="W425" s="779"/>
      <c r="X425" s="779"/>
      <c r="Y425" s="779"/>
      <c r="Z425" s="779"/>
      <c r="AA425" s="779"/>
      <c r="AB425" s="779"/>
      <c r="AC425" s="779"/>
      <c r="AD425" s="779"/>
      <c r="AE425" s="779"/>
      <c r="AF425" s="779"/>
      <c r="AG425" s="779"/>
      <c r="AH425" s="779"/>
      <c r="AI425" s="779"/>
      <c r="AJ425" s="779"/>
      <c r="AK425" s="779"/>
      <c r="AL425" s="779"/>
      <c r="AM425" s="779"/>
      <c r="AN425" s="779"/>
      <c r="AO425" s="779"/>
      <c r="AP425" s="779"/>
      <c r="AQ425" s="779"/>
      <c r="AR425" s="779"/>
      <c r="AS425" s="779"/>
      <c r="AT425" s="779"/>
      <c r="AU425" s="779"/>
      <c r="AV425" s="779"/>
      <c r="AW425" s="779"/>
      <c r="AX425" s="779"/>
      <c r="AY425" s="779"/>
      <c r="AZ425" s="779"/>
      <c r="BA425" s="779"/>
      <c r="BB425" s="779"/>
      <c r="BC425" s="779"/>
      <c r="BD425" s="779"/>
      <c r="BE425" s="779"/>
      <c r="BF425" s="779"/>
      <c r="BG425" s="779"/>
      <c r="BH425" s="779"/>
      <c r="BI425" s="779"/>
      <c r="BJ425" s="779"/>
      <c r="BK425" s="779"/>
      <c r="BL425" s="779"/>
      <c r="BM425" s="779"/>
      <c r="BN425" s="779"/>
      <c r="BO425" s="779"/>
      <c r="BP425" s="779"/>
      <c r="BQ425" s="779"/>
      <c r="BR425" s="779"/>
      <c r="BS425" s="779"/>
      <c r="BT425" s="779"/>
      <c r="BU425" s="779"/>
      <c r="BV425" s="779"/>
      <c r="BW425" s="779"/>
      <c r="BX425" s="779"/>
      <c r="BY425" s="779"/>
      <c r="BZ425" s="779"/>
      <c r="CA425" s="779"/>
      <c r="CB425" s="779"/>
      <c r="CC425" s="779"/>
    </row>
    <row r="426" spans="1:81">
      <c r="A426" s="779"/>
      <c r="B426" s="779"/>
      <c r="C426" s="779"/>
      <c r="D426" s="779"/>
      <c r="E426" s="779"/>
      <c r="F426" s="779"/>
      <c r="G426" s="779"/>
      <c r="H426" s="779"/>
      <c r="I426" s="779"/>
      <c r="J426" s="779"/>
      <c r="K426" s="779"/>
      <c r="L426" s="779"/>
      <c r="M426" s="779"/>
      <c r="N426" s="779"/>
      <c r="O426" s="779"/>
      <c r="P426" s="779"/>
      <c r="Q426" s="779"/>
      <c r="R426" s="779"/>
      <c r="S426" s="779"/>
      <c r="T426" s="779"/>
      <c r="U426" s="779"/>
      <c r="V426" s="779"/>
      <c r="W426" s="779"/>
      <c r="X426" s="779"/>
      <c r="Y426" s="779"/>
      <c r="Z426" s="779"/>
      <c r="AA426" s="779"/>
      <c r="AB426" s="779"/>
      <c r="AC426" s="779"/>
      <c r="AD426" s="779"/>
      <c r="AE426" s="779"/>
      <c r="AF426" s="779"/>
      <c r="AG426" s="779"/>
      <c r="AH426" s="779"/>
      <c r="AI426" s="779"/>
      <c r="AJ426" s="779"/>
      <c r="AK426" s="779"/>
      <c r="AL426" s="779"/>
      <c r="AM426" s="779"/>
      <c r="AN426" s="779"/>
      <c r="AO426" s="779"/>
      <c r="AP426" s="779"/>
      <c r="AQ426" s="779"/>
      <c r="AR426" s="779"/>
      <c r="AS426" s="779"/>
      <c r="AT426" s="779"/>
      <c r="AU426" s="779"/>
      <c r="AV426" s="779"/>
      <c r="AW426" s="779"/>
      <c r="AX426" s="779"/>
      <c r="AY426" s="779"/>
      <c r="AZ426" s="779"/>
      <c r="BA426" s="779"/>
      <c r="BB426" s="779"/>
      <c r="BC426" s="779"/>
      <c r="BD426" s="779"/>
      <c r="BE426" s="779"/>
      <c r="BF426" s="779"/>
      <c r="BG426" s="779"/>
      <c r="BH426" s="779"/>
      <c r="BI426" s="779"/>
      <c r="BJ426" s="779"/>
      <c r="BK426" s="779"/>
      <c r="BL426" s="779"/>
      <c r="BM426" s="779"/>
      <c r="BN426" s="779"/>
      <c r="BO426" s="779"/>
      <c r="BP426" s="779"/>
      <c r="BQ426" s="779"/>
      <c r="BR426" s="779"/>
      <c r="BS426" s="779"/>
      <c r="BT426" s="779"/>
      <c r="BU426" s="779"/>
      <c r="BV426" s="779"/>
      <c r="BW426" s="779"/>
      <c r="BX426" s="779"/>
      <c r="BY426" s="779"/>
      <c r="BZ426" s="779"/>
      <c r="CA426" s="779"/>
      <c r="CB426" s="779"/>
      <c r="CC426" s="779"/>
    </row>
    <row r="427" spans="1:81">
      <c r="A427" s="779"/>
      <c r="B427" s="779"/>
      <c r="C427" s="779"/>
      <c r="D427" s="779"/>
      <c r="E427" s="779"/>
      <c r="F427" s="779"/>
      <c r="G427" s="779"/>
      <c r="H427" s="779"/>
      <c r="I427" s="779"/>
      <c r="J427" s="779"/>
      <c r="K427" s="779"/>
      <c r="L427" s="779"/>
      <c r="M427" s="779"/>
      <c r="N427" s="779"/>
      <c r="O427" s="779"/>
      <c r="P427" s="779"/>
      <c r="Q427" s="779"/>
      <c r="R427" s="779"/>
      <c r="S427" s="779"/>
      <c r="T427" s="779"/>
      <c r="U427" s="779"/>
      <c r="V427" s="779"/>
      <c r="W427" s="779"/>
      <c r="X427" s="779"/>
      <c r="Y427" s="779"/>
      <c r="Z427" s="779"/>
      <c r="AA427" s="779"/>
      <c r="AB427" s="779"/>
      <c r="AC427" s="779"/>
      <c r="AD427" s="779"/>
      <c r="AE427" s="779"/>
      <c r="AF427" s="779"/>
      <c r="AG427" s="779"/>
      <c r="AH427" s="779"/>
      <c r="AI427" s="779"/>
      <c r="AJ427" s="779"/>
      <c r="AK427" s="779"/>
      <c r="AL427" s="779"/>
      <c r="AM427" s="779"/>
      <c r="AN427" s="779"/>
      <c r="AO427" s="779"/>
      <c r="AP427" s="779"/>
      <c r="AQ427" s="779"/>
      <c r="AR427" s="779"/>
      <c r="AS427" s="779"/>
      <c r="AT427" s="779"/>
      <c r="AU427" s="779"/>
      <c r="AV427" s="779"/>
      <c r="AW427" s="779"/>
      <c r="AX427" s="779"/>
      <c r="AY427" s="779"/>
      <c r="AZ427" s="779"/>
      <c r="BA427" s="779"/>
      <c r="BB427" s="779"/>
      <c r="BC427" s="779"/>
      <c r="BD427" s="779"/>
      <c r="BE427" s="779"/>
      <c r="BF427" s="779"/>
      <c r="BG427" s="779"/>
      <c r="BH427" s="779"/>
      <c r="BI427" s="779"/>
      <c r="BJ427" s="779"/>
      <c r="BK427" s="779"/>
      <c r="BL427" s="779"/>
      <c r="BM427" s="779"/>
      <c r="BN427" s="779"/>
      <c r="BO427" s="779"/>
      <c r="BP427" s="779"/>
      <c r="BQ427" s="779"/>
      <c r="BR427" s="779"/>
      <c r="BS427" s="779"/>
      <c r="BT427" s="779"/>
      <c r="BU427" s="779"/>
      <c r="BV427" s="779"/>
      <c r="BW427" s="779"/>
      <c r="BX427" s="779"/>
      <c r="BY427" s="779"/>
      <c r="BZ427" s="779"/>
      <c r="CA427" s="779"/>
      <c r="CB427" s="779"/>
      <c r="CC427" s="779"/>
    </row>
    <row r="428" spans="1:81">
      <c r="A428" s="779"/>
      <c r="B428" s="779"/>
      <c r="C428" s="779"/>
      <c r="D428" s="779"/>
      <c r="E428" s="779"/>
      <c r="F428" s="779"/>
      <c r="G428" s="779"/>
      <c r="H428" s="779"/>
      <c r="I428" s="779"/>
      <c r="J428" s="779"/>
      <c r="K428" s="779"/>
      <c r="L428" s="779"/>
      <c r="M428" s="779"/>
      <c r="N428" s="779"/>
      <c r="O428" s="779"/>
      <c r="P428" s="779"/>
      <c r="Q428" s="779"/>
      <c r="R428" s="779"/>
      <c r="S428" s="779"/>
      <c r="T428" s="779"/>
      <c r="U428" s="779"/>
      <c r="V428" s="779"/>
      <c r="W428" s="779"/>
      <c r="X428" s="779"/>
      <c r="Y428" s="779"/>
      <c r="Z428" s="779"/>
      <c r="AA428" s="779"/>
      <c r="AB428" s="779"/>
      <c r="AC428" s="779"/>
      <c r="AD428" s="779"/>
      <c r="AE428" s="779"/>
      <c r="AF428" s="779"/>
      <c r="AG428" s="779"/>
      <c r="AH428" s="779"/>
      <c r="AI428" s="779"/>
      <c r="AJ428" s="779"/>
      <c r="AK428" s="779"/>
      <c r="AL428" s="779"/>
      <c r="AM428" s="779"/>
      <c r="AN428" s="779"/>
      <c r="AO428" s="779"/>
      <c r="AP428" s="779"/>
      <c r="AQ428" s="779"/>
      <c r="AR428" s="779"/>
      <c r="AS428" s="779"/>
      <c r="AT428" s="779"/>
      <c r="AU428" s="779"/>
      <c r="AV428" s="779"/>
      <c r="AW428" s="779"/>
      <c r="AX428" s="779"/>
      <c r="AY428" s="779"/>
      <c r="AZ428" s="779"/>
      <c r="BA428" s="779"/>
      <c r="BB428" s="779"/>
      <c r="BC428" s="779"/>
      <c r="BD428" s="779"/>
      <c r="BE428" s="779"/>
      <c r="BF428" s="779"/>
      <c r="BG428" s="779"/>
      <c r="BH428" s="779"/>
      <c r="BI428" s="779"/>
      <c r="BJ428" s="779"/>
      <c r="BK428" s="779"/>
      <c r="BL428" s="779"/>
      <c r="BM428" s="779"/>
      <c r="BN428" s="779"/>
      <c r="BO428" s="779"/>
      <c r="BP428" s="779"/>
      <c r="BQ428" s="779"/>
      <c r="BR428" s="779"/>
      <c r="BS428" s="779"/>
      <c r="BT428" s="779"/>
      <c r="BU428" s="779"/>
      <c r="BV428" s="779"/>
      <c r="BW428" s="779"/>
      <c r="BX428" s="779"/>
      <c r="BY428" s="779"/>
      <c r="BZ428" s="779"/>
      <c r="CA428" s="779"/>
      <c r="CB428" s="779"/>
      <c r="CC428" s="779"/>
    </row>
    <row r="429" spans="1:81">
      <c r="A429" s="779"/>
      <c r="B429" s="779"/>
      <c r="C429" s="779"/>
      <c r="D429" s="779"/>
      <c r="E429" s="779"/>
      <c r="F429" s="779"/>
      <c r="G429" s="779"/>
      <c r="H429" s="779"/>
      <c r="I429" s="779"/>
      <c r="J429" s="779"/>
      <c r="K429" s="779"/>
      <c r="L429" s="779"/>
      <c r="M429" s="779"/>
      <c r="N429" s="779"/>
      <c r="O429" s="779"/>
      <c r="P429" s="779"/>
      <c r="Q429" s="779"/>
      <c r="R429" s="779"/>
      <c r="S429" s="779"/>
      <c r="T429" s="779"/>
      <c r="U429" s="779"/>
      <c r="V429" s="779"/>
      <c r="W429" s="779"/>
      <c r="X429" s="779"/>
      <c r="Y429" s="779"/>
      <c r="Z429" s="779"/>
      <c r="AA429" s="779"/>
      <c r="AB429" s="779"/>
      <c r="AC429" s="779"/>
      <c r="AD429" s="779"/>
      <c r="AE429" s="779"/>
      <c r="AF429" s="779"/>
      <c r="AG429" s="779"/>
      <c r="AH429" s="779"/>
      <c r="AI429" s="779"/>
      <c r="AJ429" s="779"/>
      <c r="AK429" s="779"/>
      <c r="AL429" s="779"/>
      <c r="AM429" s="779"/>
      <c r="AN429" s="779"/>
      <c r="AO429" s="779"/>
      <c r="AP429" s="779"/>
      <c r="AQ429" s="779"/>
      <c r="AR429" s="779"/>
      <c r="AS429" s="779"/>
      <c r="AT429" s="779"/>
      <c r="AU429" s="779"/>
      <c r="AV429" s="779"/>
      <c r="AW429" s="779"/>
      <c r="AX429" s="779"/>
      <c r="AY429" s="779"/>
      <c r="AZ429" s="779"/>
      <c r="BA429" s="779"/>
      <c r="BB429" s="779"/>
      <c r="BC429" s="779"/>
      <c r="BD429" s="779"/>
      <c r="BE429" s="779"/>
      <c r="BF429" s="779"/>
      <c r="BG429" s="779"/>
      <c r="BH429" s="779"/>
      <c r="BI429" s="779"/>
      <c r="BJ429" s="779"/>
      <c r="BK429" s="779"/>
      <c r="BL429" s="779"/>
      <c r="BM429" s="779"/>
      <c r="BN429" s="779"/>
      <c r="BO429" s="779"/>
      <c r="BP429" s="779"/>
      <c r="BQ429" s="779"/>
      <c r="BR429" s="779"/>
      <c r="BS429" s="779"/>
      <c r="BT429" s="779"/>
      <c r="BU429" s="779"/>
      <c r="BV429" s="779"/>
      <c r="BW429" s="779"/>
      <c r="BX429" s="779"/>
      <c r="BY429" s="779"/>
      <c r="BZ429" s="779"/>
      <c r="CA429" s="779"/>
      <c r="CB429" s="779"/>
      <c r="CC429" s="779"/>
    </row>
    <row r="430" spans="1:81">
      <c r="A430" s="779"/>
      <c r="B430" s="779"/>
      <c r="C430" s="779"/>
      <c r="D430" s="779"/>
      <c r="E430" s="779"/>
      <c r="F430" s="779"/>
      <c r="G430" s="779"/>
      <c r="H430" s="779"/>
      <c r="I430" s="779"/>
      <c r="J430" s="779"/>
      <c r="K430" s="779"/>
      <c r="L430" s="779"/>
      <c r="M430" s="779"/>
      <c r="N430" s="779"/>
      <c r="O430" s="779"/>
      <c r="P430" s="779"/>
      <c r="Q430" s="779"/>
      <c r="R430" s="779"/>
      <c r="S430" s="779"/>
      <c r="T430" s="779"/>
      <c r="U430" s="779"/>
      <c r="V430" s="779"/>
      <c r="W430" s="779"/>
      <c r="X430" s="779"/>
      <c r="Y430" s="779"/>
      <c r="Z430" s="779"/>
      <c r="AA430" s="779"/>
      <c r="AB430" s="779"/>
      <c r="AC430" s="779"/>
      <c r="AD430" s="779"/>
      <c r="AE430" s="779"/>
      <c r="AF430" s="779"/>
      <c r="AG430" s="779"/>
      <c r="AH430" s="779"/>
      <c r="AI430" s="779"/>
      <c r="AJ430" s="779"/>
      <c r="AK430" s="779"/>
      <c r="AL430" s="779"/>
      <c r="AM430" s="779"/>
      <c r="AN430" s="779"/>
      <c r="AO430" s="779"/>
      <c r="AP430" s="779"/>
      <c r="AQ430" s="779"/>
      <c r="AR430" s="779"/>
      <c r="AS430" s="779"/>
      <c r="AT430" s="779"/>
      <c r="AU430" s="779"/>
      <c r="AV430" s="779"/>
      <c r="AW430" s="779"/>
      <c r="AX430" s="779"/>
      <c r="AY430" s="779"/>
      <c r="AZ430" s="779"/>
      <c r="BA430" s="779"/>
      <c r="BB430" s="779"/>
      <c r="BC430" s="779"/>
      <c r="BD430" s="779"/>
      <c r="BE430" s="779"/>
      <c r="BF430" s="779"/>
      <c r="BG430" s="779"/>
      <c r="BH430" s="779"/>
      <c r="BI430" s="779"/>
      <c r="BJ430" s="779"/>
      <c r="BK430" s="779"/>
      <c r="BL430" s="779"/>
      <c r="BM430" s="779"/>
      <c r="BN430" s="779"/>
      <c r="BO430" s="779"/>
      <c r="BP430" s="779"/>
      <c r="BQ430" s="779"/>
      <c r="BR430" s="779"/>
      <c r="BS430" s="779"/>
      <c r="BT430" s="779"/>
      <c r="BU430" s="779"/>
      <c r="BV430" s="779"/>
      <c r="BW430" s="779"/>
      <c r="BX430" s="779"/>
      <c r="BY430" s="779"/>
      <c r="BZ430" s="779"/>
      <c r="CA430" s="779"/>
      <c r="CB430" s="779"/>
      <c r="CC430" s="779"/>
    </row>
    <row r="431" spans="1:81">
      <c r="A431" s="779"/>
      <c r="B431" s="779"/>
      <c r="C431" s="779"/>
      <c r="D431" s="779"/>
      <c r="E431" s="779"/>
      <c r="F431" s="779"/>
      <c r="G431" s="779"/>
      <c r="H431" s="779"/>
      <c r="I431" s="779"/>
      <c r="J431" s="779"/>
      <c r="K431" s="779"/>
      <c r="L431" s="779"/>
      <c r="M431" s="779"/>
      <c r="N431" s="779"/>
      <c r="O431" s="779"/>
      <c r="P431" s="779"/>
      <c r="Q431" s="779"/>
      <c r="R431" s="779"/>
      <c r="S431" s="779"/>
      <c r="T431" s="779"/>
      <c r="U431" s="779"/>
      <c r="V431" s="779"/>
      <c r="W431" s="779"/>
      <c r="X431" s="779"/>
      <c r="Y431" s="779"/>
      <c r="Z431" s="779"/>
      <c r="AA431" s="779"/>
      <c r="AB431" s="779"/>
      <c r="AC431" s="779"/>
      <c r="AD431" s="779"/>
      <c r="AE431" s="779"/>
      <c r="AF431" s="779"/>
      <c r="AG431" s="779"/>
      <c r="AH431" s="779"/>
      <c r="AI431" s="779"/>
      <c r="AJ431" s="779"/>
      <c r="AK431" s="779"/>
      <c r="AL431" s="779"/>
      <c r="AM431" s="779"/>
      <c r="AN431" s="779"/>
      <c r="AO431" s="779"/>
      <c r="AP431" s="779"/>
      <c r="AQ431" s="779"/>
      <c r="AR431" s="779"/>
      <c r="AS431" s="779"/>
      <c r="AT431" s="779"/>
      <c r="AU431" s="779"/>
      <c r="AV431" s="779"/>
      <c r="AW431" s="779"/>
      <c r="AX431" s="779"/>
      <c r="AY431" s="779"/>
      <c r="AZ431" s="779"/>
      <c r="BA431" s="779"/>
      <c r="BB431" s="779"/>
      <c r="BC431" s="779"/>
      <c r="BD431" s="779"/>
      <c r="BE431" s="779"/>
      <c r="BF431" s="779"/>
      <c r="BG431" s="779"/>
      <c r="BH431" s="779"/>
      <c r="BI431" s="779"/>
      <c r="BJ431" s="779"/>
      <c r="BK431" s="779"/>
      <c r="BL431" s="779"/>
      <c r="BM431" s="779"/>
      <c r="BN431" s="779"/>
      <c r="BO431" s="779"/>
      <c r="BP431" s="779"/>
      <c r="BQ431" s="779"/>
      <c r="BR431" s="779"/>
      <c r="BS431" s="779"/>
      <c r="BT431" s="779"/>
      <c r="BU431" s="779"/>
      <c r="BV431" s="779"/>
      <c r="BW431" s="779"/>
      <c r="BX431" s="779"/>
      <c r="BY431" s="779"/>
      <c r="BZ431" s="779"/>
      <c r="CA431" s="779"/>
      <c r="CB431" s="779"/>
      <c r="CC431" s="779"/>
    </row>
    <row r="432" spans="1:81">
      <c r="A432" s="779"/>
      <c r="B432" s="779"/>
      <c r="C432" s="779"/>
      <c r="D432" s="779"/>
      <c r="E432" s="779"/>
      <c r="F432" s="779"/>
      <c r="G432" s="779"/>
      <c r="H432" s="779"/>
      <c r="I432" s="779"/>
      <c r="J432" s="779"/>
      <c r="K432" s="779"/>
      <c r="L432" s="779"/>
      <c r="M432" s="779"/>
      <c r="N432" s="779"/>
      <c r="O432" s="779"/>
      <c r="P432" s="779"/>
      <c r="Q432" s="779"/>
      <c r="R432" s="779"/>
      <c r="S432" s="779"/>
      <c r="T432" s="779"/>
      <c r="U432" s="779"/>
      <c r="V432" s="779"/>
      <c r="W432" s="779"/>
      <c r="X432" s="779"/>
      <c r="Y432" s="779"/>
      <c r="Z432" s="779"/>
      <c r="AA432" s="779"/>
      <c r="AB432" s="779"/>
      <c r="AC432" s="779"/>
      <c r="AD432" s="779"/>
      <c r="AE432" s="779"/>
      <c r="AF432" s="779"/>
      <c r="AG432" s="779"/>
      <c r="AH432" s="779"/>
      <c r="AI432" s="779"/>
      <c r="AJ432" s="779"/>
      <c r="AK432" s="779"/>
      <c r="AL432" s="779"/>
      <c r="AM432" s="779"/>
      <c r="AN432" s="779"/>
      <c r="AO432" s="779"/>
      <c r="AP432" s="779"/>
      <c r="AQ432" s="779"/>
      <c r="AR432" s="779"/>
      <c r="AS432" s="779"/>
      <c r="AT432" s="779"/>
      <c r="AU432" s="779"/>
      <c r="AV432" s="779"/>
      <c r="AW432" s="779"/>
      <c r="AX432" s="779"/>
      <c r="AY432" s="779"/>
      <c r="AZ432" s="779"/>
      <c r="BA432" s="779"/>
      <c r="BB432" s="779"/>
      <c r="BC432" s="779"/>
      <c r="BD432" s="779"/>
      <c r="BE432" s="779"/>
      <c r="BF432" s="779"/>
      <c r="BG432" s="779"/>
      <c r="BH432" s="779"/>
      <c r="BI432" s="779"/>
      <c r="BJ432" s="779"/>
      <c r="BK432" s="779"/>
      <c r="BL432" s="779"/>
      <c r="BM432" s="779"/>
      <c r="BN432" s="779"/>
      <c r="BO432" s="779"/>
      <c r="BP432" s="779"/>
      <c r="BQ432" s="779"/>
      <c r="BR432" s="779"/>
      <c r="BS432" s="779"/>
      <c r="BT432" s="779"/>
      <c r="BU432" s="779"/>
      <c r="BV432" s="779"/>
      <c r="BW432" s="779"/>
      <c r="BX432" s="779"/>
      <c r="BY432" s="779"/>
      <c r="BZ432" s="779"/>
      <c r="CA432" s="779"/>
      <c r="CB432" s="779"/>
      <c r="CC432" s="779"/>
    </row>
    <row r="433" spans="1:81">
      <c r="A433" s="779"/>
      <c r="B433" s="779"/>
      <c r="C433" s="779"/>
      <c r="D433" s="779"/>
      <c r="E433" s="779"/>
      <c r="F433" s="779"/>
      <c r="G433" s="779"/>
      <c r="H433" s="779"/>
      <c r="I433" s="779"/>
      <c r="J433" s="779"/>
      <c r="K433" s="779"/>
      <c r="L433" s="779"/>
      <c r="M433" s="779"/>
      <c r="N433" s="779"/>
      <c r="O433" s="779"/>
      <c r="P433" s="779"/>
      <c r="Q433" s="779"/>
      <c r="R433" s="779"/>
      <c r="S433" s="779"/>
      <c r="T433" s="779"/>
      <c r="U433" s="779"/>
      <c r="V433" s="779"/>
      <c r="W433" s="779"/>
      <c r="X433" s="779"/>
      <c r="Y433" s="779"/>
      <c r="Z433" s="779"/>
      <c r="AA433" s="779"/>
      <c r="AB433" s="779"/>
      <c r="AC433" s="779"/>
      <c r="AD433" s="779"/>
      <c r="AE433" s="779"/>
      <c r="AF433" s="779"/>
      <c r="AG433" s="779"/>
      <c r="AH433" s="779"/>
      <c r="AI433" s="779"/>
      <c r="AJ433" s="779"/>
      <c r="AK433" s="779"/>
      <c r="AL433" s="779"/>
      <c r="AM433" s="779"/>
      <c r="AN433" s="779"/>
      <c r="AO433" s="779"/>
      <c r="AP433" s="779"/>
      <c r="AQ433" s="779"/>
      <c r="AR433" s="779"/>
      <c r="AS433" s="779"/>
      <c r="AT433" s="779"/>
      <c r="AU433" s="779"/>
      <c r="AV433" s="779"/>
      <c r="AW433" s="779"/>
      <c r="AX433" s="779"/>
      <c r="AY433" s="779"/>
      <c r="AZ433" s="779"/>
      <c r="BA433" s="779"/>
      <c r="BB433" s="779"/>
      <c r="BC433" s="779"/>
      <c r="BD433" s="779"/>
      <c r="BE433" s="779"/>
      <c r="BF433" s="779"/>
      <c r="BG433" s="779"/>
      <c r="BH433" s="779"/>
      <c r="BI433" s="779"/>
      <c r="BJ433" s="779"/>
      <c r="BK433" s="779"/>
      <c r="BL433" s="779"/>
      <c r="BM433" s="779"/>
      <c r="BN433" s="779"/>
      <c r="BO433" s="779"/>
      <c r="BP433" s="779"/>
      <c r="BQ433" s="779"/>
      <c r="BR433" s="779"/>
      <c r="BS433" s="779"/>
      <c r="BT433" s="779"/>
      <c r="BU433" s="779"/>
      <c r="BV433" s="779"/>
      <c r="BW433" s="779"/>
      <c r="BX433" s="779"/>
      <c r="BY433" s="779"/>
      <c r="BZ433" s="779"/>
      <c r="CA433" s="779"/>
      <c r="CB433" s="779"/>
      <c r="CC433" s="779"/>
    </row>
    <row r="434" spans="1:81">
      <c r="A434" s="779"/>
      <c r="B434" s="779"/>
      <c r="C434" s="779"/>
      <c r="D434" s="779"/>
      <c r="E434" s="779"/>
      <c r="F434" s="779"/>
      <c r="G434" s="779"/>
      <c r="H434" s="779"/>
      <c r="I434" s="779"/>
      <c r="J434" s="779"/>
      <c r="K434" s="779"/>
      <c r="L434" s="779"/>
      <c r="M434" s="779"/>
      <c r="N434" s="779"/>
      <c r="O434" s="779"/>
      <c r="P434" s="779"/>
      <c r="Q434" s="779"/>
      <c r="R434" s="779"/>
      <c r="S434" s="779"/>
      <c r="T434" s="779"/>
      <c r="U434" s="779"/>
      <c r="V434" s="779"/>
      <c r="W434" s="779"/>
      <c r="X434" s="779"/>
      <c r="Y434" s="779"/>
      <c r="Z434" s="779"/>
      <c r="AA434" s="779"/>
      <c r="AB434" s="779"/>
      <c r="AC434" s="779"/>
      <c r="AD434" s="779"/>
      <c r="AE434" s="779"/>
      <c r="AF434" s="779"/>
      <c r="AG434" s="779"/>
      <c r="AH434" s="779"/>
      <c r="AI434" s="779"/>
      <c r="AJ434" s="779"/>
      <c r="AK434" s="779"/>
      <c r="AL434" s="779"/>
      <c r="AM434" s="779"/>
      <c r="AN434" s="779"/>
      <c r="AO434" s="779"/>
      <c r="AP434" s="779"/>
      <c r="AQ434" s="779"/>
      <c r="AR434" s="779"/>
      <c r="AS434" s="779"/>
      <c r="AT434" s="779"/>
      <c r="AU434" s="779"/>
      <c r="AV434" s="779"/>
      <c r="AW434" s="779"/>
      <c r="AX434" s="779"/>
      <c r="AY434" s="779"/>
      <c r="AZ434" s="779"/>
      <c r="BA434" s="779"/>
      <c r="BB434" s="779"/>
      <c r="BC434" s="779"/>
      <c r="BD434" s="779"/>
      <c r="BE434" s="779"/>
      <c r="BF434" s="779"/>
      <c r="BG434" s="779"/>
      <c r="BH434" s="779"/>
      <c r="BI434" s="779"/>
      <c r="BJ434" s="779"/>
      <c r="BK434" s="779"/>
      <c r="BL434" s="779"/>
      <c r="BM434" s="779"/>
      <c r="BN434" s="779"/>
      <c r="BO434" s="779"/>
      <c r="BP434" s="779"/>
      <c r="BQ434" s="779"/>
      <c r="BR434" s="779"/>
      <c r="BS434" s="779"/>
      <c r="BT434" s="779"/>
      <c r="BU434" s="779"/>
      <c r="BV434" s="779"/>
      <c r="BW434" s="779"/>
      <c r="BX434" s="779"/>
      <c r="BY434" s="779"/>
      <c r="BZ434" s="779"/>
      <c r="CA434" s="779"/>
      <c r="CB434" s="779"/>
      <c r="CC434" s="779"/>
    </row>
    <row r="435" spans="1:81">
      <c r="A435" s="779"/>
      <c r="B435" s="779"/>
      <c r="C435" s="779"/>
      <c r="D435" s="779"/>
      <c r="E435" s="779"/>
      <c r="F435" s="779"/>
      <c r="G435" s="779"/>
      <c r="H435" s="779"/>
      <c r="I435" s="779"/>
      <c r="J435" s="779"/>
      <c r="K435" s="779"/>
      <c r="L435" s="779"/>
      <c r="M435" s="779"/>
      <c r="N435" s="779"/>
      <c r="O435" s="779"/>
      <c r="P435" s="779"/>
      <c r="Q435" s="779"/>
      <c r="R435" s="779"/>
      <c r="S435" s="779"/>
      <c r="T435" s="779"/>
      <c r="U435" s="779"/>
      <c r="V435" s="779"/>
      <c r="W435" s="779"/>
      <c r="X435" s="779"/>
      <c r="Y435" s="779"/>
      <c r="Z435" s="779"/>
      <c r="AA435" s="779"/>
      <c r="AB435" s="779"/>
      <c r="AC435" s="779"/>
      <c r="AD435" s="779"/>
      <c r="AE435" s="779"/>
      <c r="AF435" s="779"/>
      <c r="AG435" s="779"/>
      <c r="AH435" s="779"/>
      <c r="AI435" s="779"/>
      <c r="AJ435" s="779"/>
      <c r="AK435" s="779"/>
      <c r="AL435" s="779"/>
      <c r="AM435" s="779"/>
      <c r="AN435" s="779"/>
      <c r="AO435" s="779"/>
      <c r="AP435" s="779"/>
      <c r="AQ435" s="779"/>
      <c r="AR435" s="779"/>
      <c r="AS435" s="779"/>
      <c r="AT435" s="779"/>
      <c r="AU435" s="779"/>
      <c r="AV435" s="779"/>
      <c r="AW435" s="779"/>
      <c r="AX435" s="779"/>
      <c r="AY435" s="779"/>
      <c r="AZ435" s="779"/>
      <c r="BA435" s="779"/>
      <c r="BB435" s="779"/>
      <c r="BC435" s="779"/>
      <c r="BD435" s="779"/>
      <c r="BE435" s="779"/>
      <c r="BF435" s="779"/>
      <c r="BG435" s="779"/>
      <c r="BH435" s="779"/>
      <c r="BI435" s="779"/>
      <c r="BJ435" s="779"/>
      <c r="BK435" s="779"/>
      <c r="BL435" s="779"/>
      <c r="BM435" s="779"/>
      <c r="BN435" s="779"/>
      <c r="BO435" s="779"/>
      <c r="BP435" s="779"/>
      <c r="BQ435" s="779"/>
      <c r="BR435" s="779"/>
      <c r="BS435" s="779"/>
      <c r="BT435" s="779"/>
      <c r="BU435" s="779"/>
      <c r="BV435" s="779"/>
      <c r="BW435" s="779"/>
      <c r="BX435" s="779"/>
      <c r="BY435" s="779"/>
      <c r="BZ435" s="779"/>
      <c r="CA435" s="779"/>
      <c r="CB435" s="779"/>
      <c r="CC435" s="779"/>
    </row>
    <row r="436" spans="1:81">
      <c r="A436" s="779"/>
      <c r="B436" s="779"/>
      <c r="C436" s="779"/>
      <c r="D436" s="779"/>
      <c r="E436" s="779"/>
      <c r="F436" s="779"/>
      <c r="G436" s="779"/>
      <c r="H436" s="779"/>
      <c r="I436" s="779"/>
      <c r="J436" s="779"/>
      <c r="K436" s="779"/>
      <c r="L436" s="779"/>
      <c r="M436" s="779"/>
      <c r="N436" s="779"/>
      <c r="O436" s="779"/>
      <c r="P436" s="779"/>
      <c r="Q436" s="779"/>
      <c r="R436" s="779"/>
      <c r="S436" s="779"/>
      <c r="T436" s="779"/>
      <c r="U436" s="779"/>
      <c r="V436" s="779"/>
      <c r="W436" s="779"/>
      <c r="X436" s="779"/>
      <c r="Y436" s="779"/>
      <c r="Z436" s="779"/>
      <c r="AA436" s="779"/>
      <c r="AB436" s="779"/>
      <c r="AC436" s="779"/>
      <c r="AD436" s="779"/>
      <c r="AE436" s="779"/>
      <c r="AF436" s="779"/>
      <c r="AG436" s="779"/>
      <c r="AH436" s="779"/>
      <c r="AI436" s="779"/>
      <c r="AJ436" s="779"/>
      <c r="AK436" s="779"/>
      <c r="AL436" s="779"/>
      <c r="AM436" s="779"/>
      <c r="AN436" s="779"/>
      <c r="AO436" s="779"/>
      <c r="AP436" s="779"/>
      <c r="AQ436" s="779"/>
      <c r="AR436" s="779"/>
      <c r="AS436" s="779"/>
      <c r="AT436" s="779"/>
      <c r="AU436" s="779"/>
      <c r="AV436" s="779"/>
      <c r="AW436" s="779"/>
      <c r="AX436" s="779"/>
      <c r="AY436" s="779"/>
      <c r="AZ436" s="779"/>
      <c r="BA436" s="779"/>
      <c r="BB436" s="779"/>
      <c r="BC436" s="779"/>
      <c r="BD436" s="779"/>
      <c r="BE436" s="779"/>
      <c r="BF436" s="779"/>
      <c r="BG436" s="779"/>
      <c r="BH436" s="779"/>
      <c r="BI436" s="779"/>
      <c r="BJ436" s="779"/>
      <c r="BK436" s="779"/>
      <c r="BL436" s="779"/>
      <c r="BM436" s="779"/>
      <c r="BN436" s="779"/>
      <c r="BO436" s="779"/>
      <c r="BP436" s="779"/>
      <c r="BQ436" s="779"/>
      <c r="BR436" s="779"/>
      <c r="BS436" s="779"/>
      <c r="BT436" s="779"/>
      <c r="BU436" s="779"/>
      <c r="BV436" s="779"/>
      <c r="BW436" s="779"/>
      <c r="BX436" s="779"/>
      <c r="BY436" s="779"/>
      <c r="BZ436" s="779"/>
      <c r="CA436" s="779"/>
      <c r="CB436" s="779"/>
      <c r="CC436" s="779"/>
    </row>
    <row r="437" spans="1:81">
      <c r="A437" s="779"/>
      <c r="B437" s="779"/>
      <c r="C437" s="779"/>
      <c r="D437" s="779"/>
      <c r="E437" s="779"/>
      <c r="F437" s="779"/>
      <c r="G437" s="779"/>
      <c r="H437" s="779"/>
      <c r="I437" s="779"/>
      <c r="J437" s="779"/>
      <c r="K437" s="779"/>
      <c r="L437" s="779"/>
      <c r="M437" s="779"/>
      <c r="N437" s="779"/>
      <c r="O437" s="779"/>
      <c r="P437" s="779"/>
      <c r="Q437" s="779"/>
      <c r="R437" s="779"/>
      <c r="S437" s="779"/>
      <c r="T437" s="779"/>
      <c r="U437" s="779"/>
      <c r="V437" s="779"/>
      <c r="W437" s="779"/>
      <c r="X437" s="779"/>
      <c r="Y437" s="779"/>
      <c r="Z437" s="779"/>
      <c r="AA437" s="779"/>
      <c r="AB437" s="779"/>
      <c r="AC437" s="779"/>
      <c r="AD437" s="779"/>
      <c r="AE437" s="779"/>
      <c r="AF437" s="779"/>
      <c r="AG437" s="779"/>
      <c r="AH437" s="779"/>
      <c r="AI437" s="779"/>
      <c r="AJ437" s="779"/>
      <c r="AK437" s="779"/>
      <c r="AL437" s="779"/>
      <c r="AM437" s="779"/>
      <c r="AN437" s="779"/>
      <c r="AO437" s="779"/>
      <c r="AP437" s="779"/>
      <c r="AQ437" s="779"/>
      <c r="AR437" s="779"/>
      <c r="AS437" s="779"/>
      <c r="AT437" s="779"/>
      <c r="AU437" s="779"/>
      <c r="AV437" s="779"/>
      <c r="AW437" s="779"/>
      <c r="AX437" s="779"/>
      <c r="AY437" s="779"/>
      <c r="AZ437" s="779"/>
      <c r="BA437" s="779"/>
      <c r="BB437" s="779"/>
      <c r="BC437" s="779"/>
      <c r="BD437" s="779"/>
      <c r="BE437" s="779"/>
      <c r="BF437" s="779"/>
      <c r="BG437" s="779"/>
      <c r="BH437" s="779"/>
      <c r="BI437" s="779"/>
      <c r="BJ437" s="779"/>
      <c r="BK437" s="779"/>
      <c r="BL437" s="779"/>
      <c r="BM437" s="779"/>
      <c r="BN437" s="779"/>
      <c r="BO437" s="779"/>
      <c r="BP437" s="779"/>
      <c r="BQ437" s="779"/>
      <c r="BR437" s="779"/>
      <c r="BS437" s="779"/>
      <c r="BT437" s="779"/>
      <c r="BU437" s="779"/>
      <c r="BV437" s="779"/>
      <c r="BW437" s="779"/>
      <c r="BX437" s="779"/>
      <c r="BY437" s="779"/>
      <c r="BZ437" s="779"/>
      <c r="CA437" s="779"/>
      <c r="CB437" s="779"/>
      <c r="CC437" s="779"/>
    </row>
    <row r="438" spans="1:81">
      <c r="A438" s="779"/>
      <c r="B438" s="779"/>
      <c r="C438" s="779"/>
      <c r="D438" s="779"/>
      <c r="E438" s="779"/>
      <c r="F438" s="779"/>
      <c r="G438" s="779"/>
      <c r="H438" s="779"/>
      <c r="I438" s="779"/>
      <c r="J438" s="779"/>
      <c r="K438" s="779"/>
      <c r="L438" s="779"/>
      <c r="M438" s="779"/>
      <c r="N438" s="779"/>
      <c r="O438" s="779"/>
      <c r="P438" s="779"/>
      <c r="Q438" s="779"/>
      <c r="R438" s="779"/>
      <c r="S438" s="779"/>
      <c r="T438" s="779"/>
      <c r="U438" s="779"/>
      <c r="V438" s="779"/>
      <c r="W438" s="779"/>
      <c r="X438" s="779"/>
      <c r="Y438" s="779"/>
      <c r="Z438" s="779"/>
      <c r="AA438" s="779"/>
      <c r="AB438" s="779"/>
      <c r="AC438" s="779"/>
      <c r="AD438" s="779"/>
      <c r="AE438" s="779"/>
      <c r="AF438" s="779"/>
      <c r="AG438" s="779"/>
      <c r="AH438" s="779"/>
      <c r="AI438" s="779"/>
      <c r="AJ438" s="779"/>
      <c r="AK438" s="779"/>
      <c r="AL438" s="779"/>
      <c r="AM438" s="779"/>
      <c r="AN438" s="779"/>
      <c r="AO438" s="779"/>
      <c r="AP438" s="779"/>
      <c r="AQ438" s="779"/>
      <c r="AR438" s="779"/>
      <c r="AS438" s="779"/>
      <c r="AT438" s="779"/>
      <c r="AU438" s="779"/>
      <c r="AV438" s="779"/>
      <c r="AW438" s="779"/>
      <c r="AX438" s="779"/>
      <c r="AY438" s="779"/>
      <c r="AZ438" s="779"/>
      <c r="BA438" s="779"/>
      <c r="BB438" s="779"/>
      <c r="BC438" s="779"/>
      <c r="BD438" s="779"/>
      <c r="BE438" s="779"/>
      <c r="BF438" s="779"/>
      <c r="BG438" s="779"/>
      <c r="BH438" s="779"/>
      <c r="BI438" s="779"/>
      <c r="BJ438" s="779"/>
      <c r="BK438" s="779"/>
      <c r="BL438" s="779"/>
      <c r="BM438" s="779"/>
      <c r="BN438" s="779"/>
      <c r="BO438" s="779"/>
      <c r="BP438" s="779"/>
      <c r="BQ438" s="779"/>
      <c r="BR438" s="779"/>
      <c r="BS438" s="779"/>
      <c r="BT438" s="779"/>
      <c r="BU438" s="779"/>
      <c r="BV438" s="779"/>
      <c r="BW438" s="779"/>
      <c r="BX438" s="779"/>
      <c r="BY438" s="779"/>
      <c r="BZ438" s="779"/>
      <c r="CA438" s="779"/>
      <c r="CB438" s="779"/>
      <c r="CC438" s="779"/>
    </row>
    <row r="439" spans="1:81">
      <c r="A439" s="779"/>
      <c r="B439" s="779"/>
      <c r="C439" s="779"/>
      <c r="D439" s="779"/>
      <c r="E439" s="779"/>
      <c r="F439" s="779"/>
      <c r="G439" s="779"/>
      <c r="H439" s="779"/>
      <c r="I439" s="779"/>
      <c r="J439" s="779"/>
      <c r="K439" s="779"/>
      <c r="L439" s="779"/>
      <c r="M439" s="779"/>
      <c r="N439" s="779"/>
      <c r="O439" s="779"/>
      <c r="P439" s="779"/>
      <c r="Q439" s="779"/>
      <c r="R439" s="779"/>
      <c r="S439" s="779"/>
      <c r="T439" s="779"/>
      <c r="U439" s="779"/>
      <c r="V439" s="779"/>
      <c r="W439" s="779"/>
      <c r="X439" s="779"/>
      <c r="Y439" s="779"/>
      <c r="Z439" s="779"/>
      <c r="AA439" s="779"/>
      <c r="AB439" s="779"/>
      <c r="AC439" s="779"/>
      <c r="AD439" s="779"/>
      <c r="AE439" s="779"/>
      <c r="AF439" s="779"/>
      <c r="AG439" s="779"/>
      <c r="AH439" s="779"/>
      <c r="AI439" s="779"/>
      <c r="AJ439" s="779"/>
      <c r="AK439" s="779"/>
      <c r="AL439" s="779"/>
      <c r="AM439" s="779"/>
      <c r="AN439" s="779"/>
      <c r="AO439" s="779"/>
      <c r="AP439" s="779"/>
      <c r="AQ439" s="779"/>
      <c r="AR439" s="779"/>
      <c r="AS439" s="779"/>
      <c r="AT439" s="779"/>
      <c r="AU439" s="779"/>
      <c r="AV439" s="779"/>
      <c r="AW439" s="779"/>
      <c r="AX439" s="779"/>
      <c r="AY439" s="779"/>
      <c r="AZ439" s="779"/>
      <c r="BA439" s="779"/>
      <c r="BB439" s="779"/>
      <c r="BC439" s="779"/>
      <c r="BD439" s="779"/>
      <c r="BE439" s="779"/>
      <c r="BF439" s="779"/>
      <c r="BG439" s="779"/>
      <c r="BH439" s="779"/>
      <c r="BI439" s="779"/>
      <c r="BJ439" s="779"/>
      <c r="BK439" s="779"/>
      <c r="BL439" s="779"/>
      <c r="BM439" s="779"/>
      <c r="BN439" s="779"/>
      <c r="BO439" s="779"/>
      <c r="BP439" s="779"/>
      <c r="BQ439" s="779"/>
      <c r="BR439" s="779"/>
      <c r="BS439" s="779"/>
      <c r="BT439" s="779"/>
      <c r="BU439" s="779"/>
      <c r="BV439" s="779"/>
      <c r="BW439" s="779"/>
      <c r="BX439" s="779"/>
      <c r="BY439" s="779"/>
      <c r="BZ439" s="779"/>
      <c r="CA439" s="779"/>
      <c r="CB439" s="779"/>
      <c r="CC439" s="779"/>
    </row>
    <row r="440" spans="1:81">
      <c r="A440" s="779"/>
      <c r="B440" s="779"/>
      <c r="C440" s="779"/>
      <c r="D440" s="779"/>
      <c r="E440" s="779"/>
      <c r="F440" s="779"/>
      <c r="G440" s="779"/>
      <c r="H440" s="779"/>
      <c r="I440" s="779"/>
      <c r="J440" s="779"/>
      <c r="K440" s="779"/>
      <c r="L440" s="779"/>
      <c r="M440" s="779"/>
      <c r="N440" s="779"/>
      <c r="O440" s="779"/>
      <c r="P440" s="779"/>
      <c r="Q440" s="779"/>
      <c r="R440" s="779"/>
      <c r="S440" s="779"/>
      <c r="T440" s="779"/>
      <c r="U440" s="779"/>
      <c r="V440" s="779"/>
      <c r="W440" s="779"/>
      <c r="X440" s="779"/>
      <c r="Y440" s="779"/>
      <c r="Z440" s="779"/>
      <c r="AA440" s="779"/>
      <c r="AB440" s="779"/>
      <c r="AC440" s="779"/>
      <c r="AD440" s="779"/>
      <c r="AE440" s="779"/>
      <c r="AF440" s="779"/>
      <c r="AG440" s="779"/>
      <c r="AH440" s="779"/>
      <c r="AI440" s="779"/>
      <c r="AJ440" s="779"/>
      <c r="AK440" s="779"/>
      <c r="AL440" s="779"/>
      <c r="AM440" s="779"/>
      <c r="AN440" s="779"/>
      <c r="AO440" s="779"/>
      <c r="AP440" s="779"/>
      <c r="AQ440" s="779"/>
      <c r="AR440" s="779"/>
      <c r="AS440" s="779"/>
      <c r="AT440" s="779"/>
      <c r="AU440" s="779"/>
      <c r="AV440" s="779"/>
      <c r="AW440" s="779"/>
      <c r="AX440" s="779"/>
      <c r="AY440" s="779"/>
      <c r="AZ440" s="779"/>
      <c r="BA440" s="779"/>
      <c r="BB440" s="779"/>
      <c r="BC440" s="779"/>
      <c r="BD440" s="779"/>
      <c r="BE440" s="779"/>
      <c r="BF440" s="779"/>
      <c r="BG440" s="779"/>
      <c r="BH440" s="779"/>
      <c r="BI440" s="779"/>
      <c r="BJ440" s="779"/>
      <c r="BK440" s="779"/>
      <c r="BL440" s="779"/>
      <c r="BM440" s="779"/>
      <c r="BN440" s="779"/>
      <c r="BO440" s="779"/>
      <c r="BP440" s="779"/>
      <c r="BQ440" s="779"/>
      <c r="BR440" s="779"/>
      <c r="BS440" s="779"/>
      <c r="BT440" s="779"/>
      <c r="BU440" s="779"/>
      <c r="BV440" s="779"/>
      <c r="BW440" s="779"/>
      <c r="BX440" s="779"/>
      <c r="BY440" s="779"/>
      <c r="BZ440" s="779"/>
      <c r="CA440" s="779"/>
      <c r="CB440" s="779"/>
      <c r="CC440" s="779"/>
    </row>
    <row r="441" spans="1:81">
      <c r="A441" s="779"/>
      <c r="B441" s="779"/>
      <c r="C441" s="779"/>
      <c r="D441" s="779"/>
      <c r="E441" s="779"/>
      <c r="F441" s="779"/>
      <c r="G441" s="779"/>
      <c r="H441" s="779"/>
      <c r="I441" s="779"/>
      <c r="J441" s="779"/>
      <c r="K441" s="779"/>
      <c r="L441" s="779"/>
      <c r="M441" s="779"/>
      <c r="N441" s="779"/>
      <c r="O441" s="779"/>
      <c r="P441" s="779"/>
      <c r="Q441" s="779"/>
      <c r="R441" s="779"/>
      <c r="S441" s="779"/>
      <c r="T441" s="779"/>
      <c r="U441" s="779"/>
      <c r="V441" s="779"/>
      <c r="W441" s="779"/>
      <c r="X441" s="779"/>
      <c r="Y441" s="779"/>
      <c r="Z441" s="779"/>
      <c r="AA441" s="779"/>
      <c r="AB441" s="779"/>
      <c r="AC441" s="779"/>
      <c r="AD441" s="779"/>
      <c r="AE441" s="779"/>
      <c r="AF441" s="779"/>
      <c r="AG441" s="779"/>
      <c r="AH441" s="779"/>
      <c r="AI441" s="779"/>
      <c r="AJ441" s="779"/>
      <c r="AK441" s="779"/>
      <c r="AL441" s="779"/>
      <c r="AM441" s="779"/>
      <c r="AN441" s="779"/>
      <c r="AO441" s="779"/>
      <c r="AP441" s="779"/>
      <c r="AQ441" s="779"/>
      <c r="AR441" s="779"/>
      <c r="AS441" s="779"/>
      <c r="AT441" s="779"/>
      <c r="AU441" s="779"/>
      <c r="AV441" s="779"/>
      <c r="AW441" s="779"/>
      <c r="AX441" s="779"/>
      <c r="AY441" s="779"/>
      <c r="AZ441" s="779"/>
      <c r="BA441" s="779"/>
      <c r="BB441" s="779"/>
      <c r="BC441" s="779"/>
      <c r="BD441" s="779"/>
      <c r="BE441" s="779"/>
      <c r="BF441" s="779"/>
      <c r="BG441" s="779"/>
      <c r="BH441" s="779"/>
      <c r="BI441" s="779"/>
      <c r="BJ441" s="779"/>
      <c r="BK441" s="779"/>
      <c r="BL441" s="779"/>
      <c r="BM441" s="779"/>
      <c r="BN441" s="779"/>
      <c r="BO441" s="779"/>
      <c r="BP441" s="779"/>
      <c r="BQ441" s="779"/>
      <c r="BR441" s="779"/>
      <c r="BS441" s="779"/>
      <c r="BT441" s="779"/>
      <c r="BU441" s="779"/>
      <c r="BV441" s="779"/>
      <c r="BW441" s="779"/>
      <c r="BX441" s="779"/>
      <c r="BY441" s="779"/>
      <c r="BZ441" s="779"/>
      <c r="CA441" s="779"/>
      <c r="CB441" s="779"/>
      <c r="CC441" s="779"/>
    </row>
    <row r="442" spans="1:81">
      <c r="A442" s="779"/>
      <c r="B442" s="779"/>
      <c r="C442" s="779"/>
      <c r="D442" s="779"/>
      <c r="E442" s="779"/>
      <c r="F442" s="779"/>
      <c r="G442" s="779"/>
      <c r="H442" s="779"/>
      <c r="I442" s="779"/>
      <c r="J442" s="779"/>
      <c r="K442" s="779"/>
      <c r="L442" s="779"/>
      <c r="M442" s="779"/>
      <c r="N442" s="779"/>
      <c r="O442" s="779"/>
      <c r="P442" s="779"/>
      <c r="Q442" s="779"/>
      <c r="R442" s="779"/>
      <c r="S442" s="779"/>
      <c r="T442" s="779"/>
      <c r="U442" s="779"/>
      <c r="V442" s="779"/>
      <c r="W442" s="779"/>
      <c r="X442" s="779"/>
      <c r="Y442" s="779"/>
      <c r="Z442" s="779"/>
      <c r="AA442" s="779"/>
      <c r="AB442" s="779"/>
      <c r="AC442" s="779"/>
      <c r="AD442" s="779"/>
      <c r="AE442" s="779"/>
      <c r="AF442" s="779"/>
      <c r="AG442" s="779"/>
      <c r="AH442" s="779"/>
      <c r="AI442" s="779"/>
      <c r="AJ442" s="779"/>
      <c r="AK442" s="779"/>
      <c r="AL442" s="779"/>
      <c r="AM442" s="779"/>
      <c r="AN442" s="779"/>
      <c r="AO442" s="779"/>
      <c r="AP442" s="779"/>
      <c r="AQ442" s="779"/>
      <c r="AR442" s="779"/>
      <c r="AS442" s="779"/>
      <c r="AT442" s="779"/>
      <c r="AU442" s="779"/>
      <c r="AV442" s="779"/>
      <c r="AW442" s="779"/>
      <c r="AX442" s="779"/>
      <c r="AY442" s="779"/>
      <c r="AZ442" s="779"/>
      <c r="BA442" s="779"/>
      <c r="BB442" s="779"/>
      <c r="BC442" s="779"/>
      <c r="BD442" s="779"/>
      <c r="BE442" s="779"/>
      <c r="BF442" s="779"/>
      <c r="BG442" s="779"/>
      <c r="BH442" s="779"/>
      <c r="BI442" s="779"/>
      <c r="BJ442" s="779"/>
      <c r="BK442" s="779"/>
      <c r="BL442" s="779"/>
      <c r="BM442" s="779"/>
      <c r="BN442" s="779"/>
      <c r="BO442" s="779"/>
      <c r="BP442" s="779"/>
      <c r="BQ442" s="779"/>
      <c r="BR442" s="779"/>
      <c r="BS442" s="779"/>
      <c r="BT442" s="779"/>
      <c r="BU442" s="779"/>
      <c r="BV442" s="779"/>
      <c r="BW442" s="779"/>
      <c r="BX442" s="779"/>
      <c r="BY442" s="779"/>
      <c r="BZ442" s="779"/>
      <c r="CA442" s="779"/>
      <c r="CB442" s="779"/>
      <c r="CC442" s="779"/>
    </row>
    <row r="443" spans="1:81">
      <c r="A443" s="779"/>
      <c r="B443" s="779"/>
      <c r="C443" s="779"/>
      <c r="D443" s="779"/>
      <c r="E443" s="779"/>
      <c r="F443" s="779"/>
      <c r="G443" s="779"/>
      <c r="H443" s="779"/>
      <c r="I443" s="779"/>
      <c r="J443" s="779"/>
      <c r="K443" s="779"/>
      <c r="L443" s="779"/>
      <c r="M443" s="779"/>
      <c r="N443" s="779"/>
      <c r="O443" s="779"/>
      <c r="P443" s="779"/>
      <c r="Q443" s="779"/>
      <c r="R443" s="779"/>
      <c r="S443" s="779"/>
      <c r="T443" s="779"/>
      <c r="U443" s="779"/>
      <c r="V443" s="779"/>
      <c r="W443" s="779"/>
      <c r="X443" s="779"/>
      <c r="Y443" s="779"/>
      <c r="Z443" s="779"/>
      <c r="AA443" s="779"/>
      <c r="AB443" s="779"/>
      <c r="AC443" s="779"/>
      <c r="AD443" s="779"/>
      <c r="AE443" s="779"/>
      <c r="AF443" s="779"/>
      <c r="AG443" s="779"/>
      <c r="AH443" s="779"/>
      <c r="AI443" s="779"/>
      <c r="AJ443" s="779"/>
      <c r="AK443" s="779"/>
      <c r="AL443" s="779"/>
      <c r="AM443" s="779"/>
      <c r="AN443" s="779"/>
      <c r="AO443" s="779"/>
      <c r="AP443" s="779"/>
      <c r="AQ443" s="779"/>
      <c r="AR443" s="779"/>
      <c r="AS443" s="779"/>
      <c r="AT443" s="779"/>
      <c r="AU443" s="779"/>
      <c r="AV443" s="779"/>
      <c r="AW443" s="779"/>
      <c r="AX443" s="779"/>
      <c r="AY443" s="779"/>
      <c r="AZ443" s="779"/>
      <c r="BA443" s="779"/>
      <c r="BB443" s="779"/>
      <c r="BC443" s="779"/>
      <c r="BD443" s="779"/>
      <c r="BE443" s="779"/>
      <c r="BF443" s="779"/>
      <c r="BG443" s="779"/>
      <c r="BH443" s="779"/>
      <c r="BI443" s="779"/>
      <c r="BJ443" s="779"/>
      <c r="BK443" s="779"/>
      <c r="BL443" s="779"/>
      <c r="BM443" s="779"/>
      <c r="BN443" s="779"/>
      <c r="BO443" s="779"/>
      <c r="BP443" s="779"/>
      <c r="BQ443" s="779"/>
      <c r="BR443" s="779"/>
      <c r="BS443" s="779"/>
      <c r="BT443" s="779"/>
      <c r="BU443" s="779"/>
      <c r="BV443" s="779"/>
      <c r="BW443" s="779"/>
      <c r="BX443" s="779"/>
      <c r="BY443" s="779"/>
      <c r="BZ443" s="779"/>
      <c r="CA443" s="779"/>
      <c r="CB443" s="779"/>
      <c r="CC443" s="779"/>
    </row>
    <row r="444" spans="1:81">
      <c r="A444" s="779"/>
      <c r="B444" s="779"/>
      <c r="C444" s="779"/>
      <c r="D444" s="779"/>
      <c r="E444" s="779"/>
      <c r="F444" s="779"/>
      <c r="G444" s="779"/>
      <c r="H444" s="779"/>
      <c r="I444" s="779"/>
      <c r="J444" s="779"/>
      <c r="K444" s="779"/>
      <c r="L444" s="779"/>
      <c r="M444" s="779"/>
      <c r="N444" s="779"/>
      <c r="O444" s="779"/>
      <c r="P444" s="779"/>
      <c r="Q444" s="779"/>
      <c r="R444" s="779"/>
      <c r="S444" s="779"/>
      <c r="T444" s="779"/>
      <c r="U444" s="779"/>
      <c r="V444" s="779"/>
      <c r="W444" s="779"/>
      <c r="X444" s="779"/>
      <c r="Y444" s="779"/>
      <c r="Z444" s="779"/>
      <c r="AA444" s="779"/>
      <c r="AB444" s="779"/>
      <c r="AC444" s="779"/>
      <c r="AD444" s="779"/>
      <c r="AE444" s="779"/>
      <c r="AF444" s="779"/>
      <c r="AG444" s="779"/>
      <c r="AH444" s="779"/>
      <c r="AI444" s="779"/>
      <c r="AJ444" s="779"/>
      <c r="AK444" s="779"/>
      <c r="AL444" s="779"/>
      <c r="AM444" s="779"/>
      <c r="AN444" s="779"/>
      <c r="AO444" s="779"/>
      <c r="AP444" s="779"/>
      <c r="AQ444" s="779"/>
      <c r="AR444" s="779"/>
      <c r="AS444" s="779"/>
      <c r="AT444" s="779"/>
      <c r="AU444" s="779"/>
      <c r="AV444" s="779"/>
      <c r="AW444" s="779"/>
      <c r="AX444" s="779"/>
      <c r="AY444" s="779"/>
      <c r="AZ444" s="779"/>
      <c r="BA444" s="779"/>
      <c r="BB444" s="779"/>
      <c r="BC444" s="779"/>
      <c r="BD444" s="779"/>
      <c r="BE444" s="779"/>
      <c r="BF444" s="779"/>
      <c r="BG444" s="779"/>
      <c r="BH444" s="779"/>
      <c r="BI444" s="779"/>
      <c r="BJ444" s="779"/>
      <c r="BK444" s="779"/>
      <c r="BL444" s="779"/>
      <c r="BM444" s="779"/>
      <c r="BN444" s="779"/>
      <c r="BO444" s="779"/>
      <c r="BP444" s="779"/>
      <c r="BQ444" s="779"/>
      <c r="BR444" s="779"/>
      <c r="BS444" s="779"/>
      <c r="BT444" s="779"/>
      <c r="BU444" s="779"/>
      <c r="BV444" s="779"/>
      <c r="BW444" s="779"/>
      <c r="BX444" s="779"/>
      <c r="BY444" s="779"/>
      <c r="BZ444" s="779"/>
      <c r="CA444" s="779"/>
      <c r="CB444" s="779"/>
      <c r="CC444" s="779"/>
    </row>
    <row r="445" spans="1:81">
      <c r="A445" s="779"/>
      <c r="B445" s="779"/>
      <c r="C445" s="779"/>
      <c r="D445" s="779"/>
      <c r="E445" s="779"/>
      <c r="F445" s="779"/>
      <c r="G445" s="779"/>
      <c r="H445" s="779"/>
      <c r="I445" s="779"/>
      <c r="J445" s="779"/>
      <c r="K445" s="779"/>
      <c r="L445" s="779"/>
      <c r="M445" s="779"/>
      <c r="N445" s="779"/>
      <c r="O445" s="779"/>
      <c r="P445" s="779"/>
      <c r="Q445" s="779"/>
      <c r="R445" s="779"/>
      <c r="S445" s="779"/>
      <c r="T445" s="779"/>
      <c r="U445" s="779"/>
      <c r="V445" s="779"/>
      <c r="W445" s="779"/>
      <c r="X445" s="779"/>
      <c r="Y445" s="779"/>
      <c r="Z445" s="779"/>
      <c r="AA445" s="779"/>
      <c r="AB445" s="779"/>
      <c r="AC445" s="779"/>
      <c r="AD445" s="779"/>
      <c r="AE445" s="779"/>
      <c r="AF445" s="779"/>
      <c r="AG445" s="779"/>
      <c r="AH445" s="779"/>
      <c r="AI445" s="779"/>
      <c r="AJ445" s="779"/>
      <c r="AK445" s="779"/>
      <c r="AL445" s="779"/>
      <c r="AM445" s="779"/>
      <c r="AN445" s="779"/>
      <c r="AO445" s="779"/>
      <c r="AP445" s="779"/>
      <c r="AQ445" s="779"/>
      <c r="AR445" s="779"/>
      <c r="AS445" s="779"/>
      <c r="AT445" s="779"/>
      <c r="AU445" s="779"/>
      <c r="AV445" s="779"/>
      <c r="AW445" s="779"/>
      <c r="AX445" s="779"/>
      <c r="AY445" s="779"/>
      <c r="AZ445" s="779"/>
      <c r="BA445" s="779"/>
      <c r="BB445" s="779"/>
      <c r="BC445" s="779"/>
      <c r="BD445" s="779"/>
      <c r="BE445" s="779"/>
      <c r="BF445" s="779"/>
      <c r="BG445" s="779"/>
      <c r="BH445" s="779"/>
      <c r="BI445" s="779"/>
      <c r="BJ445" s="779"/>
      <c r="BK445" s="779"/>
      <c r="BL445" s="779"/>
      <c r="BM445" s="779"/>
      <c r="BN445" s="779"/>
      <c r="BO445" s="779"/>
      <c r="BP445" s="779"/>
      <c r="BQ445" s="779"/>
      <c r="BR445" s="779"/>
      <c r="BS445" s="779"/>
      <c r="BT445" s="779"/>
      <c r="BU445" s="779"/>
      <c r="BV445" s="779"/>
      <c r="BW445" s="779"/>
      <c r="BX445" s="779"/>
      <c r="BY445" s="779"/>
      <c r="BZ445" s="779"/>
      <c r="CA445" s="779"/>
      <c r="CB445" s="779"/>
      <c r="CC445" s="779"/>
    </row>
    <row r="446" spans="1:81">
      <c r="A446" s="779"/>
      <c r="B446" s="779"/>
      <c r="C446" s="779"/>
      <c r="D446" s="779"/>
      <c r="E446" s="779"/>
      <c r="F446" s="779"/>
      <c r="G446" s="779"/>
      <c r="H446" s="779"/>
      <c r="I446" s="779"/>
      <c r="J446" s="779"/>
      <c r="K446" s="779"/>
      <c r="L446" s="779"/>
      <c r="M446" s="779"/>
      <c r="N446" s="779"/>
      <c r="O446" s="779"/>
      <c r="P446" s="779"/>
      <c r="Q446" s="779"/>
      <c r="R446" s="779"/>
      <c r="S446" s="779"/>
      <c r="T446" s="779"/>
      <c r="U446" s="779"/>
      <c r="V446" s="779"/>
      <c r="W446" s="779"/>
      <c r="X446" s="779"/>
      <c r="Y446" s="779"/>
      <c r="Z446" s="779"/>
      <c r="AA446" s="779"/>
      <c r="AB446" s="779"/>
      <c r="AC446" s="779"/>
      <c r="AD446" s="779"/>
      <c r="AE446" s="779"/>
      <c r="AF446" s="779"/>
      <c r="AG446" s="779"/>
      <c r="AH446" s="779"/>
      <c r="AI446" s="779"/>
      <c r="AJ446" s="779"/>
      <c r="AK446" s="779"/>
      <c r="AL446" s="779"/>
      <c r="AM446" s="779"/>
      <c r="AN446" s="779"/>
      <c r="AO446" s="779"/>
      <c r="AP446" s="779"/>
      <c r="AQ446" s="779"/>
      <c r="AR446" s="779"/>
      <c r="AS446" s="779"/>
      <c r="AT446" s="779"/>
      <c r="AU446" s="779"/>
      <c r="AV446" s="779"/>
      <c r="AW446" s="779"/>
      <c r="AX446" s="779"/>
      <c r="AY446" s="779"/>
      <c r="AZ446" s="779"/>
      <c r="BA446" s="779"/>
      <c r="BB446" s="779"/>
      <c r="BC446" s="779"/>
      <c r="BD446" s="779"/>
      <c r="BE446" s="779"/>
      <c r="BF446" s="779"/>
      <c r="BG446" s="779"/>
      <c r="BH446" s="779"/>
      <c r="BI446" s="779"/>
      <c r="BJ446" s="779"/>
      <c r="BK446" s="779"/>
      <c r="BL446" s="779"/>
      <c r="BM446" s="779"/>
      <c r="BN446" s="779"/>
      <c r="BO446" s="779"/>
      <c r="BP446" s="779"/>
      <c r="BQ446" s="779"/>
      <c r="BR446" s="779"/>
      <c r="BS446" s="779"/>
      <c r="BT446" s="779"/>
      <c r="BU446" s="779"/>
      <c r="BV446" s="779"/>
      <c r="BW446" s="779"/>
      <c r="BX446" s="779"/>
      <c r="BY446" s="779"/>
      <c r="BZ446" s="779"/>
      <c r="CA446" s="779"/>
      <c r="CB446" s="779"/>
      <c r="CC446" s="779"/>
    </row>
    <row r="447" spans="1:81">
      <c r="A447" s="779"/>
      <c r="B447" s="779"/>
      <c r="C447" s="779"/>
      <c r="D447" s="779"/>
      <c r="E447" s="779"/>
      <c r="F447" s="779"/>
      <c r="G447" s="779"/>
      <c r="H447" s="779"/>
      <c r="I447" s="779"/>
      <c r="J447" s="779"/>
      <c r="K447" s="779"/>
      <c r="L447" s="779"/>
      <c r="M447" s="779"/>
      <c r="N447" s="779"/>
      <c r="O447" s="779"/>
      <c r="P447" s="779"/>
      <c r="Q447" s="779"/>
      <c r="R447" s="779"/>
      <c r="S447" s="779"/>
      <c r="T447" s="779"/>
      <c r="U447" s="779"/>
      <c r="V447" s="779"/>
      <c r="W447" s="779"/>
      <c r="X447" s="779"/>
      <c r="Y447" s="779"/>
      <c r="Z447" s="779"/>
      <c r="AA447" s="779"/>
      <c r="AB447" s="779"/>
      <c r="AC447" s="779"/>
      <c r="AD447" s="779"/>
      <c r="AE447" s="779"/>
      <c r="AF447" s="779"/>
      <c r="AG447" s="779"/>
      <c r="AH447" s="779"/>
      <c r="AI447" s="779"/>
      <c r="AJ447" s="779"/>
      <c r="AK447" s="779"/>
      <c r="AL447" s="779"/>
      <c r="AM447" s="779"/>
      <c r="AN447" s="779"/>
      <c r="AO447" s="779"/>
      <c r="AP447" s="779"/>
      <c r="AQ447" s="779"/>
      <c r="AR447" s="779"/>
      <c r="AS447" s="779"/>
      <c r="AT447" s="779"/>
      <c r="AU447" s="779"/>
      <c r="AV447" s="779"/>
      <c r="AW447" s="779"/>
      <c r="AX447" s="779"/>
      <c r="AY447" s="779"/>
      <c r="AZ447" s="779"/>
      <c r="BA447" s="779"/>
      <c r="BB447" s="779"/>
      <c r="BC447" s="779"/>
      <c r="BD447" s="779"/>
      <c r="BE447" s="779"/>
      <c r="BF447" s="779"/>
      <c r="BG447" s="779"/>
      <c r="BH447" s="779"/>
      <c r="BI447" s="779"/>
      <c r="BJ447" s="779"/>
      <c r="BK447" s="779"/>
      <c r="BL447" s="779"/>
      <c r="BM447" s="779"/>
      <c r="BN447" s="779"/>
      <c r="BO447" s="779"/>
      <c r="BP447" s="779"/>
      <c r="BQ447" s="779"/>
      <c r="BR447" s="779"/>
      <c r="BS447" s="779"/>
      <c r="BT447" s="779"/>
      <c r="BU447" s="779"/>
      <c r="BV447" s="779"/>
      <c r="BW447" s="779"/>
      <c r="BX447" s="779"/>
      <c r="BY447" s="779"/>
      <c r="BZ447" s="779"/>
      <c r="CA447" s="779"/>
      <c r="CB447" s="779"/>
      <c r="CC447" s="779"/>
    </row>
    <row r="448" spans="1:81">
      <c r="A448" s="779"/>
      <c r="B448" s="779"/>
      <c r="C448" s="779"/>
      <c r="D448" s="779"/>
      <c r="E448" s="779"/>
      <c r="F448" s="779"/>
      <c r="G448" s="779"/>
      <c r="H448" s="779"/>
      <c r="I448" s="779"/>
      <c r="J448" s="779"/>
      <c r="K448" s="779"/>
      <c r="L448" s="779"/>
      <c r="M448" s="779"/>
      <c r="N448" s="779"/>
      <c r="O448" s="779"/>
      <c r="P448" s="779"/>
      <c r="Q448" s="779"/>
      <c r="R448" s="779"/>
      <c r="S448" s="779"/>
      <c r="T448" s="779"/>
      <c r="U448" s="779"/>
      <c r="V448" s="779"/>
      <c r="W448" s="779"/>
      <c r="X448" s="779"/>
      <c r="Y448" s="779"/>
      <c r="Z448" s="779"/>
      <c r="AA448" s="779"/>
      <c r="AB448" s="779"/>
      <c r="AC448" s="779"/>
      <c r="AD448" s="779"/>
      <c r="AE448" s="779"/>
      <c r="AF448" s="779"/>
      <c r="AG448" s="779"/>
      <c r="AH448" s="779"/>
      <c r="AI448" s="779"/>
      <c r="AJ448" s="779"/>
      <c r="AK448" s="779"/>
      <c r="AL448" s="779"/>
      <c r="AM448" s="779"/>
      <c r="AN448" s="779"/>
      <c r="AO448" s="779"/>
      <c r="AP448" s="779"/>
      <c r="AQ448" s="779"/>
      <c r="AR448" s="779"/>
      <c r="AS448" s="779"/>
      <c r="AT448" s="779"/>
      <c r="AU448" s="779"/>
      <c r="AV448" s="779"/>
      <c r="AW448" s="779"/>
      <c r="AX448" s="779"/>
      <c r="AY448" s="779"/>
      <c r="AZ448" s="779"/>
      <c r="BA448" s="779"/>
      <c r="BB448" s="779"/>
      <c r="BC448" s="779"/>
      <c r="BD448" s="779"/>
      <c r="BE448" s="779"/>
      <c r="BF448" s="779"/>
      <c r="BG448" s="779"/>
      <c r="BH448" s="779"/>
      <c r="BI448" s="779"/>
      <c r="BJ448" s="779"/>
      <c r="BK448" s="779"/>
      <c r="BL448" s="779"/>
      <c r="BM448" s="779"/>
      <c r="BN448" s="779"/>
      <c r="BO448" s="779"/>
      <c r="BP448" s="779"/>
      <c r="BQ448" s="779"/>
      <c r="BR448" s="779"/>
      <c r="BS448" s="779"/>
      <c r="BT448" s="779"/>
      <c r="BU448" s="779"/>
      <c r="BV448" s="779"/>
      <c r="BW448" s="779"/>
      <c r="BX448" s="779"/>
      <c r="BY448" s="779"/>
      <c r="BZ448" s="779"/>
      <c r="CA448" s="779"/>
      <c r="CB448" s="779"/>
      <c r="CC448" s="779"/>
    </row>
    <row r="449" spans="1:81">
      <c r="A449" s="779"/>
      <c r="B449" s="779"/>
      <c r="C449" s="779"/>
      <c r="D449" s="779"/>
      <c r="E449" s="779"/>
      <c r="F449" s="779"/>
      <c r="G449" s="779"/>
      <c r="H449" s="779"/>
      <c r="I449" s="779"/>
      <c r="J449" s="779"/>
      <c r="K449" s="779"/>
      <c r="L449" s="779"/>
      <c r="M449" s="779"/>
      <c r="N449" s="779"/>
      <c r="O449" s="779"/>
      <c r="P449" s="779"/>
      <c r="Q449" s="779"/>
      <c r="R449" s="779"/>
      <c r="S449" s="779"/>
      <c r="T449" s="779"/>
      <c r="U449" s="779"/>
      <c r="V449" s="779"/>
      <c r="W449" s="779"/>
      <c r="X449" s="779"/>
      <c r="Y449" s="779"/>
      <c r="Z449" s="779"/>
      <c r="AA449" s="779"/>
      <c r="AB449" s="779"/>
      <c r="AC449" s="779"/>
      <c r="AD449" s="779"/>
      <c r="AE449" s="779"/>
      <c r="AF449" s="779"/>
      <c r="AG449" s="779"/>
      <c r="AH449" s="779"/>
      <c r="AI449" s="779"/>
      <c r="AJ449" s="779"/>
      <c r="AK449" s="779"/>
      <c r="AL449" s="779"/>
      <c r="AM449" s="779"/>
      <c r="AN449" s="779"/>
      <c r="AO449" s="779"/>
      <c r="AP449" s="779"/>
      <c r="AQ449" s="779"/>
      <c r="AR449" s="779"/>
      <c r="AS449" s="779"/>
      <c r="AT449" s="779"/>
      <c r="AU449" s="779"/>
      <c r="AV449" s="779"/>
      <c r="AW449" s="779"/>
      <c r="AX449" s="779"/>
      <c r="AY449" s="779"/>
      <c r="AZ449" s="779"/>
      <c r="BA449" s="779"/>
      <c r="BB449" s="779"/>
      <c r="BC449" s="779"/>
      <c r="BD449" s="779"/>
      <c r="BE449" s="779"/>
      <c r="BF449" s="779"/>
      <c r="BG449" s="779"/>
      <c r="BH449" s="779"/>
      <c r="BI449" s="779"/>
      <c r="BJ449" s="779"/>
      <c r="BK449" s="779"/>
      <c r="BL449" s="779"/>
      <c r="BM449" s="779"/>
      <c r="BN449" s="779"/>
      <c r="BO449" s="779"/>
      <c r="BP449" s="779"/>
      <c r="BQ449" s="779"/>
      <c r="BR449" s="779"/>
      <c r="BS449" s="779"/>
      <c r="BT449" s="779"/>
      <c r="BU449" s="779"/>
      <c r="BV449" s="779"/>
      <c r="BW449" s="779"/>
      <c r="BX449" s="779"/>
      <c r="BY449" s="779"/>
      <c r="BZ449" s="779"/>
      <c r="CA449" s="779"/>
      <c r="CB449" s="779"/>
      <c r="CC449" s="779"/>
    </row>
    <row r="450" spans="1:81">
      <c r="A450" s="779"/>
      <c r="B450" s="779"/>
      <c r="C450" s="779"/>
      <c r="D450" s="779"/>
      <c r="E450" s="779"/>
      <c r="F450" s="779"/>
      <c r="G450" s="779"/>
      <c r="H450" s="779"/>
      <c r="I450" s="779"/>
      <c r="J450" s="779"/>
      <c r="K450" s="779"/>
      <c r="L450" s="779"/>
      <c r="M450" s="779"/>
      <c r="N450" s="779"/>
      <c r="O450" s="779"/>
      <c r="P450" s="779"/>
      <c r="Q450" s="779"/>
      <c r="R450" s="779"/>
      <c r="S450" s="779"/>
      <c r="T450" s="779"/>
      <c r="U450" s="779"/>
      <c r="V450" s="779"/>
      <c r="W450" s="779"/>
      <c r="X450" s="779"/>
      <c r="Y450" s="779"/>
      <c r="Z450" s="779"/>
      <c r="AA450" s="779"/>
      <c r="AB450" s="779"/>
      <c r="AC450" s="779"/>
      <c r="AD450" s="779"/>
      <c r="AE450" s="779"/>
      <c r="AF450" s="779"/>
      <c r="AG450" s="779"/>
      <c r="AH450" s="779"/>
      <c r="AI450" s="779"/>
      <c r="AJ450" s="779"/>
      <c r="AK450" s="779"/>
      <c r="AL450" s="779"/>
      <c r="AM450" s="779"/>
      <c r="AN450" s="779"/>
      <c r="AO450" s="779"/>
      <c r="AP450" s="779"/>
      <c r="AQ450" s="779"/>
      <c r="AR450" s="779"/>
      <c r="AS450" s="779"/>
      <c r="AT450" s="779"/>
      <c r="AU450" s="779"/>
      <c r="AV450" s="779"/>
      <c r="AW450" s="779"/>
      <c r="AX450" s="779"/>
      <c r="AY450" s="779"/>
      <c r="AZ450" s="779"/>
      <c r="BA450" s="779"/>
      <c r="BB450" s="779"/>
      <c r="BC450" s="779"/>
      <c r="BD450" s="779"/>
      <c r="BE450" s="779"/>
      <c r="BF450" s="779"/>
      <c r="BG450" s="779"/>
      <c r="BH450" s="779"/>
      <c r="BI450" s="779"/>
      <c r="BJ450" s="779"/>
      <c r="BK450" s="779"/>
      <c r="BL450" s="779"/>
      <c r="BM450" s="779"/>
      <c r="BN450" s="779"/>
      <c r="BO450" s="779"/>
      <c r="BP450" s="779"/>
      <c r="BQ450" s="779"/>
      <c r="BR450" s="779"/>
      <c r="BS450" s="779"/>
      <c r="BT450" s="779"/>
      <c r="BU450" s="779"/>
      <c r="BV450" s="779"/>
      <c r="BW450" s="779"/>
      <c r="BX450" s="779"/>
      <c r="BY450" s="779"/>
      <c r="BZ450" s="779"/>
      <c r="CA450" s="779"/>
      <c r="CB450" s="779"/>
      <c r="CC450" s="779"/>
    </row>
    <row r="451" spans="1:81">
      <c r="A451" s="779"/>
      <c r="B451" s="779"/>
      <c r="C451" s="779"/>
      <c r="D451" s="779"/>
      <c r="E451" s="779"/>
      <c r="F451" s="779"/>
      <c r="G451" s="779"/>
      <c r="H451" s="779"/>
      <c r="I451" s="779"/>
      <c r="J451" s="779"/>
      <c r="K451" s="779"/>
      <c r="L451" s="779"/>
      <c r="M451" s="779"/>
      <c r="N451" s="779"/>
      <c r="O451" s="779"/>
      <c r="P451" s="779"/>
      <c r="Q451" s="779"/>
      <c r="R451" s="779"/>
      <c r="S451" s="779"/>
      <c r="T451" s="779"/>
      <c r="U451" s="779"/>
      <c r="V451" s="779"/>
      <c r="W451" s="779"/>
      <c r="X451" s="779"/>
      <c r="Y451" s="779"/>
      <c r="Z451" s="779"/>
      <c r="AA451" s="779"/>
      <c r="AB451" s="779"/>
      <c r="AC451" s="779"/>
      <c r="AD451" s="779"/>
      <c r="AE451" s="779"/>
      <c r="AF451" s="779"/>
      <c r="AG451" s="779"/>
      <c r="AH451" s="779"/>
      <c r="AI451" s="779"/>
      <c r="AJ451" s="779"/>
      <c r="AK451" s="779"/>
      <c r="AL451" s="779"/>
      <c r="AM451" s="779"/>
      <c r="AN451" s="779"/>
      <c r="AO451" s="779"/>
      <c r="AP451" s="779"/>
      <c r="AQ451" s="779"/>
      <c r="AR451" s="779"/>
      <c r="AS451" s="779"/>
      <c r="AT451" s="779"/>
      <c r="AU451" s="779"/>
      <c r="AV451" s="779"/>
      <c r="AW451" s="779"/>
      <c r="AX451" s="779"/>
      <c r="AY451" s="779"/>
      <c r="AZ451" s="779"/>
      <c r="BA451" s="779"/>
      <c r="BB451" s="779"/>
      <c r="BC451" s="779"/>
      <c r="BD451" s="779"/>
      <c r="BE451" s="779"/>
      <c r="BF451" s="779"/>
      <c r="BG451" s="779"/>
      <c r="BH451" s="779"/>
      <c r="BI451" s="779"/>
      <c r="BJ451" s="779"/>
      <c r="BK451" s="779"/>
      <c r="BL451" s="779"/>
      <c r="BM451" s="779"/>
      <c r="BN451" s="779"/>
      <c r="BO451" s="779"/>
      <c r="BP451" s="779"/>
      <c r="BQ451" s="779"/>
      <c r="BR451" s="779"/>
      <c r="BS451" s="779"/>
      <c r="BT451" s="779"/>
      <c r="BU451" s="779"/>
      <c r="BV451" s="779"/>
      <c r="BW451" s="779"/>
      <c r="BX451" s="779"/>
      <c r="BY451" s="779"/>
      <c r="BZ451" s="779"/>
      <c r="CA451" s="779"/>
      <c r="CB451" s="779"/>
      <c r="CC451" s="779"/>
    </row>
    <row r="452" spans="1:81">
      <c r="A452" s="779"/>
      <c r="B452" s="779"/>
      <c r="C452" s="779"/>
      <c r="D452" s="779"/>
      <c r="E452" s="779"/>
      <c r="F452" s="779"/>
      <c r="G452" s="779"/>
      <c r="H452" s="779"/>
      <c r="I452" s="779"/>
      <c r="J452" s="779"/>
      <c r="K452" s="779"/>
      <c r="L452" s="779"/>
      <c r="M452" s="779"/>
      <c r="N452" s="779"/>
      <c r="O452" s="779"/>
      <c r="P452" s="779"/>
      <c r="Q452" s="779"/>
      <c r="R452" s="779"/>
      <c r="S452" s="779"/>
      <c r="T452" s="779"/>
      <c r="U452" s="779"/>
      <c r="V452" s="779"/>
      <c r="W452" s="779"/>
      <c r="X452" s="779"/>
      <c r="Y452" s="779"/>
      <c r="Z452" s="779"/>
      <c r="AA452" s="779"/>
      <c r="AB452" s="779"/>
      <c r="AC452" s="779"/>
      <c r="AD452" s="779"/>
      <c r="AE452" s="779"/>
      <c r="AF452" s="779"/>
      <c r="AG452" s="779"/>
      <c r="AH452" s="779"/>
      <c r="AI452" s="779"/>
      <c r="AJ452" s="779"/>
      <c r="AK452" s="779"/>
      <c r="AL452" s="779"/>
      <c r="AM452" s="779"/>
      <c r="AN452" s="779"/>
      <c r="AO452" s="779"/>
      <c r="AP452" s="779"/>
      <c r="AQ452" s="779"/>
      <c r="AR452" s="779"/>
      <c r="AS452" s="779"/>
      <c r="AT452" s="779"/>
      <c r="AU452" s="779"/>
      <c r="AV452" s="779"/>
      <c r="AW452" s="779"/>
      <c r="AX452" s="779"/>
      <c r="AY452" s="779"/>
      <c r="AZ452" s="779"/>
      <c r="BA452" s="779"/>
      <c r="BB452" s="779"/>
      <c r="BC452" s="779"/>
      <c r="BD452" s="779"/>
      <c r="BE452" s="779"/>
      <c r="BF452" s="779"/>
      <c r="BG452" s="779"/>
      <c r="BH452" s="779"/>
      <c r="BI452" s="779"/>
      <c r="BJ452" s="779"/>
      <c r="BK452" s="779"/>
      <c r="BL452" s="779"/>
      <c r="BM452" s="779"/>
      <c r="BN452" s="779"/>
      <c r="BO452" s="779"/>
      <c r="BP452" s="779"/>
      <c r="BQ452" s="779"/>
      <c r="BR452" s="779"/>
      <c r="BS452" s="779"/>
      <c r="BT452" s="779"/>
      <c r="BU452" s="779"/>
      <c r="BV452" s="779"/>
      <c r="BW452" s="779"/>
      <c r="BX452" s="779"/>
      <c r="BY452" s="779"/>
      <c r="BZ452" s="779"/>
      <c r="CA452" s="779"/>
      <c r="CB452" s="779"/>
      <c r="CC452" s="779"/>
    </row>
    <row r="453" spans="1:81">
      <c r="A453" s="779"/>
      <c r="B453" s="779"/>
      <c r="C453" s="779"/>
      <c r="D453" s="779"/>
      <c r="E453" s="779"/>
      <c r="F453" s="779"/>
      <c r="G453" s="779"/>
      <c r="H453" s="779"/>
      <c r="I453" s="779"/>
      <c r="J453" s="779"/>
      <c r="K453" s="779"/>
      <c r="L453" s="779"/>
      <c r="M453" s="779"/>
      <c r="N453" s="779"/>
      <c r="O453" s="779"/>
      <c r="P453" s="779"/>
      <c r="Q453" s="779"/>
      <c r="R453" s="779"/>
      <c r="S453" s="779"/>
      <c r="T453" s="779"/>
      <c r="U453" s="779"/>
      <c r="V453" s="779"/>
      <c r="W453" s="779"/>
      <c r="X453" s="779"/>
      <c r="Y453" s="779"/>
      <c r="Z453" s="779"/>
      <c r="AA453" s="779"/>
      <c r="AB453" s="779"/>
      <c r="AC453" s="779"/>
      <c r="AD453" s="779"/>
      <c r="AE453" s="779"/>
      <c r="AF453" s="779"/>
      <c r="AG453" s="779"/>
      <c r="AH453" s="779"/>
      <c r="AI453" s="779"/>
      <c r="AJ453" s="779"/>
      <c r="AK453" s="779"/>
      <c r="AL453" s="779"/>
      <c r="AM453" s="779"/>
      <c r="AN453" s="779"/>
      <c r="AO453" s="779"/>
      <c r="AP453" s="779"/>
      <c r="AQ453" s="779"/>
      <c r="AR453" s="779"/>
      <c r="AS453" s="779"/>
      <c r="AT453" s="779"/>
      <c r="AU453" s="779"/>
      <c r="AV453" s="779"/>
      <c r="AW453" s="779"/>
      <c r="AX453" s="779"/>
      <c r="AY453" s="779"/>
      <c r="AZ453" s="779"/>
      <c r="BA453" s="779"/>
      <c r="BB453" s="779"/>
      <c r="BC453" s="779"/>
      <c r="BD453" s="779"/>
      <c r="BE453" s="779"/>
      <c r="BF453" s="779"/>
      <c r="BG453" s="779"/>
      <c r="BH453" s="779"/>
      <c r="BI453" s="779"/>
      <c r="BJ453" s="779"/>
      <c r="BK453" s="779"/>
      <c r="BL453" s="779"/>
      <c r="BM453" s="779"/>
      <c r="BN453" s="779"/>
      <c r="BO453" s="779"/>
      <c r="BP453" s="779"/>
      <c r="BQ453" s="779"/>
      <c r="BR453" s="779"/>
      <c r="BS453" s="779"/>
      <c r="BT453" s="779"/>
      <c r="BU453" s="779"/>
      <c r="BV453" s="779"/>
      <c r="BW453" s="779"/>
      <c r="BX453" s="779"/>
      <c r="BY453" s="779"/>
      <c r="BZ453" s="779"/>
      <c r="CA453" s="779"/>
      <c r="CB453" s="779"/>
      <c r="CC453" s="779"/>
    </row>
    <row r="454" spans="1:81">
      <c r="A454" s="779"/>
      <c r="B454" s="779"/>
      <c r="C454" s="779"/>
      <c r="D454" s="779"/>
      <c r="E454" s="779"/>
      <c r="F454" s="779"/>
      <c r="G454" s="779"/>
      <c r="H454" s="779"/>
      <c r="I454" s="779"/>
      <c r="J454" s="779"/>
      <c r="K454" s="779"/>
      <c r="L454" s="779"/>
      <c r="M454" s="779"/>
      <c r="N454" s="779"/>
      <c r="O454" s="779"/>
      <c r="P454" s="779"/>
      <c r="Q454" s="779"/>
      <c r="R454" s="779"/>
      <c r="S454" s="779"/>
      <c r="T454" s="779"/>
      <c r="U454" s="779"/>
      <c r="V454" s="779"/>
      <c r="W454" s="779"/>
      <c r="X454" s="779"/>
      <c r="Y454" s="779"/>
      <c r="Z454" s="779"/>
      <c r="AA454" s="779"/>
      <c r="AB454" s="779"/>
      <c r="AC454" s="779"/>
      <c r="AD454" s="779"/>
      <c r="AE454" s="779"/>
      <c r="AF454" s="779"/>
      <c r="AG454" s="779"/>
      <c r="AH454" s="779"/>
      <c r="AI454" s="779"/>
      <c r="AJ454" s="779"/>
      <c r="AK454" s="779"/>
      <c r="AL454" s="779"/>
      <c r="AM454" s="779"/>
      <c r="AN454" s="779"/>
      <c r="AO454" s="779"/>
      <c r="AP454" s="779"/>
      <c r="AQ454" s="779"/>
      <c r="AR454" s="779"/>
      <c r="AS454" s="779"/>
      <c r="AT454" s="779"/>
      <c r="AU454" s="779"/>
      <c r="AV454" s="779"/>
      <c r="AW454" s="779"/>
      <c r="AX454" s="779"/>
      <c r="AY454" s="779"/>
      <c r="AZ454" s="779"/>
      <c r="BA454" s="779"/>
      <c r="BB454" s="779"/>
      <c r="BC454" s="779"/>
      <c r="BD454" s="779"/>
      <c r="BE454" s="779"/>
      <c r="BF454" s="779"/>
      <c r="BG454" s="779"/>
      <c r="BH454" s="779"/>
      <c r="BI454" s="779"/>
      <c r="BJ454" s="779"/>
      <c r="BK454" s="779"/>
      <c r="BL454" s="779"/>
      <c r="BM454" s="779"/>
      <c r="BN454" s="779"/>
      <c r="BO454" s="779"/>
      <c r="BP454" s="779"/>
      <c r="BQ454" s="779"/>
      <c r="BR454" s="779"/>
      <c r="BS454" s="779"/>
      <c r="BT454" s="779"/>
      <c r="BU454" s="779"/>
      <c r="BV454" s="779"/>
      <c r="BW454" s="779"/>
      <c r="BX454" s="779"/>
      <c r="BY454" s="779"/>
      <c r="BZ454" s="779"/>
      <c r="CA454" s="779"/>
      <c r="CB454" s="779"/>
      <c r="CC454" s="779"/>
    </row>
    <row r="455" spans="1:81">
      <c r="A455" s="779"/>
      <c r="B455" s="779"/>
      <c r="C455" s="779"/>
      <c r="D455" s="779"/>
      <c r="E455" s="779"/>
      <c r="F455" s="779"/>
      <c r="G455" s="779"/>
      <c r="H455" s="779"/>
      <c r="I455" s="779"/>
      <c r="J455" s="779"/>
      <c r="K455" s="779"/>
      <c r="L455" s="779"/>
      <c r="M455" s="779"/>
      <c r="N455" s="779"/>
      <c r="O455" s="779"/>
      <c r="P455" s="779"/>
      <c r="Q455" s="779"/>
      <c r="R455" s="779"/>
      <c r="S455" s="779"/>
      <c r="T455" s="779"/>
      <c r="U455" s="779"/>
      <c r="V455" s="779"/>
      <c r="W455" s="779"/>
      <c r="X455" s="779"/>
      <c r="Y455" s="779"/>
      <c r="Z455" s="779"/>
      <c r="AA455" s="779"/>
      <c r="AB455" s="779"/>
      <c r="AC455" s="779"/>
      <c r="AD455" s="779"/>
      <c r="AE455" s="779"/>
      <c r="AF455" s="779"/>
      <c r="AG455" s="779"/>
      <c r="AH455" s="779"/>
      <c r="AI455" s="779"/>
      <c r="AJ455" s="779"/>
      <c r="AK455" s="779"/>
      <c r="AL455" s="779"/>
      <c r="AM455" s="779"/>
      <c r="AN455" s="779"/>
      <c r="AO455" s="779"/>
      <c r="AP455" s="779"/>
      <c r="AQ455" s="779"/>
      <c r="AR455" s="779"/>
      <c r="AS455" s="779"/>
      <c r="AT455" s="779"/>
      <c r="AU455" s="779"/>
      <c r="AV455" s="779"/>
      <c r="AW455" s="779"/>
      <c r="AX455" s="779"/>
      <c r="AY455" s="779"/>
      <c r="AZ455" s="779"/>
      <c r="BA455" s="779"/>
      <c r="BB455" s="779"/>
      <c r="BC455" s="779"/>
      <c r="BD455" s="779"/>
      <c r="BE455" s="779"/>
      <c r="BF455" s="779"/>
      <c r="BG455" s="779"/>
      <c r="BH455" s="779"/>
      <c r="BI455" s="779"/>
      <c r="BJ455" s="779"/>
      <c r="BK455" s="779"/>
      <c r="BL455" s="779"/>
      <c r="BM455" s="779"/>
      <c r="BN455" s="779"/>
      <c r="BO455" s="779"/>
      <c r="BP455" s="779"/>
      <c r="BQ455" s="779"/>
      <c r="BR455" s="779"/>
      <c r="BS455" s="779"/>
      <c r="BT455" s="779"/>
      <c r="BU455" s="779"/>
      <c r="BV455" s="779"/>
      <c r="BW455" s="779"/>
      <c r="BX455" s="779"/>
      <c r="BY455" s="779"/>
      <c r="BZ455" s="779"/>
      <c r="CA455" s="779"/>
      <c r="CB455" s="779"/>
      <c r="CC455" s="779"/>
    </row>
    <row r="456" spans="1:81">
      <c r="A456" s="779"/>
      <c r="B456" s="779"/>
      <c r="C456" s="779"/>
      <c r="D456" s="779"/>
      <c r="E456" s="779"/>
      <c r="F456" s="779"/>
      <c r="G456" s="779"/>
      <c r="H456" s="779"/>
      <c r="I456" s="779"/>
      <c r="J456" s="779"/>
      <c r="K456" s="779"/>
      <c r="L456" s="779"/>
      <c r="M456" s="779"/>
      <c r="N456" s="779"/>
      <c r="O456" s="779"/>
      <c r="P456" s="779"/>
      <c r="Q456" s="779"/>
      <c r="R456" s="779"/>
      <c r="S456" s="779"/>
      <c r="T456" s="779"/>
      <c r="U456" s="779"/>
      <c r="V456" s="779"/>
      <c r="W456" s="779"/>
      <c r="X456" s="779"/>
      <c r="Y456" s="779"/>
      <c r="Z456" s="779"/>
      <c r="AA456" s="779"/>
      <c r="AB456" s="779"/>
      <c r="AC456" s="779"/>
      <c r="AD456" s="779"/>
      <c r="AE456" s="779"/>
      <c r="AF456" s="779"/>
      <c r="AG456" s="779"/>
      <c r="AH456" s="779"/>
      <c r="AI456" s="779"/>
      <c r="AJ456" s="779"/>
      <c r="AK456" s="779"/>
      <c r="AL456" s="779"/>
      <c r="AM456" s="779"/>
      <c r="AN456" s="779"/>
      <c r="AO456" s="779"/>
      <c r="AP456" s="779"/>
      <c r="AQ456" s="779"/>
      <c r="AR456" s="779"/>
      <c r="AS456" s="779"/>
      <c r="AT456" s="779"/>
      <c r="AU456" s="779"/>
      <c r="AV456" s="779"/>
      <c r="AW456" s="779"/>
      <c r="AX456" s="779"/>
      <c r="AY456" s="779"/>
      <c r="AZ456" s="779"/>
      <c r="BA456" s="779"/>
      <c r="BB456" s="779"/>
      <c r="BC456" s="779"/>
      <c r="BD456" s="779"/>
      <c r="BE456" s="779"/>
      <c r="BF456" s="779"/>
      <c r="BG456" s="779"/>
      <c r="BH456" s="779"/>
      <c r="BI456" s="779"/>
      <c r="BJ456" s="779"/>
      <c r="BK456" s="779"/>
      <c r="BL456" s="779"/>
      <c r="BM456" s="779"/>
      <c r="BN456" s="779"/>
      <c r="BO456" s="779"/>
      <c r="BP456" s="779"/>
      <c r="BQ456" s="779"/>
      <c r="BR456" s="779"/>
      <c r="BS456" s="779"/>
      <c r="BT456" s="779"/>
      <c r="BU456" s="779"/>
      <c r="BV456" s="779"/>
      <c r="BW456" s="779"/>
      <c r="BX456" s="779"/>
      <c r="BY456" s="779"/>
      <c r="BZ456" s="779"/>
      <c r="CA456" s="779"/>
      <c r="CB456" s="779"/>
      <c r="CC456" s="779"/>
    </row>
    <row r="457" spans="1:81">
      <c r="A457" s="779"/>
      <c r="B457" s="779"/>
      <c r="C457" s="779"/>
      <c r="D457" s="779"/>
      <c r="E457" s="779"/>
      <c r="F457" s="779"/>
      <c r="G457" s="779"/>
      <c r="H457" s="779"/>
      <c r="I457" s="779"/>
      <c r="J457" s="779"/>
      <c r="K457" s="779"/>
      <c r="L457" s="779"/>
      <c r="M457" s="779"/>
      <c r="N457" s="779"/>
      <c r="O457" s="779"/>
      <c r="P457" s="779"/>
      <c r="Q457" s="779"/>
      <c r="R457" s="779"/>
      <c r="S457" s="779"/>
      <c r="T457" s="779"/>
      <c r="U457" s="779"/>
      <c r="V457" s="779"/>
      <c r="W457" s="779"/>
      <c r="X457" s="779"/>
      <c r="Y457" s="779"/>
      <c r="Z457" s="779"/>
      <c r="AA457" s="779"/>
      <c r="AB457" s="779"/>
      <c r="AC457" s="779"/>
      <c r="AD457" s="779"/>
      <c r="AE457" s="779"/>
      <c r="AF457" s="779"/>
      <c r="AG457" s="779"/>
      <c r="AH457" s="779"/>
      <c r="AI457" s="779"/>
      <c r="AJ457" s="779"/>
      <c r="AK457" s="779"/>
      <c r="AL457" s="779"/>
      <c r="AM457" s="779"/>
      <c r="AN457" s="779"/>
      <c r="AO457" s="779"/>
      <c r="AP457" s="779"/>
      <c r="AQ457" s="779"/>
      <c r="AR457" s="779"/>
      <c r="AS457" s="779"/>
      <c r="AT457" s="779"/>
      <c r="AU457" s="779"/>
      <c r="AV457" s="779"/>
      <c r="AW457" s="779"/>
      <c r="AX457" s="779"/>
      <c r="AY457" s="779"/>
      <c r="AZ457" s="779"/>
      <c r="BA457" s="779"/>
      <c r="BB457" s="779"/>
      <c r="BC457" s="779"/>
      <c r="BD457" s="779"/>
      <c r="BE457" s="779"/>
      <c r="BF457" s="779"/>
      <c r="BG457" s="779"/>
      <c r="BH457" s="779"/>
      <c r="BI457" s="779"/>
      <c r="BJ457" s="779"/>
      <c r="BK457" s="779"/>
      <c r="BL457" s="779"/>
      <c r="BM457" s="779"/>
      <c r="BN457" s="779"/>
      <c r="BO457" s="779"/>
      <c r="BP457" s="779"/>
      <c r="BQ457" s="779"/>
      <c r="BR457" s="779"/>
      <c r="BS457" s="779"/>
      <c r="BT457" s="779"/>
      <c r="BU457" s="779"/>
      <c r="BV457" s="779"/>
      <c r="BW457" s="779"/>
      <c r="BX457" s="779"/>
      <c r="BY457" s="779"/>
      <c r="BZ457" s="779"/>
      <c r="CA457" s="779"/>
      <c r="CB457" s="779"/>
      <c r="CC457" s="779"/>
    </row>
    <row r="458" spans="1:81">
      <c r="A458" s="779"/>
      <c r="B458" s="779"/>
      <c r="C458" s="779"/>
      <c r="D458" s="779"/>
      <c r="E458" s="779"/>
      <c r="F458" s="779"/>
      <c r="G458" s="779"/>
      <c r="H458" s="779"/>
      <c r="I458" s="779"/>
      <c r="J458" s="779"/>
      <c r="K458" s="779"/>
      <c r="L458" s="779"/>
      <c r="M458" s="779"/>
      <c r="N458" s="779"/>
      <c r="O458" s="779"/>
      <c r="P458" s="779"/>
      <c r="Q458" s="779"/>
      <c r="R458" s="779"/>
      <c r="S458" s="779"/>
      <c r="T458" s="779"/>
      <c r="U458" s="779"/>
      <c r="V458" s="779"/>
      <c r="W458" s="779"/>
      <c r="X458" s="779"/>
      <c r="Y458" s="779"/>
      <c r="Z458" s="779"/>
      <c r="AA458" s="779"/>
      <c r="AB458" s="779"/>
      <c r="AC458" s="779"/>
      <c r="AD458" s="779"/>
      <c r="AE458" s="779"/>
      <c r="AF458" s="779"/>
      <c r="AG458" s="779"/>
      <c r="AH458" s="779"/>
      <c r="AI458" s="779"/>
      <c r="AJ458" s="779"/>
      <c r="AK458" s="779"/>
      <c r="AL458" s="779"/>
      <c r="AM458" s="779"/>
      <c r="AN458" s="779"/>
      <c r="AO458" s="779"/>
      <c r="AP458" s="779"/>
      <c r="AQ458" s="779"/>
      <c r="AR458" s="779"/>
      <c r="AS458" s="779"/>
      <c r="AT458" s="779"/>
      <c r="AU458" s="779"/>
      <c r="AV458" s="779"/>
      <c r="AW458" s="779"/>
      <c r="AX458" s="779"/>
      <c r="AY458" s="779"/>
      <c r="AZ458" s="779"/>
      <c r="BA458" s="779"/>
      <c r="BB458" s="779"/>
      <c r="BC458" s="779"/>
      <c r="BD458" s="779"/>
      <c r="BE458" s="779"/>
      <c r="BF458" s="779"/>
      <c r="BG458" s="779"/>
      <c r="BH458" s="779"/>
      <c r="BI458" s="779"/>
      <c r="BJ458" s="779"/>
      <c r="BK458" s="779"/>
      <c r="BL458" s="779"/>
      <c r="BM458" s="779"/>
      <c r="BN458" s="779"/>
      <c r="BO458" s="779"/>
      <c r="BP458" s="779"/>
      <c r="BQ458" s="779"/>
      <c r="BR458" s="779"/>
      <c r="BS458" s="779"/>
      <c r="BT458" s="779"/>
      <c r="BU458" s="779"/>
      <c r="BV458" s="779"/>
      <c r="BW458" s="779"/>
      <c r="BX458" s="779"/>
      <c r="BY458" s="779"/>
      <c r="BZ458" s="779"/>
      <c r="CA458" s="779"/>
      <c r="CB458" s="779"/>
      <c r="CC458" s="779"/>
    </row>
    <row r="459" spans="1:81">
      <c r="A459" s="779"/>
      <c r="B459" s="779"/>
      <c r="C459" s="779"/>
      <c r="D459" s="779"/>
      <c r="E459" s="779"/>
      <c r="F459" s="779"/>
      <c r="G459" s="779"/>
      <c r="H459" s="779"/>
      <c r="I459" s="779"/>
      <c r="J459" s="779"/>
      <c r="K459" s="779"/>
      <c r="L459" s="779"/>
      <c r="M459" s="779"/>
      <c r="N459" s="779"/>
      <c r="O459" s="779"/>
      <c r="P459" s="779"/>
      <c r="Q459" s="779"/>
      <c r="R459" s="779"/>
      <c r="S459" s="779"/>
      <c r="T459" s="779"/>
      <c r="U459" s="779"/>
      <c r="V459" s="779"/>
      <c r="W459" s="779"/>
      <c r="X459" s="779"/>
      <c r="Y459" s="779"/>
      <c r="Z459" s="779"/>
      <c r="AA459" s="779"/>
      <c r="AB459" s="779"/>
      <c r="AC459" s="779"/>
      <c r="AD459" s="779"/>
      <c r="AE459" s="779"/>
      <c r="AF459" s="779"/>
      <c r="AG459" s="779"/>
      <c r="AH459" s="779"/>
      <c r="AI459" s="779"/>
      <c r="AJ459" s="779"/>
      <c r="AK459" s="779"/>
      <c r="AL459" s="779"/>
      <c r="AM459" s="779"/>
      <c r="AN459" s="779"/>
      <c r="AO459" s="779"/>
      <c r="AP459" s="779"/>
      <c r="AQ459" s="779"/>
      <c r="AR459" s="779"/>
      <c r="AS459" s="779"/>
      <c r="AT459" s="779"/>
      <c r="AU459" s="779"/>
      <c r="AV459" s="779"/>
      <c r="AW459" s="779"/>
      <c r="AX459" s="779"/>
      <c r="AY459" s="779"/>
      <c r="AZ459" s="779"/>
      <c r="BA459" s="779"/>
      <c r="BB459" s="779"/>
      <c r="BC459" s="779"/>
      <c r="BD459" s="779"/>
      <c r="BE459" s="779"/>
      <c r="BF459" s="779"/>
      <c r="BG459" s="779"/>
      <c r="BH459" s="779"/>
      <c r="BI459" s="779"/>
      <c r="BJ459" s="779"/>
      <c r="BK459" s="779"/>
      <c r="BL459" s="779"/>
      <c r="BM459" s="779"/>
      <c r="BN459" s="779"/>
      <c r="BO459" s="779"/>
      <c r="BP459" s="779"/>
      <c r="BQ459" s="779"/>
      <c r="BR459" s="779"/>
      <c r="BS459" s="779"/>
      <c r="BT459" s="779"/>
      <c r="BU459" s="779"/>
      <c r="BV459" s="779"/>
      <c r="BW459" s="779"/>
      <c r="BX459" s="779"/>
      <c r="BY459" s="779"/>
      <c r="BZ459" s="779"/>
      <c r="CA459" s="779"/>
      <c r="CB459" s="779"/>
      <c r="CC459" s="779"/>
    </row>
    <row r="460" spans="1:81">
      <c r="A460" s="779"/>
      <c r="B460" s="779"/>
      <c r="C460" s="779"/>
      <c r="D460" s="779"/>
      <c r="E460" s="779"/>
      <c r="F460" s="779"/>
      <c r="G460" s="779"/>
      <c r="H460" s="779"/>
      <c r="I460" s="779"/>
      <c r="J460" s="779"/>
      <c r="K460" s="779"/>
      <c r="L460" s="779"/>
      <c r="M460" s="779"/>
      <c r="N460" s="779"/>
      <c r="O460" s="779"/>
      <c r="P460" s="779"/>
      <c r="Q460" s="779"/>
      <c r="R460" s="779"/>
      <c r="S460" s="779"/>
      <c r="T460" s="779"/>
      <c r="U460" s="779"/>
      <c r="V460" s="779"/>
      <c r="W460" s="779"/>
      <c r="X460" s="779"/>
      <c r="Y460" s="779"/>
      <c r="Z460" s="779"/>
      <c r="AA460" s="779"/>
      <c r="AB460" s="779"/>
      <c r="AC460" s="779"/>
      <c r="AD460" s="779"/>
      <c r="AE460" s="779"/>
      <c r="AF460" s="779"/>
      <c r="AG460" s="779"/>
      <c r="AH460" s="779"/>
      <c r="AI460" s="779"/>
      <c r="AJ460" s="779"/>
      <c r="AK460" s="779"/>
      <c r="AL460" s="779"/>
      <c r="AM460" s="779"/>
      <c r="AN460" s="779"/>
      <c r="AO460" s="779"/>
      <c r="AP460" s="779"/>
      <c r="AQ460" s="779"/>
      <c r="AR460" s="779"/>
      <c r="AS460" s="779"/>
      <c r="AT460" s="779"/>
      <c r="AU460" s="779"/>
      <c r="AV460" s="779"/>
      <c r="AW460" s="779"/>
      <c r="AX460" s="779"/>
      <c r="AY460" s="779"/>
      <c r="AZ460" s="779"/>
      <c r="BA460" s="779"/>
      <c r="BB460" s="779"/>
      <c r="BC460" s="779"/>
      <c r="BD460" s="779"/>
      <c r="BE460" s="779"/>
      <c r="BF460" s="779"/>
      <c r="BG460" s="779"/>
      <c r="BH460" s="779"/>
      <c r="BI460" s="779"/>
      <c r="BJ460" s="779"/>
      <c r="BK460" s="779"/>
      <c r="BL460" s="779"/>
      <c r="BM460" s="779"/>
      <c r="BN460" s="779"/>
      <c r="BO460" s="779"/>
      <c r="BP460" s="779"/>
      <c r="BQ460" s="779"/>
      <c r="BR460" s="779"/>
      <c r="BS460" s="779"/>
      <c r="BT460" s="779"/>
      <c r="BU460" s="779"/>
      <c r="BV460" s="779"/>
      <c r="BW460" s="779"/>
      <c r="BX460" s="779"/>
      <c r="BY460" s="779"/>
      <c r="BZ460" s="779"/>
      <c r="CA460" s="779"/>
      <c r="CB460" s="779"/>
      <c r="CC460" s="779"/>
    </row>
    <row r="461" spans="1:81">
      <c r="A461" s="779"/>
      <c r="B461" s="779"/>
      <c r="C461" s="779"/>
      <c r="D461" s="779"/>
      <c r="E461" s="779"/>
      <c r="F461" s="779"/>
      <c r="G461" s="779"/>
      <c r="H461" s="779"/>
      <c r="I461" s="779"/>
      <c r="J461" s="779"/>
      <c r="K461" s="779"/>
      <c r="L461" s="779"/>
      <c r="M461" s="779"/>
      <c r="N461" s="779"/>
      <c r="O461" s="779"/>
      <c r="P461" s="779"/>
      <c r="Q461" s="779"/>
      <c r="R461" s="779"/>
      <c r="S461" s="779"/>
      <c r="T461" s="779"/>
      <c r="U461" s="779"/>
      <c r="V461" s="779"/>
      <c r="W461" s="779"/>
      <c r="X461" s="779"/>
      <c r="Y461" s="779"/>
      <c r="Z461" s="779"/>
      <c r="AA461" s="779"/>
      <c r="AB461" s="779"/>
      <c r="AC461" s="779"/>
      <c r="AD461" s="779"/>
      <c r="AE461" s="779"/>
      <c r="AF461" s="779"/>
      <c r="AG461" s="779"/>
      <c r="AH461" s="779"/>
      <c r="AI461" s="779"/>
      <c r="AJ461" s="779"/>
      <c r="AK461" s="779"/>
      <c r="AL461" s="779"/>
      <c r="AM461" s="779"/>
      <c r="AN461" s="779"/>
      <c r="AO461" s="779"/>
      <c r="AP461" s="779"/>
      <c r="AQ461" s="779"/>
      <c r="AR461" s="779"/>
      <c r="AS461" s="779"/>
      <c r="AT461" s="779"/>
      <c r="AU461" s="779"/>
      <c r="AV461" s="779"/>
      <c r="AW461" s="779"/>
      <c r="AX461" s="779"/>
      <c r="AY461" s="779"/>
      <c r="AZ461" s="779"/>
      <c r="BA461" s="779"/>
      <c r="BB461" s="779"/>
      <c r="BC461" s="779"/>
      <c r="BD461" s="779"/>
      <c r="BE461" s="779"/>
      <c r="BF461" s="779"/>
      <c r="BG461" s="779"/>
      <c r="BH461" s="779"/>
      <c r="BI461" s="779"/>
      <c r="BJ461" s="779"/>
      <c r="BK461" s="779"/>
      <c r="BL461" s="779"/>
      <c r="BM461" s="779"/>
      <c r="BN461" s="779"/>
      <c r="BO461" s="779"/>
      <c r="BP461" s="779"/>
      <c r="BQ461" s="779"/>
      <c r="BR461" s="779"/>
      <c r="BS461" s="779"/>
      <c r="BT461" s="779"/>
      <c r="BU461" s="779"/>
      <c r="BV461" s="779"/>
      <c r="BW461" s="779"/>
      <c r="BX461" s="779"/>
      <c r="BY461" s="779"/>
      <c r="BZ461" s="779"/>
      <c r="CA461" s="779"/>
      <c r="CB461" s="779"/>
      <c r="CC461" s="779"/>
    </row>
    <row r="462" spans="1:81">
      <c r="A462" s="779"/>
      <c r="B462" s="779"/>
      <c r="C462" s="779"/>
      <c r="D462" s="779"/>
      <c r="E462" s="779"/>
      <c r="F462" s="779"/>
      <c r="G462" s="779"/>
      <c r="H462" s="779"/>
      <c r="I462" s="779"/>
      <c r="J462" s="779"/>
      <c r="K462" s="779"/>
      <c r="L462" s="779"/>
      <c r="M462" s="779"/>
      <c r="N462" s="779"/>
      <c r="O462" s="779"/>
      <c r="P462" s="779"/>
      <c r="Q462" s="779"/>
      <c r="R462" s="779"/>
      <c r="S462" s="779"/>
      <c r="T462" s="779"/>
      <c r="U462" s="779"/>
      <c r="V462" s="779"/>
      <c r="W462" s="779"/>
      <c r="X462" s="779"/>
      <c r="Y462" s="779"/>
      <c r="Z462" s="779"/>
      <c r="AA462" s="779"/>
      <c r="AB462" s="779"/>
      <c r="AC462" s="779"/>
      <c r="AD462" s="779"/>
      <c r="AE462" s="779"/>
      <c r="AF462" s="779"/>
      <c r="AG462" s="779"/>
      <c r="AH462" s="779"/>
      <c r="AI462" s="779"/>
      <c r="AJ462" s="779"/>
      <c r="AK462" s="779"/>
      <c r="AL462" s="779"/>
      <c r="AM462" s="779"/>
      <c r="AN462" s="779"/>
      <c r="AO462" s="779"/>
      <c r="AP462" s="779"/>
      <c r="AQ462" s="779"/>
      <c r="AR462" s="779"/>
      <c r="AS462" s="779"/>
      <c r="AT462" s="779"/>
      <c r="AU462" s="779"/>
      <c r="AV462" s="779"/>
      <c r="AW462" s="779"/>
      <c r="AX462" s="779"/>
      <c r="AY462" s="779"/>
      <c r="AZ462" s="779"/>
      <c r="BA462" s="779"/>
      <c r="BB462" s="779"/>
      <c r="BC462" s="779"/>
      <c r="BD462" s="779"/>
      <c r="BE462" s="779"/>
      <c r="BF462" s="779"/>
      <c r="BG462" s="779"/>
      <c r="BH462" s="779"/>
      <c r="BI462" s="779"/>
      <c r="BJ462" s="779"/>
      <c r="BK462" s="779"/>
      <c r="BL462" s="779"/>
      <c r="BM462" s="779"/>
      <c r="BN462" s="779"/>
      <c r="BO462" s="779"/>
      <c r="BP462" s="779"/>
      <c r="BQ462" s="779"/>
      <c r="BR462" s="779"/>
      <c r="BS462" s="779"/>
      <c r="BT462" s="779"/>
      <c r="BU462" s="779"/>
      <c r="BV462" s="779"/>
      <c r="BW462" s="779"/>
      <c r="BX462" s="779"/>
      <c r="BY462" s="779"/>
      <c r="BZ462" s="779"/>
      <c r="CA462" s="779"/>
      <c r="CB462" s="779"/>
      <c r="CC462" s="779"/>
    </row>
    <row r="463" spans="1:81">
      <c r="A463" s="779"/>
      <c r="B463" s="779"/>
      <c r="C463" s="779"/>
      <c r="D463" s="779"/>
      <c r="E463" s="779"/>
      <c r="F463" s="779"/>
      <c r="G463" s="779"/>
      <c r="H463" s="779"/>
      <c r="I463" s="779"/>
      <c r="J463" s="779"/>
      <c r="K463" s="779"/>
      <c r="L463" s="779"/>
      <c r="M463" s="779"/>
      <c r="N463" s="779"/>
      <c r="O463" s="779"/>
      <c r="P463" s="779"/>
      <c r="Q463" s="779"/>
      <c r="R463" s="779"/>
      <c r="S463" s="779"/>
      <c r="T463" s="779"/>
      <c r="U463" s="779"/>
      <c r="V463" s="779"/>
      <c r="W463" s="779"/>
      <c r="X463" s="779"/>
      <c r="Y463" s="779"/>
      <c r="Z463" s="779"/>
      <c r="AA463" s="779"/>
      <c r="AB463" s="779"/>
      <c r="AC463" s="779"/>
      <c r="AD463" s="779"/>
      <c r="AE463" s="779"/>
      <c r="AF463" s="779"/>
      <c r="AG463" s="779"/>
      <c r="AH463" s="779"/>
      <c r="AI463" s="779"/>
      <c r="AJ463" s="779"/>
      <c r="AK463" s="779"/>
      <c r="AL463" s="779"/>
      <c r="AM463" s="779"/>
      <c r="AN463" s="779"/>
      <c r="AO463" s="779"/>
      <c r="AP463" s="779"/>
      <c r="AQ463" s="779"/>
      <c r="AR463" s="779"/>
      <c r="AS463" s="779"/>
      <c r="AT463" s="779"/>
      <c r="AU463" s="779"/>
      <c r="AV463" s="779"/>
      <c r="AW463" s="779"/>
      <c r="AX463" s="779"/>
      <c r="AY463" s="779"/>
      <c r="AZ463" s="779"/>
      <c r="BA463" s="779"/>
      <c r="BB463" s="779"/>
      <c r="BC463" s="779"/>
      <c r="BD463" s="779"/>
      <c r="BE463" s="779"/>
      <c r="BF463" s="779"/>
      <c r="BG463" s="779"/>
      <c r="BH463" s="779"/>
      <c r="BI463" s="779"/>
      <c r="BJ463" s="779"/>
      <c r="BK463" s="779"/>
      <c r="BL463" s="779"/>
      <c r="BM463" s="779"/>
      <c r="BN463" s="779"/>
      <c r="BO463" s="779"/>
      <c r="BP463" s="779"/>
      <c r="BQ463" s="779"/>
      <c r="BR463" s="779"/>
      <c r="BS463" s="779"/>
      <c r="BT463" s="779"/>
      <c r="BU463" s="779"/>
      <c r="BV463" s="779"/>
      <c r="BW463" s="779"/>
      <c r="BX463" s="779"/>
      <c r="BY463" s="779"/>
      <c r="BZ463" s="779"/>
      <c r="CA463" s="779"/>
      <c r="CB463" s="779"/>
      <c r="CC463" s="779"/>
    </row>
    <row r="464" spans="1:81">
      <c r="A464" s="779"/>
      <c r="B464" s="779"/>
      <c r="C464" s="779"/>
      <c r="D464" s="779"/>
      <c r="E464" s="779"/>
      <c r="F464" s="779"/>
      <c r="G464" s="779"/>
      <c r="H464" s="779"/>
      <c r="I464" s="779"/>
      <c r="J464" s="779"/>
      <c r="K464" s="779"/>
      <c r="L464" s="779"/>
      <c r="M464" s="779"/>
      <c r="N464" s="779"/>
      <c r="O464" s="779"/>
      <c r="P464" s="779"/>
      <c r="Q464" s="779"/>
      <c r="R464" s="779"/>
      <c r="S464" s="779"/>
      <c r="T464" s="779"/>
      <c r="U464" s="779"/>
      <c r="V464" s="779"/>
      <c r="W464" s="779"/>
      <c r="X464" s="779"/>
      <c r="Y464" s="779"/>
      <c r="Z464" s="779"/>
      <c r="AA464" s="779"/>
      <c r="AB464" s="779"/>
      <c r="AC464" s="779"/>
      <c r="AD464" s="779"/>
      <c r="AE464" s="779"/>
      <c r="AF464" s="779"/>
      <c r="AG464" s="779"/>
      <c r="AH464" s="779"/>
      <c r="AI464" s="779"/>
      <c r="AJ464" s="779"/>
      <c r="AK464" s="779"/>
      <c r="AL464" s="779"/>
      <c r="AM464" s="779"/>
      <c r="AN464" s="779"/>
      <c r="AO464" s="779"/>
      <c r="AP464" s="779"/>
      <c r="AQ464" s="779"/>
      <c r="AR464" s="779"/>
      <c r="AS464" s="779"/>
      <c r="AT464" s="779"/>
      <c r="AU464" s="779"/>
      <c r="AV464" s="779"/>
      <c r="AW464" s="779"/>
      <c r="AX464" s="779"/>
      <c r="AY464" s="779"/>
      <c r="AZ464" s="779"/>
      <c r="BA464" s="779"/>
      <c r="BB464" s="779"/>
      <c r="BC464" s="779"/>
      <c r="BD464" s="779"/>
      <c r="BE464" s="779"/>
      <c r="BF464" s="779"/>
      <c r="BG464" s="779"/>
      <c r="BH464" s="779"/>
      <c r="BI464" s="779"/>
      <c r="BJ464" s="779"/>
      <c r="BK464" s="779"/>
      <c r="BL464" s="779"/>
      <c r="BM464" s="779"/>
      <c r="BN464" s="779"/>
      <c r="BO464" s="779"/>
      <c r="BP464" s="779"/>
      <c r="BQ464" s="779"/>
      <c r="BR464" s="779"/>
      <c r="BS464" s="779"/>
      <c r="BT464" s="779"/>
      <c r="BU464" s="779"/>
      <c r="BV464" s="779"/>
      <c r="BW464" s="779"/>
      <c r="BX464" s="779"/>
      <c r="BY464" s="779"/>
      <c r="BZ464" s="779"/>
      <c r="CA464" s="779"/>
      <c r="CB464" s="779"/>
      <c r="CC464" s="779"/>
    </row>
    <row r="465" spans="1:81">
      <c r="A465" s="779"/>
      <c r="B465" s="779"/>
      <c r="C465" s="779"/>
      <c r="D465" s="779"/>
      <c r="E465" s="779"/>
      <c r="F465" s="779"/>
      <c r="G465" s="779"/>
      <c r="H465" s="779"/>
      <c r="I465" s="779"/>
      <c r="J465" s="779"/>
      <c r="K465" s="779"/>
      <c r="L465" s="779"/>
      <c r="M465" s="779"/>
      <c r="N465" s="779"/>
      <c r="O465" s="779"/>
      <c r="P465" s="779"/>
      <c r="Q465" s="779"/>
      <c r="R465" s="779"/>
      <c r="S465" s="779"/>
      <c r="T465" s="779"/>
      <c r="U465" s="779"/>
      <c r="V465" s="779"/>
      <c r="W465" s="779"/>
      <c r="X465" s="779"/>
      <c r="Y465" s="779"/>
      <c r="Z465" s="779"/>
      <c r="AA465" s="779"/>
      <c r="AB465" s="779"/>
      <c r="AC465" s="779"/>
      <c r="AD465" s="779"/>
      <c r="AE465" s="779"/>
      <c r="AF465" s="779"/>
      <c r="AG465" s="779"/>
      <c r="AH465" s="779"/>
      <c r="AI465" s="779"/>
      <c r="AJ465" s="779"/>
      <c r="AK465" s="779"/>
      <c r="AL465" s="779"/>
      <c r="AM465" s="779"/>
      <c r="AN465" s="779"/>
      <c r="AO465" s="779"/>
      <c r="AP465" s="779"/>
      <c r="AQ465" s="779"/>
      <c r="AR465" s="779"/>
      <c r="AS465" s="779"/>
      <c r="AT465" s="779"/>
      <c r="AU465" s="779"/>
      <c r="AV465" s="779"/>
      <c r="AW465" s="779"/>
      <c r="AX465" s="779"/>
      <c r="AY465" s="779"/>
      <c r="AZ465" s="779"/>
      <c r="BA465" s="779"/>
      <c r="BB465" s="779"/>
      <c r="BC465" s="779"/>
      <c r="BD465" s="779"/>
      <c r="BE465" s="779"/>
      <c r="BF465" s="779"/>
      <c r="BG465" s="779"/>
      <c r="BH465" s="779"/>
      <c r="BI465" s="779"/>
      <c r="BJ465" s="779"/>
      <c r="BK465" s="779"/>
      <c r="BL465" s="779"/>
      <c r="BM465" s="779"/>
      <c r="BN465" s="779"/>
      <c r="BO465" s="779"/>
      <c r="BP465" s="779"/>
      <c r="BQ465" s="779"/>
      <c r="BR465" s="779"/>
      <c r="BS465" s="779"/>
      <c r="BT465" s="779"/>
      <c r="BU465" s="779"/>
      <c r="BV465" s="779"/>
      <c r="BW465" s="779"/>
      <c r="BX465" s="779"/>
      <c r="BY465" s="779"/>
      <c r="BZ465" s="779"/>
      <c r="CA465" s="779"/>
      <c r="CB465" s="779"/>
      <c r="CC465" s="779"/>
    </row>
    <row r="466" spans="1:81">
      <c r="A466" s="779"/>
      <c r="B466" s="779"/>
      <c r="C466" s="779"/>
      <c r="D466" s="779"/>
      <c r="E466" s="779"/>
      <c r="F466" s="779"/>
      <c r="G466" s="779"/>
      <c r="H466" s="779"/>
      <c r="I466" s="779"/>
      <c r="J466" s="779"/>
      <c r="K466" s="779"/>
      <c r="L466" s="779"/>
      <c r="M466" s="779"/>
      <c r="N466" s="779"/>
      <c r="O466" s="779"/>
      <c r="P466" s="779"/>
      <c r="Q466" s="779"/>
      <c r="R466" s="779"/>
      <c r="S466" s="779"/>
      <c r="T466" s="779"/>
      <c r="U466" s="779"/>
      <c r="V466" s="779"/>
      <c r="W466" s="779"/>
      <c r="X466" s="779"/>
      <c r="Y466" s="779"/>
      <c r="Z466" s="779"/>
      <c r="AA466" s="779"/>
      <c r="AB466" s="779"/>
      <c r="AC466" s="779"/>
      <c r="AD466" s="779"/>
      <c r="AE466" s="779"/>
      <c r="AF466" s="779"/>
      <c r="AG466" s="779"/>
      <c r="AH466" s="779"/>
      <c r="AI466" s="779"/>
      <c r="AJ466" s="779"/>
      <c r="AK466" s="779"/>
      <c r="AL466" s="779"/>
      <c r="AM466" s="779"/>
      <c r="AN466" s="779"/>
      <c r="AO466" s="779"/>
      <c r="AP466" s="779"/>
      <c r="AQ466" s="779"/>
      <c r="AR466" s="779"/>
      <c r="AS466" s="779"/>
      <c r="AT466" s="779"/>
      <c r="AU466" s="779"/>
      <c r="AV466" s="779"/>
      <c r="AW466" s="779"/>
      <c r="AX466" s="779"/>
      <c r="AY466" s="779"/>
      <c r="AZ466" s="779"/>
      <c r="BA466" s="779"/>
      <c r="BB466" s="779"/>
      <c r="BC466" s="779"/>
      <c r="BD466" s="779"/>
      <c r="BE466" s="779"/>
      <c r="BF466" s="779"/>
      <c r="BG466" s="779"/>
      <c r="BH466" s="779"/>
      <c r="BI466" s="779"/>
      <c r="BJ466" s="779"/>
      <c r="BK466" s="779"/>
      <c r="BL466" s="779"/>
      <c r="BM466" s="779"/>
      <c r="BN466" s="779"/>
      <c r="BO466" s="779"/>
      <c r="BP466" s="779"/>
      <c r="BQ466" s="779"/>
      <c r="BR466" s="779"/>
      <c r="BS466" s="779"/>
      <c r="BT466" s="779"/>
      <c r="BU466" s="779"/>
      <c r="BV466" s="779"/>
      <c r="BW466" s="779"/>
      <c r="BX466" s="779"/>
      <c r="BY466" s="779"/>
      <c r="BZ466" s="779"/>
      <c r="CA466" s="779"/>
      <c r="CB466" s="779"/>
      <c r="CC466" s="779"/>
    </row>
    <row r="467" spans="1:81">
      <c r="A467" s="779"/>
      <c r="B467" s="779"/>
      <c r="C467" s="779"/>
      <c r="D467" s="779"/>
      <c r="E467" s="779"/>
      <c r="F467" s="779"/>
      <c r="G467" s="779"/>
      <c r="H467" s="779"/>
      <c r="I467" s="779"/>
      <c r="J467" s="779"/>
      <c r="K467" s="779"/>
      <c r="L467" s="779"/>
      <c r="M467" s="779"/>
      <c r="N467" s="779"/>
      <c r="O467" s="779"/>
      <c r="P467" s="779"/>
      <c r="Q467" s="779"/>
      <c r="R467" s="779"/>
      <c r="S467" s="779"/>
      <c r="T467" s="779"/>
      <c r="U467" s="779"/>
      <c r="V467" s="779"/>
      <c r="W467" s="779"/>
      <c r="X467" s="779"/>
      <c r="Y467" s="779"/>
      <c r="Z467" s="779"/>
      <c r="AA467" s="779"/>
      <c r="AB467" s="779"/>
      <c r="AC467" s="779"/>
      <c r="AD467" s="779"/>
      <c r="AE467" s="779"/>
      <c r="AF467" s="779"/>
      <c r="AG467" s="779"/>
      <c r="AH467" s="779"/>
      <c r="AI467" s="779"/>
      <c r="AJ467" s="779"/>
      <c r="AK467" s="779"/>
      <c r="AL467" s="779"/>
      <c r="AM467" s="779"/>
      <c r="AN467" s="779"/>
      <c r="AO467" s="779"/>
      <c r="AP467" s="779"/>
      <c r="AQ467" s="779"/>
      <c r="AR467" s="779"/>
      <c r="AS467" s="779"/>
      <c r="AT467" s="779"/>
      <c r="AU467" s="779"/>
      <c r="AV467" s="779"/>
      <c r="AW467" s="779"/>
      <c r="AX467" s="779"/>
      <c r="AY467" s="779"/>
      <c r="AZ467" s="779"/>
      <c r="BA467" s="779"/>
      <c r="BB467" s="779"/>
      <c r="BC467" s="779"/>
      <c r="BD467" s="779"/>
      <c r="BE467" s="779"/>
      <c r="BF467" s="779"/>
      <c r="BG467" s="779"/>
      <c r="BH467" s="779"/>
      <c r="BI467" s="779"/>
      <c r="BJ467" s="779"/>
      <c r="BK467" s="779"/>
      <c r="BL467" s="779"/>
      <c r="BM467" s="779"/>
      <c r="BN467" s="779"/>
      <c r="BO467" s="779"/>
      <c r="BP467" s="779"/>
      <c r="BQ467" s="779"/>
      <c r="BR467" s="779"/>
      <c r="BS467" s="779"/>
      <c r="BT467" s="779"/>
      <c r="BU467" s="779"/>
      <c r="BV467" s="779"/>
      <c r="BW467" s="779"/>
      <c r="BX467" s="779"/>
      <c r="BY467" s="779"/>
      <c r="BZ467" s="779"/>
      <c r="CA467" s="779"/>
      <c r="CB467" s="779"/>
      <c r="CC467" s="779"/>
    </row>
    <row r="468" spans="1:81">
      <c r="A468" s="779"/>
      <c r="B468" s="779"/>
      <c r="C468" s="779"/>
      <c r="D468" s="779"/>
      <c r="E468" s="779"/>
      <c r="F468" s="779"/>
      <c r="G468" s="779"/>
      <c r="H468" s="779"/>
      <c r="I468" s="779"/>
      <c r="J468" s="779"/>
      <c r="K468" s="779"/>
      <c r="L468" s="779"/>
      <c r="M468" s="779"/>
      <c r="N468" s="779"/>
      <c r="O468" s="779"/>
      <c r="P468" s="779"/>
      <c r="Q468" s="779"/>
      <c r="R468" s="779"/>
      <c r="S468" s="779"/>
      <c r="T468" s="779"/>
      <c r="U468" s="779"/>
      <c r="V468" s="779"/>
      <c r="W468" s="779"/>
      <c r="X468" s="779"/>
      <c r="Y468" s="779"/>
      <c r="Z468" s="779"/>
      <c r="AA468" s="779"/>
      <c r="AB468" s="779"/>
      <c r="AC468" s="779"/>
      <c r="AD468" s="779"/>
      <c r="AE468" s="779"/>
      <c r="AF468" s="779"/>
      <c r="AG468" s="779"/>
      <c r="AH468" s="779"/>
      <c r="AI468" s="779"/>
      <c r="AJ468" s="779"/>
      <c r="AK468" s="779"/>
      <c r="AL468" s="779"/>
      <c r="AM468" s="779"/>
      <c r="AN468" s="779"/>
      <c r="AO468" s="779"/>
      <c r="AP468" s="779"/>
      <c r="AQ468" s="779"/>
      <c r="AR468" s="779"/>
      <c r="AS468" s="779"/>
      <c r="AT468" s="779"/>
      <c r="AU468" s="779"/>
      <c r="AV468" s="779"/>
      <c r="AW468" s="779"/>
      <c r="AX468" s="779"/>
      <c r="AY468" s="779"/>
      <c r="AZ468" s="779"/>
      <c r="BA468" s="779"/>
      <c r="BB468" s="779"/>
      <c r="BC468" s="779"/>
      <c r="BD468" s="779"/>
      <c r="BE468" s="779"/>
      <c r="BF468" s="779"/>
      <c r="BG468" s="779"/>
      <c r="BH468" s="779"/>
      <c r="BI468" s="779"/>
      <c r="BJ468" s="779"/>
      <c r="BK468" s="779"/>
      <c r="BL468" s="779"/>
      <c r="BM468" s="779"/>
      <c r="BN468" s="779"/>
      <c r="BO468" s="779"/>
      <c r="BP468" s="779"/>
      <c r="BQ468" s="779"/>
      <c r="BR468" s="779"/>
      <c r="BS468" s="779"/>
      <c r="BT468" s="779"/>
      <c r="BU468" s="779"/>
      <c r="BV468" s="779"/>
      <c r="BW468" s="779"/>
      <c r="BX468" s="779"/>
      <c r="BY468" s="779"/>
      <c r="BZ468" s="779"/>
      <c r="CA468" s="779"/>
      <c r="CB468" s="779"/>
      <c r="CC468" s="779"/>
    </row>
    <row r="469" spans="1:81">
      <c r="A469" s="779"/>
      <c r="B469" s="779"/>
      <c r="C469" s="779"/>
      <c r="D469" s="779"/>
      <c r="E469" s="779"/>
      <c r="F469" s="779"/>
      <c r="G469" s="779"/>
      <c r="H469" s="779"/>
      <c r="I469" s="779"/>
      <c r="J469" s="779"/>
      <c r="K469" s="779"/>
      <c r="L469" s="779"/>
      <c r="M469" s="779"/>
      <c r="N469" s="779"/>
      <c r="O469" s="779"/>
      <c r="P469" s="779"/>
      <c r="Q469" s="779"/>
      <c r="R469" s="779"/>
      <c r="S469" s="779"/>
      <c r="T469" s="779"/>
      <c r="U469" s="779"/>
      <c r="V469" s="779"/>
      <c r="W469" s="779"/>
      <c r="X469" s="779"/>
      <c r="Y469" s="779"/>
      <c r="Z469" s="779"/>
      <c r="AA469" s="779"/>
      <c r="AB469" s="779"/>
      <c r="AC469" s="779"/>
      <c r="AD469" s="779"/>
      <c r="AE469" s="779"/>
      <c r="AF469" s="779"/>
      <c r="AG469" s="779"/>
      <c r="AH469" s="779"/>
      <c r="AI469" s="779"/>
      <c r="AJ469" s="779"/>
      <c r="AK469" s="779"/>
      <c r="AL469" s="779"/>
      <c r="AM469" s="779"/>
      <c r="AN469" s="779"/>
      <c r="AO469" s="779"/>
      <c r="AP469" s="779"/>
      <c r="AQ469" s="779"/>
      <c r="AR469" s="779"/>
      <c r="AS469" s="779"/>
      <c r="AT469" s="779"/>
      <c r="AU469" s="779"/>
      <c r="AV469" s="779"/>
      <c r="AW469" s="779"/>
      <c r="AX469" s="779"/>
      <c r="AY469" s="779"/>
      <c r="AZ469" s="779"/>
      <c r="BA469" s="779"/>
      <c r="BB469" s="779"/>
      <c r="BC469" s="779"/>
      <c r="BD469" s="779"/>
      <c r="BE469" s="779"/>
      <c r="BF469" s="779"/>
      <c r="BG469" s="779"/>
      <c r="BH469" s="779"/>
      <c r="BI469" s="779"/>
      <c r="BJ469" s="779"/>
      <c r="BK469" s="779"/>
      <c r="BL469" s="779"/>
      <c r="BM469" s="779"/>
      <c r="BN469" s="779"/>
      <c r="BO469" s="779"/>
      <c r="BP469" s="779"/>
      <c r="BQ469" s="779"/>
      <c r="BR469" s="779"/>
      <c r="BS469" s="779"/>
      <c r="BT469" s="779"/>
      <c r="BU469" s="779"/>
      <c r="BV469" s="779"/>
      <c r="BW469" s="779"/>
      <c r="BX469" s="779"/>
      <c r="BY469" s="779"/>
      <c r="BZ469" s="779"/>
      <c r="CA469" s="779"/>
      <c r="CB469" s="779"/>
      <c r="CC469" s="779"/>
    </row>
    <row r="470" spans="1:81">
      <c r="A470" s="779"/>
      <c r="B470" s="779"/>
      <c r="C470" s="779"/>
      <c r="D470" s="779"/>
      <c r="E470" s="779"/>
      <c r="F470" s="779"/>
      <c r="G470" s="779"/>
      <c r="H470" s="779"/>
      <c r="I470" s="779"/>
      <c r="J470" s="779"/>
      <c r="K470" s="779"/>
      <c r="L470" s="779"/>
      <c r="M470" s="779"/>
      <c r="N470" s="779"/>
      <c r="O470" s="779"/>
      <c r="P470" s="779"/>
      <c r="Q470" s="779"/>
      <c r="R470" s="779"/>
      <c r="S470" s="779"/>
      <c r="T470" s="779"/>
      <c r="U470" s="779"/>
      <c r="V470" s="779"/>
      <c r="W470" s="779"/>
      <c r="X470" s="779"/>
      <c r="Y470" s="779"/>
      <c r="Z470" s="779"/>
      <c r="AA470" s="779"/>
      <c r="AB470" s="779"/>
      <c r="AC470" s="779"/>
      <c r="AD470" s="779"/>
      <c r="AE470" s="779"/>
      <c r="AF470" s="779"/>
      <c r="AG470" s="779"/>
      <c r="AH470" s="779"/>
      <c r="AI470" s="779"/>
      <c r="AJ470" s="779"/>
      <c r="AK470" s="779"/>
      <c r="AL470" s="779"/>
      <c r="AM470" s="779"/>
      <c r="AN470" s="779"/>
      <c r="AO470" s="779"/>
      <c r="AP470" s="779"/>
      <c r="AQ470" s="779"/>
      <c r="AR470" s="779"/>
      <c r="AS470" s="779"/>
      <c r="AT470" s="779"/>
      <c r="AU470" s="779"/>
      <c r="AV470" s="779"/>
      <c r="AW470" s="779"/>
      <c r="AX470" s="779"/>
      <c r="AY470" s="779"/>
      <c r="AZ470" s="779"/>
      <c r="BA470" s="779"/>
      <c r="BB470" s="779"/>
      <c r="BC470" s="779"/>
      <c r="BD470" s="779"/>
      <c r="BE470" s="779"/>
      <c r="BF470" s="779"/>
      <c r="BG470" s="779"/>
      <c r="BH470" s="779"/>
      <c r="BI470" s="779"/>
      <c r="BJ470" s="779"/>
      <c r="BK470" s="779"/>
      <c r="BL470" s="779"/>
      <c r="BM470" s="779"/>
      <c r="BN470" s="779"/>
      <c r="BO470" s="779"/>
      <c r="BP470" s="779"/>
      <c r="BQ470" s="779"/>
      <c r="BR470" s="779"/>
      <c r="BS470" s="779"/>
      <c r="BT470" s="779"/>
      <c r="BU470" s="779"/>
      <c r="BV470" s="779"/>
      <c r="BW470" s="779"/>
      <c r="BX470" s="779"/>
      <c r="BY470" s="779"/>
      <c r="BZ470" s="779"/>
      <c r="CA470" s="779"/>
      <c r="CB470" s="779"/>
      <c r="CC470" s="779"/>
    </row>
    <row r="471" spans="1:81">
      <c r="A471" s="779"/>
      <c r="B471" s="779"/>
      <c r="C471" s="779"/>
      <c r="D471" s="779"/>
      <c r="E471" s="779"/>
      <c r="F471" s="779"/>
      <c r="G471" s="779"/>
      <c r="H471" s="779"/>
      <c r="I471" s="779"/>
      <c r="J471" s="779"/>
      <c r="K471" s="779"/>
      <c r="L471" s="779"/>
      <c r="M471" s="779"/>
      <c r="N471" s="779"/>
      <c r="O471" s="779"/>
      <c r="P471" s="779"/>
      <c r="Q471" s="779"/>
      <c r="R471" s="779"/>
      <c r="S471" s="779"/>
      <c r="T471" s="779"/>
      <c r="U471" s="779"/>
      <c r="V471" s="779"/>
      <c r="W471" s="779"/>
      <c r="X471" s="779"/>
      <c r="Y471" s="779"/>
      <c r="Z471" s="779"/>
      <c r="AA471" s="779"/>
      <c r="AB471" s="779"/>
      <c r="AC471" s="779"/>
      <c r="AD471" s="779"/>
      <c r="AE471" s="779"/>
      <c r="AF471" s="779"/>
      <c r="AG471" s="779"/>
      <c r="AH471" s="779"/>
      <c r="AI471" s="779"/>
      <c r="AJ471" s="779"/>
      <c r="AK471" s="779"/>
      <c r="AL471" s="779"/>
      <c r="AM471" s="779"/>
      <c r="AN471" s="779"/>
      <c r="AO471" s="779"/>
      <c r="AP471" s="779"/>
      <c r="AQ471" s="779"/>
      <c r="AR471" s="779"/>
      <c r="AS471" s="779"/>
      <c r="AT471" s="779"/>
      <c r="AU471" s="779"/>
      <c r="AV471" s="779"/>
      <c r="AW471" s="779"/>
      <c r="AX471" s="779"/>
      <c r="AY471" s="779"/>
      <c r="AZ471" s="779"/>
      <c r="BA471" s="779"/>
      <c r="BB471" s="779"/>
      <c r="BC471" s="779"/>
      <c r="BD471" s="779"/>
      <c r="BE471" s="779"/>
      <c r="BF471" s="779"/>
      <c r="BG471" s="779"/>
      <c r="BH471" s="779"/>
      <c r="BI471" s="779"/>
      <c r="BJ471" s="779"/>
      <c r="BK471" s="779"/>
      <c r="BL471" s="779"/>
      <c r="BM471" s="779"/>
      <c r="BN471" s="779"/>
      <c r="BO471" s="779"/>
      <c r="BP471" s="779"/>
      <c r="BQ471" s="779"/>
      <c r="BR471" s="779"/>
      <c r="BS471" s="779"/>
      <c r="BT471" s="779"/>
      <c r="BU471" s="779"/>
      <c r="BV471" s="779"/>
      <c r="BW471" s="779"/>
      <c r="BX471" s="779"/>
      <c r="BY471" s="779"/>
      <c r="BZ471" s="779"/>
      <c r="CA471" s="779"/>
      <c r="CB471" s="779"/>
      <c r="CC471" s="779"/>
    </row>
    <row r="472" spans="1:81">
      <c r="A472" s="779"/>
      <c r="B472" s="779"/>
      <c r="C472" s="779"/>
      <c r="D472" s="779"/>
      <c r="E472" s="779"/>
      <c r="F472" s="779"/>
      <c r="G472" s="779"/>
      <c r="H472" s="779"/>
      <c r="I472" s="779"/>
      <c r="J472" s="779"/>
      <c r="K472" s="779"/>
      <c r="L472" s="779"/>
      <c r="M472" s="779"/>
      <c r="N472" s="779"/>
      <c r="O472" s="779"/>
      <c r="P472" s="779"/>
      <c r="Q472" s="779"/>
      <c r="R472" s="779"/>
      <c r="S472" s="779"/>
      <c r="T472" s="779"/>
      <c r="U472" s="779"/>
      <c r="V472" s="779"/>
      <c r="W472" s="779"/>
      <c r="X472" s="779"/>
      <c r="Y472" s="779"/>
      <c r="Z472" s="779"/>
      <c r="AA472" s="779"/>
      <c r="AB472" s="779"/>
      <c r="AC472" s="779"/>
      <c r="AD472" s="779"/>
      <c r="AE472" s="779"/>
      <c r="AF472" s="779"/>
      <c r="AG472" s="779"/>
      <c r="AH472" s="779"/>
      <c r="AI472" s="779"/>
      <c r="AJ472" s="779"/>
      <c r="AK472" s="779"/>
      <c r="AL472" s="779"/>
      <c r="AM472" s="779"/>
      <c r="AN472" s="779"/>
      <c r="AO472" s="779"/>
      <c r="AP472" s="779"/>
      <c r="AQ472" s="779"/>
      <c r="AR472" s="779"/>
      <c r="AS472" s="779"/>
      <c r="AT472" s="779"/>
      <c r="AU472" s="779"/>
      <c r="AV472" s="779"/>
      <c r="AW472" s="779"/>
      <c r="AX472" s="779"/>
      <c r="AY472" s="779"/>
      <c r="AZ472" s="779"/>
      <c r="BA472" s="779"/>
      <c r="BB472" s="779"/>
      <c r="BC472" s="779"/>
      <c r="BD472" s="779"/>
      <c r="BE472" s="779"/>
      <c r="BF472" s="779"/>
      <c r="BG472" s="779"/>
      <c r="BH472" s="779"/>
      <c r="BI472" s="779"/>
      <c r="BJ472" s="779"/>
      <c r="BK472" s="779"/>
      <c r="BL472" s="779"/>
      <c r="BM472" s="779"/>
      <c r="BN472" s="779"/>
      <c r="BO472" s="779"/>
      <c r="BP472" s="779"/>
      <c r="BQ472" s="779"/>
      <c r="BR472" s="779"/>
      <c r="BS472" s="779"/>
      <c r="BT472" s="779"/>
      <c r="BU472" s="779"/>
      <c r="BV472" s="779"/>
      <c r="BW472" s="779"/>
      <c r="BX472" s="779"/>
      <c r="BY472" s="779"/>
      <c r="BZ472" s="779"/>
      <c r="CA472" s="779"/>
      <c r="CB472" s="779"/>
      <c r="CC472" s="779"/>
    </row>
    <row r="473" spans="1:81">
      <c r="A473" s="779"/>
      <c r="B473" s="779"/>
      <c r="C473" s="779"/>
      <c r="D473" s="779"/>
      <c r="E473" s="779"/>
      <c r="F473" s="779"/>
      <c r="G473" s="779"/>
      <c r="H473" s="779"/>
      <c r="I473" s="779"/>
      <c r="J473" s="779"/>
      <c r="K473" s="779"/>
      <c r="L473" s="779"/>
      <c r="M473" s="779"/>
      <c r="N473" s="779"/>
      <c r="O473" s="779"/>
      <c r="P473" s="779"/>
      <c r="Q473" s="779"/>
      <c r="R473" s="779"/>
      <c r="S473" s="779"/>
      <c r="T473" s="779"/>
      <c r="U473" s="779"/>
      <c r="V473" s="779"/>
      <c r="W473" s="779"/>
      <c r="X473" s="779"/>
      <c r="Y473" s="779"/>
      <c r="Z473" s="779"/>
      <c r="AA473" s="779"/>
      <c r="AB473" s="779"/>
      <c r="AC473" s="779"/>
      <c r="AD473" s="779"/>
      <c r="AE473" s="779"/>
      <c r="AF473" s="779"/>
      <c r="AG473" s="779"/>
      <c r="AH473" s="779"/>
      <c r="AI473" s="779"/>
      <c r="AJ473" s="779"/>
      <c r="AK473" s="779"/>
      <c r="AL473" s="779"/>
      <c r="AM473" s="779"/>
      <c r="AN473" s="779"/>
      <c r="AO473" s="779"/>
      <c r="AP473" s="779"/>
      <c r="AQ473" s="779"/>
      <c r="AR473" s="779"/>
      <c r="AS473" s="779"/>
      <c r="AT473" s="779"/>
      <c r="AU473" s="779"/>
      <c r="AV473" s="779"/>
      <c r="AW473" s="779"/>
      <c r="AX473" s="779"/>
      <c r="AY473" s="779"/>
      <c r="AZ473" s="779"/>
      <c r="BA473" s="779"/>
      <c r="BB473" s="779"/>
      <c r="BC473" s="779"/>
      <c r="BD473" s="779"/>
      <c r="BE473" s="779"/>
      <c r="BF473" s="779"/>
      <c r="BG473" s="779"/>
      <c r="BH473" s="779"/>
      <c r="BI473" s="779"/>
      <c r="BJ473" s="779"/>
      <c r="BK473" s="779"/>
      <c r="BL473" s="779"/>
      <c r="BM473" s="779"/>
      <c r="BN473" s="779"/>
      <c r="BO473" s="779"/>
      <c r="BP473" s="779"/>
      <c r="BQ473" s="779"/>
      <c r="BR473" s="779"/>
      <c r="BS473" s="779"/>
      <c r="BT473" s="779"/>
      <c r="BU473" s="779"/>
      <c r="BV473" s="779"/>
      <c r="BW473" s="779"/>
      <c r="BX473" s="779"/>
      <c r="BY473" s="779"/>
      <c r="BZ473" s="779"/>
      <c r="CA473" s="779"/>
      <c r="CB473" s="779"/>
      <c r="CC473" s="779"/>
    </row>
    <row r="474" spans="1:81">
      <c r="A474" s="779"/>
      <c r="B474" s="779"/>
      <c r="C474" s="779"/>
      <c r="D474" s="779"/>
      <c r="E474" s="779"/>
      <c r="F474" s="779"/>
      <c r="G474" s="779"/>
      <c r="H474" s="779"/>
      <c r="I474" s="779"/>
      <c r="J474" s="779"/>
      <c r="K474" s="779"/>
      <c r="L474" s="779"/>
      <c r="M474" s="779"/>
      <c r="N474" s="779"/>
      <c r="O474" s="779"/>
      <c r="P474" s="779"/>
      <c r="Q474" s="779"/>
      <c r="R474" s="779"/>
      <c r="S474" s="779"/>
      <c r="T474" s="779"/>
      <c r="U474" s="779"/>
      <c r="V474" s="779"/>
      <c r="W474" s="779"/>
      <c r="X474" s="779"/>
      <c r="Y474" s="779"/>
      <c r="Z474" s="779"/>
      <c r="AA474" s="779"/>
      <c r="AB474" s="779"/>
      <c r="AC474" s="779"/>
      <c r="AD474" s="779"/>
      <c r="AE474" s="779"/>
      <c r="AF474" s="779"/>
      <c r="AG474" s="779"/>
      <c r="AH474" s="779"/>
      <c r="AI474" s="779"/>
      <c r="AJ474" s="779"/>
      <c r="AK474" s="779"/>
      <c r="AL474" s="779"/>
      <c r="AM474" s="779"/>
      <c r="AN474" s="779"/>
      <c r="AO474" s="779"/>
      <c r="AP474" s="779"/>
      <c r="AQ474" s="779"/>
      <c r="AR474" s="779"/>
      <c r="AS474" s="779"/>
      <c r="AT474" s="779"/>
      <c r="AU474" s="779"/>
      <c r="AV474" s="779"/>
      <c r="AW474" s="779"/>
      <c r="AX474" s="779"/>
      <c r="AY474" s="779"/>
      <c r="AZ474" s="779"/>
      <c r="BA474" s="779"/>
      <c r="BB474" s="779"/>
      <c r="BC474" s="779"/>
      <c r="BD474" s="779"/>
      <c r="BE474" s="779"/>
      <c r="BF474" s="779"/>
      <c r="BG474" s="779"/>
      <c r="BH474" s="779"/>
      <c r="BI474" s="779"/>
      <c r="BJ474" s="779"/>
      <c r="BK474" s="779"/>
      <c r="BL474" s="779"/>
      <c r="BM474" s="779"/>
      <c r="BN474" s="779"/>
      <c r="BO474" s="779"/>
      <c r="BP474" s="779"/>
      <c r="BQ474" s="779"/>
      <c r="BR474" s="779"/>
      <c r="BS474" s="779"/>
      <c r="BT474" s="779"/>
      <c r="BU474" s="779"/>
      <c r="BV474" s="779"/>
      <c r="BW474" s="779"/>
      <c r="BX474" s="779"/>
      <c r="BY474" s="779"/>
      <c r="BZ474" s="779"/>
      <c r="CA474" s="779"/>
      <c r="CB474" s="779"/>
      <c r="CC474" s="779"/>
    </row>
    <row r="475" spans="1:81">
      <c r="A475" s="779"/>
      <c r="B475" s="779"/>
      <c r="C475" s="779"/>
      <c r="D475" s="779"/>
      <c r="E475" s="779"/>
      <c r="F475" s="779"/>
      <c r="G475" s="779"/>
      <c r="H475" s="779"/>
      <c r="I475" s="779"/>
      <c r="J475" s="779"/>
      <c r="K475" s="779"/>
      <c r="L475" s="779"/>
      <c r="M475" s="779"/>
      <c r="N475" s="779"/>
      <c r="O475" s="779"/>
      <c r="P475" s="779"/>
      <c r="Q475" s="779"/>
      <c r="R475" s="779"/>
      <c r="S475" s="779"/>
      <c r="T475" s="779"/>
      <c r="U475" s="779"/>
      <c r="V475" s="779"/>
      <c r="W475" s="779"/>
      <c r="X475" s="779"/>
      <c r="Y475" s="779"/>
      <c r="Z475" s="779"/>
      <c r="AA475" s="779"/>
      <c r="AB475" s="779"/>
      <c r="AC475" s="779"/>
      <c r="AD475" s="779"/>
      <c r="AE475" s="779"/>
      <c r="AF475" s="779"/>
      <c r="AG475" s="779"/>
      <c r="AH475" s="779"/>
      <c r="AI475" s="779"/>
      <c r="AJ475" s="779"/>
      <c r="AK475" s="779"/>
      <c r="AL475" s="779"/>
      <c r="AM475" s="779"/>
      <c r="AN475" s="779"/>
      <c r="AO475" s="779"/>
      <c r="AP475" s="779"/>
      <c r="AQ475" s="779"/>
      <c r="AR475" s="779"/>
      <c r="AS475" s="779"/>
      <c r="AT475" s="779"/>
      <c r="AU475" s="779"/>
      <c r="AV475" s="779"/>
      <c r="AW475" s="779"/>
      <c r="AX475" s="779"/>
      <c r="AY475" s="779"/>
      <c r="AZ475" s="779"/>
      <c r="BA475" s="779"/>
      <c r="BB475" s="779"/>
      <c r="BC475" s="779"/>
      <c r="BD475" s="779"/>
      <c r="BE475" s="779"/>
      <c r="BF475" s="779"/>
      <c r="BG475" s="779"/>
      <c r="BH475" s="779"/>
      <c r="BI475" s="779"/>
      <c r="BJ475" s="779"/>
      <c r="BK475" s="779"/>
      <c r="BL475" s="779"/>
      <c r="BM475" s="779"/>
      <c r="BN475" s="779"/>
      <c r="BO475" s="779"/>
      <c r="BP475" s="779"/>
      <c r="BQ475" s="779"/>
      <c r="BR475" s="779"/>
      <c r="BS475" s="779"/>
      <c r="BT475" s="779"/>
      <c r="BU475" s="779"/>
      <c r="BV475" s="779"/>
      <c r="BW475" s="779"/>
      <c r="BX475" s="779"/>
      <c r="BY475" s="779"/>
      <c r="BZ475" s="779"/>
      <c r="CA475" s="779"/>
      <c r="CB475" s="779"/>
      <c r="CC475" s="779"/>
    </row>
    <row r="476" spans="1:81">
      <c r="A476" s="779"/>
      <c r="B476" s="779"/>
      <c r="C476" s="779"/>
      <c r="D476" s="779"/>
      <c r="E476" s="779"/>
      <c r="F476" s="779"/>
      <c r="G476" s="779"/>
      <c r="H476" s="779"/>
      <c r="I476" s="779"/>
      <c r="J476" s="779"/>
      <c r="K476" s="779"/>
      <c r="L476" s="779"/>
      <c r="M476" s="779"/>
      <c r="N476" s="779"/>
      <c r="O476" s="779"/>
      <c r="P476" s="779"/>
      <c r="Q476" s="779"/>
      <c r="R476" s="779"/>
      <c r="S476" s="779"/>
      <c r="T476" s="779"/>
      <c r="U476" s="779"/>
      <c r="V476" s="779"/>
      <c r="W476" s="779"/>
      <c r="X476" s="779"/>
      <c r="Y476" s="779"/>
      <c r="Z476" s="779"/>
      <c r="AA476" s="779"/>
      <c r="AB476" s="779"/>
      <c r="AC476" s="779"/>
      <c r="AD476" s="779"/>
      <c r="AE476" s="779"/>
      <c r="AF476" s="779"/>
      <c r="AG476" s="779"/>
      <c r="AH476" s="779"/>
      <c r="AI476" s="779"/>
      <c r="AJ476" s="779"/>
      <c r="AK476" s="779"/>
      <c r="AL476" s="779"/>
      <c r="AM476" s="779"/>
      <c r="AN476" s="779"/>
      <c r="AO476" s="779"/>
      <c r="AP476" s="779"/>
      <c r="AQ476" s="779"/>
      <c r="AR476" s="779"/>
      <c r="AS476" s="779"/>
      <c r="AT476" s="779"/>
      <c r="AU476" s="779"/>
      <c r="AV476" s="779"/>
      <c r="AW476" s="779"/>
      <c r="AX476" s="779"/>
      <c r="AY476" s="779"/>
      <c r="AZ476" s="779"/>
      <c r="BA476" s="779"/>
      <c r="BB476" s="779"/>
      <c r="BC476" s="779"/>
      <c r="BD476" s="779"/>
      <c r="BE476" s="779"/>
      <c r="BF476" s="779"/>
      <c r="BG476" s="779"/>
      <c r="BH476" s="779"/>
      <c r="BI476" s="779"/>
      <c r="BJ476" s="779"/>
      <c r="BK476" s="779"/>
      <c r="BL476" s="779"/>
      <c r="BM476" s="779"/>
      <c r="BN476" s="779"/>
      <c r="BO476" s="779"/>
      <c r="BP476" s="779"/>
      <c r="BQ476" s="779"/>
      <c r="BR476" s="779"/>
      <c r="BS476" s="779"/>
      <c r="BT476" s="779"/>
      <c r="BU476" s="779"/>
      <c r="BV476" s="779"/>
      <c r="BW476" s="779"/>
      <c r="BX476" s="779"/>
      <c r="BY476" s="779"/>
      <c r="BZ476" s="779"/>
      <c r="CA476" s="779"/>
      <c r="CB476" s="779"/>
      <c r="CC476" s="779"/>
    </row>
    <row r="477" spans="1:81">
      <c r="A477" s="779"/>
      <c r="B477" s="779"/>
      <c r="C477" s="779"/>
      <c r="D477" s="779"/>
      <c r="E477" s="779"/>
      <c r="F477" s="779"/>
      <c r="G477" s="779"/>
      <c r="H477" s="779"/>
      <c r="I477" s="779"/>
      <c r="J477" s="779"/>
      <c r="K477" s="779"/>
      <c r="L477" s="779"/>
      <c r="M477" s="779"/>
      <c r="N477" s="779"/>
      <c r="O477" s="779"/>
      <c r="P477" s="779"/>
      <c r="Q477" s="779"/>
      <c r="R477" s="779"/>
      <c r="S477" s="779"/>
      <c r="T477" s="779"/>
      <c r="U477" s="779"/>
      <c r="V477" s="779"/>
      <c r="W477" s="779"/>
      <c r="X477" s="779"/>
      <c r="Y477" s="779"/>
      <c r="Z477" s="779"/>
      <c r="AA477" s="779"/>
      <c r="AB477" s="779"/>
      <c r="AC477" s="779"/>
      <c r="AD477" s="779"/>
      <c r="AE477" s="779"/>
      <c r="AF477" s="779"/>
      <c r="AG477" s="779"/>
      <c r="AH477" s="779"/>
      <c r="AI477" s="779"/>
      <c r="AJ477" s="779"/>
      <c r="AK477" s="779"/>
      <c r="AL477" s="779"/>
      <c r="AM477" s="779"/>
      <c r="AN477" s="779"/>
      <c r="AO477" s="779"/>
      <c r="AP477" s="779"/>
      <c r="AQ477" s="779"/>
      <c r="AR477" s="779"/>
      <c r="AS477" s="779"/>
      <c r="AT477" s="779"/>
      <c r="AU477" s="779"/>
      <c r="AV477" s="779"/>
      <c r="AW477" s="779"/>
      <c r="AX477" s="779"/>
      <c r="AY477" s="779"/>
      <c r="AZ477" s="779"/>
      <c r="BA477" s="779"/>
      <c r="BB477" s="779"/>
      <c r="BC477" s="779"/>
      <c r="BD477" s="779"/>
      <c r="BE477" s="779"/>
      <c r="BF477" s="779"/>
      <c r="BG477" s="779"/>
      <c r="BH477" s="779"/>
      <c r="BI477" s="779"/>
      <c r="BJ477" s="779"/>
      <c r="BK477" s="779"/>
      <c r="BL477" s="779"/>
      <c r="BM477" s="779"/>
      <c r="BN477" s="779"/>
      <c r="BO477" s="779"/>
      <c r="BP477" s="779"/>
      <c r="BQ477" s="779"/>
      <c r="BR477" s="779"/>
      <c r="BS477" s="779"/>
      <c r="BT477" s="779"/>
      <c r="BU477" s="779"/>
      <c r="BV477" s="779"/>
      <c r="BW477" s="779"/>
      <c r="BX477" s="779"/>
      <c r="BY477" s="779"/>
      <c r="BZ477" s="779"/>
      <c r="CA477" s="779"/>
      <c r="CB477" s="779"/>
      <c r="CC477" s="779"/>
    </row>
    <row r="478" spans="1:81">
      <c r="A478" s="779"/>
      <c r="B478" s="779"/>
      <c r="C478" s="779"/>
      <c r="D478" s="779"/>
      <c r="E478" s="779"/>
      <c r="F478" s="779"/>
      <c r="G478" s="779"/>
      <c r="H478" s="779"/>
      <c r="I478" s="779"/>
      <c r="J478" s="779"/>
      <c r="K478" s="779"/>
      <c r="L478" s="779"/>
      <c r="M478" s="779"/>
      <c r="N478" s="779"/>
      <c r="O478" s="779"/>
      <c r="P478" s="779"/>
      <c r="Q478" s="779"/>
      <c r="R478" s="779"/>
      <c r="S478" s="779"/>
      <c r="T478" s="779"/>
      <c r="U478" s="779"/>
      <c r="V478" s="779"/>
      <c r="W478" s="779"/>
      <c r="X478" s="779"/>
      <c r="Y478" s="779"/>
      <c r="Z478" s="779"/>
      <c r="AA478" s="779"/>
      <c r="AB478" s="779"/>
      <c r="AC478" s="779"/>
      <c r="AD478" s="779"/>
      <c r="AE478" s="779"/>
      <c r="AF478" s="779"/>
      <c r="AG478" s="779"/>
      <c r="AH478" s="779"/>
      <c r="AI478" s="779"/>
      <c r="AJ478" s="779"/>
      <c r="AK478" s="779"/>
      <c r="AL478" s="779"/>
      <c r="AM478" s="779"/>
      <c r="AN478" s="779"/>
      <c r="AO478" s="779"/>
      <c r="AP478" s="779"/>
      <c r="AQ478" s="779"/>
      <c r="AR478" s="779"/>
      <c r="AS478" s="779"/>
      <c r="AT478" s="779"/>
      <c r="AU478" s="779"/>
      <c r="AV478" s="779"/>
      <c r="AW478" s="779"/>
      <c r="AX478" s="779"/>
      <c r="AY478" s="779"/>
      <c r="AZ478" s="779"/>
      <c r="BA478" s="779"/>
      <c r="BB478" s="779"/>
      <c r="BC478" s="779"/>
      <c r="BD478" s="779"/>
      <c r="BE478" s="779"/>
      <c r="BF478" s="779"/>
      <c r="BG478" s="779"/>
      <c r="BH478" s="779"/>
      <c r="BI478" s="779"/>
      <c r="BJ478" s="779"/>
      <c r="BK478" s="779"/>
      <c r="BL478" s="779"/>
      <c r="BM478" s="779"/>
      <c r="BN478" s="779"/>
      <c r="BO478" s="779"/>
      <c r="BP478" s="779"/>
      <c r="BQ478" s="779"/>
      <c r="BR478" s="779"/>
      <c r="BS478" s="779"/>
      <c r="BT478" s="779"/>
      <c r="BU478" s="779"/>
      <c r="BV478" s="779"/>
      <c r="BW478" s="779"/>
      <c r="BX478" s="779"/>
      <c r="BY478" s="779"/>
      <c r="BZ478" s="779"/>
      <c r="CA478" s="779"/>
      <c r="CB478" s="779"/>
      <c r="CC478" s="779"/>
    </row>
    <row r="479" spans="1:81">
      <c r="A479" s="779"/>
      <c r="B479" s="779"/>
      <c r="C479" s="779"/>
      <c r="D479" s="779"/>
      <c r="E479" s="779"/>
      <c r="F479" s="779"/>
      <c r="G479" s="779"/>
      <c r="H479" s="779"/>
      <c r="I479" s="779"/>
      <c r="J479" s="779"/>
      <c r="K479" s="779"/>
      <c r="L479" s="779"/>
      <c r="M479" s="779"/>
      <c r="N479" s="779"/>
      <c r="O479" s="779"/>
      <c r="P479" s="779"/>
      <c r="Q479" s="779"/>
      <c r="R479" s="779"/>
      <c r="S479" s="779"/>
      <c r="T479" s="779"/>
      <c r="U479" s="779"/>
      <c r="V479" s="779"/>
      <c r="W479" s="779"/>
      <c r="X479" s="779"/>
      <c r="Y479" s="779"/>
      <c r="Z479" s="779"/>
      <c r="AA479" s="779"/>
      <c r="AB479" s="779"/>
      <c r="AC479" s="779"/>
      <c r="AD479" s="779"/>
      <c r="AE479" s="779"/>
      <c r="AF479" s="779"/>
      <c r="AG479" s="779"/>
      <c r="AH479" s="779"/>
      <c r="AI479" s="779"/>
      <c r="AJ479" s="779"/>
      <c r="AK479" s="779"/>
      <c r="AL479" s="779"/>
      <c r="AM479" s="779"/>
      <c r="AN479" s="779"/>
      <c r="AO479" s="779"/>
      <c r="AP479" s="779"/>
      <c r="AQ479" s="779"/>
      <c r="AR479" s="779"/>
      <c r="AS479" s="779"/>
      <c r="AT479" s="779"/>
      <c r="AU479" s="779"/>
      <c r="AV479" s="779"/>
      <c r="AW479" s="779"/>
      <c r="AX479" s="779"/>
      <c r="AY479" s="779"/>
      <c r="AZ479" s="779"/>
      <c r="BA479" s="779"/>
      <c r="BB479" s="779"/>
      <c r="BC479" s="779"/>
      <c r="BD479" s="779"/>
      <c r="BE479" s="779"/>
      <c r="BF479" s="779"/>
      <c r="BG479" s="779"/>
      <c r="BH479" s="779"/>
      <c r="BI479" s="779"/>
      <c r="BJ479" s="779"/>
      <c r="BK479" s="779"/>
      <c r="BL479" s="779"/>
      <c r="BM479" s="779"/>
      <c r="BN479" s="779"/>
      <c r="BO479" s="779"/>
      <c r="BP479" s="779"/>
      <c r="BQ479" s="779"/>
      <c r="BR479" s="779"/>
      <c r="BS479" s="779"/>
      <c r="BT479" s="779"/>
      <c r="BU479" s="779"/>
      <c r="BV479" s="779"/>
      <c r="BW479" s="779"/>
      <c r="BX479" s="779"/>
      <c r="BY479" s="779"/>
      <c r="BZ479" s="779"/>
      <c r="CA479" s="779"/>
      <c r="CB479" s="779"/>
      <c r="CC479" s="779"/>
    </row>
    <row r="480" spans="1:81">
      <c r="A480" s="779"/>
      <c r="B480" s="779"/>
      <c r="C480" s="779"/>
      <c r="D480" s="779"/>
      <c r="E480" s="779"/>
      <c r="F480" s="779"/>
      <c r="G480" s="779"/>
      <c r="H480" s="779"/>
      <c r="I480" s="779"/>
      <c r="J480" s="779"/>
      <c r="K480" s="779"/>
      <c r="L480" s="779"/>
      <c r="M480" s="779"/>
      <c r="N480" s="779"/>
      <c r="O480" s="779"/>
      <c r="P480" s="779"/>
      <c r="Q480" s="779"/>
      <c r="R480" s="779"/>
      <c r="S480" s="779"/>
      <c r="T480" s="779"/>
      <c r="U480" s="779"/>
      <c r="V480" s="779"/>
      <c r="W480" s="779"/>
      <c r="X480" s="779"/>
      <c r="Y480" s="779"/>
      <c r="Z480" s="779"/>
      <c r="AA480" s="779"/>
      <c r="AB480" s="779"/>
      <c r="AC480" s="779"/>
      <c r="AD480" s="779"/>
      <c r="AE480" s="779"/>
      <c r="AF480" s="779"/>
      <c r="AG480" s="779"/>
      <c r="AH480" s="779"/>
      <c r="AI480" s="779"/>
      <c r="AJ480" s="779"/>
      <c r="AK480" s="779"/>
      <c r="AL480" s="779"/>
      <c r="AM480" s="779"/>
      <c r="AN480" s="779"/>
      <c r="AO480" s="779"/>
      <c r="AP480" s="779"/>
      <c r="AQ480" s="779"/>
      <c r="AR480" s="779"/>
      <c r="AS480" s="779"/>
      <c r="AT480" s="779"/>
      <c r="AU480" s="779"/>
      <c r="AV480" s="779"/>
      <c r="AW480" s="779"/>
      <c r="AX480" s="779"/>
      <c r="AY480" s="779"/>
      <c r="AZ480" s="779"/>
      <c r="BA480" s="779"/>
      <c r="BB480" s="779"/>
      <c r="BC480" s="779"/>
      <c r="BD480" s="779"/>
      <c r="BE480" s="779"/>
      <c r="BF480" s="779"/>
      <c r="BG480" s="779"/>
      <c r="BH480" s="779"/>
      <c r="BI480" s="779"/>
      <c r="BJ480" s="779"/>
      <c r="BK480" s="779"/>
      <c r="BL480" s="779"/>
      <c r="BM480" s="779"/>
      <c r="BN480" s="779"/>
      <c r="BO480" s="779"/>
      <c r="BP480" s="779"/>
      <c r="BQ480" s="779"/>
      <c r="BR480" s="779"/>
      <c r="BS480" s="779"/>
      <c r="BT480" s="779"/>
      <c r="BU480" s="779"/>
      <c r="BV480" s="779"/>
      <c r="BW480" s="779"/>
      <c r="BX480" s="779"/>
      <c r="BY480" s="779"/>
      <c r="BZ480" s="779"/>
      <c r="CA480" s="779"/>
      <c r="CB480" s="779"/>
      <c r="CC480" s="779"/>
    </row>
    <row r="481" spans="1:81">
      <c r="A481" s="779"/>
      <c r="B481" s="779"/>
      <c r="C481" s="779"/>
      <c r="D481" s="779"/>
      <c r="E481" s="779"/>
      <c r="F481" s="779"/>
      <c r="G481" s="779"/>
      <c r="H481" s="779"/>
      <c r="I481" s="779"/>
      <c r="J481" s="779"/>
      <c r="K481" s="779"/>
      <c r="L481" s="779"/>
      <c r="M481" s="779"/>
      <c r="N481" s="779"/>
      <c r="O481" s="779"/>
      <c r="P481" s="779"/>
      <c r="Q481" s="779"/>
      <c r="R481" s="779"/>
      <c r="S481" s="779"/>
      <c r="T481" s="779"/>
      <c r="U481" s="779"/>
      <c r="V481" s="779"/>
      <c r="W481" s="779"/>
      <c r="X481" s="779"/>
      <c r="Y481" s="779"/>
      <c r="Z481" s="779"/>
      <c r="AA481" s="779"/>
      <c r="AB481" s="779"/>
      <c r="AC481" s="779"/>
      <c r="AD481" s="779"/>
      <c r="AE481" s="779"/>
      <c r="AF481" s="779"/>
      <c r="AG481" s="779"/>
      <c r="AH481" s="779"/>
      <c r="AI481" s="779"/>
      <c r="AJ481" s="779"/>
      <c r="AK481" s="779"/>
      <c r="AL481" s="779"/>
      <c r="AM481" s="779"/>
      <c r="AN481" s="779"/>
      <c r="AO481" s="779"/>
      <c r="AP481" s="779"/>
      <c r="AQ481" s="779"/>
      <c r="AR481" s="779"/>
      <c r="AS481" s="779"/>
      <c r="AT481" s="779"/>
      <c r="AU481" s="779"/>
      <c r="AV481" s="779"/>
      <c r="AW481" s="779"/>
      <c r="AX481" s="779"/>
      <c r="AY481" s="779"/>
      <c r="AZ481" s="779"/>
      <c r="BA481" s="779"/>
      <c r="BB481" s="779"/>
      <c r="BC481" s="779"/>
      <c r="BD481" s="779"/>
      <c r="BE481" s="779"/>
      <c r="BF481" s="779"/>
      <c r="BG481" s="779"/>
      <c r="BH481" s="779"/>
      <c r="BI481" s="779"/>
      <c r="BJ481" s="779"/>
      <c r="BK481" s="779"/>
      <c r="BL481" s="779"/>
      <c r="BM481" s="779"/>
      <c r="BN481" s="779"/>
      <c r="BO481" s="779"/>
      <c r="BP481" s="779"/>
      <c r="BQ481" s="779"/>
      <c r="BR481" s="779"/>
      <c r="BS481" s="779"/>
      <c r="BT481" s="779"/>
      <c r="BU481" s="779"/>
      <c r="BV481" s="779"/>
      <c r="BW481" s="779"/>
      <c r="BX481" s="779"/>
      <c r="BY481" s="779"/>
      <c r="BZ481" s="779"/>
      <c r="CA481" s="779"/>
      <c r="CB481" s="779"/>
      <c r="CC481" s="779"/>
    </row>
    <row r="482" spans="1:81">
      <c r="A482" s="779"/>
      <c r="B482" s="779"/>
      <c r="C482" s="779"/>
      <c r="D482" s="779"/>
      <c r="E482" s="779"/>
      <c r="F482" s="779"/>
      <c r="G482" s="779"/>
      <c r="H482" s="779"/>
      <c r="I482" s="779"/>
      <c r="J482" s="779"/>
      <c r="K482" s="779"/>
      <c r="L482" s="779"/>
      <c r="M482" s="779"/>
      <c r="N482" s="779"/>
      <c r="O482" s="779"/>
      <c r="P482" s="779"/>
      <c r="Q482" s="779"/>
      <c r="R482" s="779"/>
      <c r="S482" s="779"/>
      <c r="T482" s="779"/>
      <c r="U482" s="779"/>
      <c r="V482" s="779"/>
      <c r="W482" s="779"/>
      <c r="X482" s="779"/>
      <c r="Y482" s="779"/>
      <c r="Z482" s="779"/>
      <c r="AA482" s="779"/>
      <c r="AB482" s="779"/>
      <c r="AC482" s="779"/>
      <c r="AD482" s="779"/>
      <c r="AE482" s="779"/>
      <c r="AF482" s="779"/>
      <c r="AG482" s="779"/>
      <c r="AH482" s="779"/>
      <c r="AI482" s="779"/>
      <c r="AJ482" s="779"/>
      <c r="AK482" s="779"/>
      <c r="AL482" s="779"/>
      <c r="AM482" s="779"/>
      <c r="AN482" s="779"/>
      <c r="AO482" s="779"/>
      <c r="AP482" s="779"/>
      <c r="AQ482" s="779"/>
      <c r="AR482" s="779"/>
      <c r="AS482" s="779"/>
      <c r="AT482" s="779"/>
      <c r="AU482" s="779"/>
      <c r="AV482" s="779"/>
      <c r="AW482" s="779"/>
      <c r="AX482" s="779"/>
      <c r="AY482" s="779"/>
      <c r="AZ482" s="779"/>
      <c r="BA482" s="779"/>
      <c r="BB482" s="779"/>
      <c r="BC482" s="779"/>
      <c r="BD482" s="779"/>
      <c r="BE482" s="779"/>
      <c r="BF482" s="779"/>
      <c r="BG482" s="779"/>
      <c r="BH482" s="779"/>
      <c r="BI482" s="779"/>
      <c r="BJ482" s="779"/>
      <c r="BK482" s="779"/>
      <c r="BL482" s="779"/>
      <c r="BM482" s="779"/>
      <c r="BN482" s="779"/>
      <c r="BO482" s="779"/>
      <c r="BP482" s="779"/>
      <c r="BQ482" s="779"/>
      <c r="BR482" s="779"/>
      <c r="BS482" s="779"/>
      <c r="BT482" s="779"/>
      <c r="BU482" s="779"/>
      <c r="BV482" s="779"/>
      <c r="BW482" s="779"/>
      <c r="BX482" s="779"/>
      <c r="BY482" s="779"/>
      <c r="BZ482" s="779"/>
      <c r="CA482" s="779"/>
      <c r="CB482" s="779"/>
      <c r="CC482" s="779"/>
    </row>
    <row r="483" spans="1:81">
      <c r="A483" s="779"/>
      <c r="B483" s="779"/>
      <c r="C483" s="779"/>
      <c r="D483" s="779"/>
      <c r="E483" s="779"/>
      <c r="F483" s="779"/>
      <c r="G483" s="779"/>
      <c r="H483" s="779"/>
      <c r="I483" s="779"/>
      <c r="J483" s="779"/>
      <c r="K483" s="779"/>
      <c r="L483" s="779"/>
      <c r="M483" s="779"/>
      <c r="N483" s="779"/>
      <c r="O483" s="779"/>
      <c r="P483" s="779"/>
      <c r="Q483" s="779"/>
      <c r="R483" s="779"/>
      <c r="S483" s="779"/>
      <c r="T483" s="779"/>
      <c r="U483" s="779"/>
      <c r="V483" s="779"/>
      <c r="W483" s="779"/>
      <c r="X483" s="779"/>
      <c r="Y483" s="779"/>
      <c r="Z483" s="779"/>
      <c r="AA483" s="779"/>
      <c r="AB483" s="779"/>
      <c r="AC483" s="779"/>
      <c r="AD483" s="779"/>
      <c r="AE483" s="779"/>
      <c r="AF483" s="779"/>
      <c r="AG483" s="779"/>
      <c r="AH483" s="779"/>
      <c r="AI483" s="779"/>
      <c r="AJ483" s="779"/>
      <c r="AK483" s="779"/>
      <c r="AL483" s="779"/>
      <c r="AM483" s="779"/>
      <c r="AN483" s="779"/>
      <c r="AO483" s="779"/>
      <c r="AP483" s="779"/>
      <c r="AQ483" s="779"/>
      <c r="AR483" s="779"/>
      <c r="AS483" s="779"/>
      <c r="AT483" s="779"/>
      <c r="AU483" s="779"/>
      <c r="AV483" s="779"/>
      <c r="AW483" s="779"/>
      <c r="AX483" s="779"/>
      <c r="AY483" s="779"/>
      <c r="AZ483" s="779"/>
      <c r="BA483" s="779"/>
      <c r="BB483" s="779"/>
      <c r="BC483" s="779"/>
      <c r="BD483" s="779"/>
      <c r="BE483" s="779"/>
      <c r="BF483" s="779"/>
      <c r="BG483" s="779"/>
      <c r="BH483" s="779"/>
      <c r="BI483" s="779"/>
      <c r="BJ483" s="779"/>
      <c r="BK483" s="779"/>
      <c r="BL483" s="779"/>
      <c r="BM483" s="779"/>
      <c r="BN483" s="779"/>
      <c r="BO483" s="779"/>
      <c r="BP483" s="779"/>
      <c r="BQ483" s="779"/>
      <c r="BR483" s="779"/>
      <c r="BS483" s="779"/>
      <c r="BT483" s="779"/>
      <c r="BU483" s="779"/>
      <c r="BV483" s="779"/>
      <c r="BW483" s="779"/>
      <c r="BX483" s="779"/>
      <c r="BY483" s="779"/>
      <c r="BZ483" s="779"/>
      <c r="CA483" s="779"/>
      <c r="CB483" s="779"/>
      <c r="CC483" s="779"/>
    </row>
    <row r="484" spans="1:81">
      <c r="A484" s="779"/>
      <c r="B484" s="779"/>
      <c r="C484" s="779"/>
      <c r="D484" s="779"/>
      <c r="E484" s="779"/>
      <c r="F484" s="779"/>
      <c r="G484" s="779"/>
      <c r="H484" s="779"/>
      <c r="I484" s="779"/>
      <c r="J484" s="779"/>
      <c r="K484" s="779"/>
      <c r="L484" s="779"/>
      <c r="M484" s="779"/>
      <c r="N484" s="779"/>
      <c r="O484" s="779"/>
      <c r="P484" s="779"/>
      <c r="Q484" s="779"/>
      <c r="R484" s="779"/>
      <c r="S484" s="779"/>
      <c r="T484" s="779"/>
      <c r="U484" s="779"/>
      <c r="V484" s="779"/>
      <c r="W484" s="779"/>
      <c r="X484" s="779"/>
      <c r="Y484" s="779"/>
      <c r="Z484" s="779"/>
      <c r="AA484" s="779"/>
      <c r="AB484" s="779"/>
      <c r="AC484" s="779"/>
      <c r="AD484" s="779"/>
      <c r="AE484" s="779"/>
      <c r="AF484" s="779"/>
      <c r="AG484" s="779"/>
      <c r="AH484" s="779"/>
      <c r="AI484" s="779"/>
      <c r="AJ484" s="779"/>
      <c r="AK484" s="779"/>
      <c r="AL484" s="779"/>
      <c r="AM484" s="779"/>
      <c r="AN484" s="779"/>
      <c r="AO484" s="779"/>
      <c r="AP484" s="779"/>
      <c r="AQ484" s="779"/>
      <c r="AR484" s="779"/>
      <c r="AS484" s="779"/>
      <c r="AT484" s="779"/>
      <c r="AU484" s="779"/>
      <c r="AV484" s="779"/>
      <c r="AW484" s="779"/>
      <c r="AX484" s="779"/>
      <c r="AY484" s="779"/>
      <c r="AZ484" s="779"/>
      <c r="BA484" s="779"/>
      <c r="BB484" s="779"/>
      <c r="BC484" s="779"/>
      <c r="BD484" s="779"/>
      <c r="BE484" s="779"/>
      <c r="BF484" s="779"/>
      <c r="BG484" s="779"/>
      <c r="BH484" s="779"/>
      <c r="BI484" s="779"/>
      <c r="BJ484" s="779"/>
      <c r="BK484" s="779"/>
      <c r="BL484" s="779"/>
      <c r="BM484" s="779"/>
      <c r="BN484" s="779"/>
      <c r="BO484" s="779"/>
      <c r="BP484" s="779"/>
      <c r="BQ484" s="779"/>
      <c r="BR484" s="779"/>
      <c r="BS484" s="779"/>
      <c r="BT484" s="779"/>
      <c r="BU484" s="779"/>
      <c r="BV484" s="779"/>
      <c r="BW484" s="779"/>
      <c r="BX484" s="779"/>
      <c r="BY484" s="779"/>
      <c r="BZ484" s="779"/>
      <c r="CA484" s="779"/>
      <c r="CB484" s="779"/>
      <c r="CC484" s="779"/>
    </row>
    <row r="485" spans="1:81">
      <c r="A485" s="779"/>
      <c r="B485" s="779"/>
      <c r="C485" s="779"/>
      <c r="D485" s="779"/>
      <c r="E485" s="779"/>
      <c r="F485" s="779"/>
      <c r="G485" s="779"/>
      <c r="H485" s="779"/>
      <c r="I485" s="779"/>
      <c r="J485" s="779"/>
      <c r="K485" s="779"/>
      <c r="L485" s="779"/>
      <c r="M485" s="779"/>
      <c r="N485" s="779"/>
      <c r="O485" s="779"/>
      <c r="P485" s="779"/>
      <c r="Q485" s="779"/>
      <c r="R485" s="779"/>
      <c r="S485" s="779"/>
      <c r="T485" s="779"/>
      <c r="U485" s="779"/>
      <c r="V485" s="779"/>
      <c r="W485" s="779"/>
      <c r="X485" s="779"/>
      <c r="Y485" s="779"/>
      <c r="Z485" s="779"/>
      <c r="AA485" s="779"/>
      <c r="AB485" s="779"/>
      <c r="AC485" s="779"/>
      <c r="AD485" s="779"/>
      <c r="AE485" s="779"/>
      <c r="AF485" s="779"/>
      <c r="AG485" s="779"/>
      <c r="AH485" s="779"/>
      <c r="AI485" s="779"/>
      <c r="AJ485" s="779"/>
      <c r="AK485" s="779"/>
      <c r="AL485" s="779"/>
      <c r="AM485" s="779"/>
      <c r="AN485" s="779"/>
      <c r="AO485" s="779"/>
      <c r="AP485" s="779"/>
      <c r="AQ485" s="779"/>
      <c r="AR485" s="779"/>
      <c r="AS485" s="779"/>
      <c r="AT485" s="779"/>
      <c r="AU485" s="779"/>
      <c r="AV485" s="779"/>
      <c r="AW485" s="779"/>
      <c r="AX485" s="779"/>
      <c r="AY485" s="779"/>
      <c r="AZ485" s="779"/>
      <c r="BA485" s="779"/>
      <c r="BB485" s="779"/>
      <c r="BC485" s="779"/>
      <c r="BD485" s="779"/>
      <c r="BE485" s="779"/>
      <c r="BF485" s="779"/>
      <c r="BG485" s="779"/>
      <c r="BH485" s="779"/>
      <c r="BI485" s="779"/>
      <c r="BJ485" s="779"/>
      <c r="BK485" s="779"/>
      <c r="BL485" s="779"/>
      <c r="BM485" s="779"/>
      <c r="BN485" s="779"/>
      <c r="BO485" s="779"/>
      <c r="BP485" s="779"/>
      <c r="BQ485" s="779"/>
      <c r="BR485" s="779"/>
      <c r="BS485" s="779"/>
      <c r="BT485" s="779"/>
      <c r="BU485" s="779"/>
      <c r="BV485" s="779"/>
      <c r="BW485" s="779"/>
      <c r="BX485" s="779"/>
      <c r="BY485" s="779"/>
      <c r="BZ485" s="779"/>
      <c r="CA485" s="779"/>
      <c r="CB485" s="779"/>
      <c r="CC485" s="779"/>
    </row>
    <row r="486" spans="1:81">
      <c r="A486" s="779"/>
      <c r="B486" s="779"/>
      <c r="C486" s="779"/>
      <c r="D486" s="779"/>
      <c r="E486" s="779"/>
      <c r="F486" s="779"/>
      <c r="G486" s="779"/>
      <c r="H486" s="779"/>
      <c r="I486" s="779"/>
      <c r="J486" s="779"/>
      <c r="K486" s="779"/>
      <c r="L486" s="779"/>
      <c r="M486" s="779"/>
      <c r="N486" s="779"/>
      <c r="O486" s="779"/>
      <c r="P486" s="779"/>
      <c r="Q486" s="779"/>
      <c r="R486" s="779"/>
      <c r="S486" s="779"/>
      <c r="T486" s="779"/>
      <c r="U486" s="779"/>
      <c r="V486" s="779"/>
      <c r="W486" s="779"/>
      <c r="X486" s="779"/>
      <c r="Y486" s="779"/>
      <c r="Z486" s="779"/>
      <c r="AA486" s="779"/>
      <c r="AB486" s="779"/>
      <c r="AC486" s="779"/>
      <c r="AD486" s="779"/>
      <c r="AE486" s="779"/>
      <c r="AF486" s="779"/>
      <c r="AG486" s="779"/>
      <c r="AH486" s="779"/>
      <c r="AI486" s="779"/>
      <c r="AJ486" s="779"/>
      <c r="AK486" s="779"/>
      <c r="AL486" s="779"/>
      <c r="AM486" s="779"/>
      <c r="AN486" s="779"/>
      <c r="AO486" s="779"/>
      <c r="AP486" s="779"/>
      <c r="AQ486" s="779"/>
      <c r="AR486" s="779"/>
      <c r="AS486" s="779"/>
      <c r="AT486" s="779"/>
      <c r="AU486" s="779"/>
      <c r="AV486" s="779"/>
      <c r="AW486" s="779"/>
      <c r="AX486" s="779"/>
      <c r="AY486" s="779"/>
      <c r="AZ486" s="779"/>
      <c r="BA486" s="779"/>
      <c r="BB486" s="779"/>
      <c r="BC486" s="779"/>
      <c r="BD486" s="779"/>
      <c r="BE486" s="779"/>
      <c r="BF486" s="779"/>
      <c r="BG486" s="779"/>
      <c r="BH486" s="779"/>
      <c r="BI486" s="779"/>
      <c r="BJ486" s="779"/>
      <c r="BK486" s="779"/>
      <c r="BL486" s="779"/>
      <c r="BM486" s="779"/>
      <c r="BN486" s="779"/>
      <c r="BO486" s="779"/>
      <c r="BP486" s="779"/>
      <c r="BQ486" s="779"/>
      <c r="BR486" s="779"/>
      <c r="BS486" s="779"/>
      <c r="BT486" s="779"/>
      <c r="BU486" s="779"/>
      <c r="BV486" s="779"/>
      <c r="BW486" s="779"/>
      <c r="BX486" s="779"/>
      <c r="BY486" s="779"/>
      <c r="BZ486" s="779"/>
      <c r="CA486" s="779"/>
      <c r="CB486" s="779"/>
      <c r="CC486" s="779"/>
    </row>
    <row r="487" spans="1:81">
      <c r="A487" s="779"/>
      <c r="B487" s="779"/>
      <c r="C487" s="779"/>
      <c r="D487" s="779"/>
      <c r="E487" s="779"/>
      <c r="F487" s="779"/>
      <c r="G487" s="779"/>
      <c r="H487" s="779"/>
      <c r="I487" s="779"/>
      <c r="J487" s="779"/>
      <c r="K487" s="779"/>
      <c r="L487" s="779"/>
      <c r="M487" s="779"/>
      <c r="N487" s="779"/>
      <c r="O487" s="779"/>
      <c r="P487" s="779"/>
      <c r="Q487" s="779"/>
      <c r="R487" s="779"/>
      <c r="S487" s="779"/>
      <c r="T487" s="779"/>
      <c r="U487" s="779"/>
      <c r="V487" s="779"/>
      <c r="W487" s="779"/>
      <c r="X487" s="779"/>
      <c r="Y487" s="779"/>
      <c r="Z487" s="779"/>
      <c r="AA487" s="779"/>
      <c r="AB487" s="779"/>
      <c r="AC487" s="779"/>
      <c r="AD487" s="779"/>
      <c r="AE487" s="779"/>
      <c r="AF487" s="779"/>
      <c r="AG487" s="779"/>
      <c r="AH487" s="779"/>
      <c r="AI487" s="779"/>
      <c r="AJ487" s="779"/>
      <c r="AK487" s="779"/>
      <c r="AL487" s="779"/>
      <c r="AM487" s="779"/>
      <c r="AN487" s="779"/>
      <c r="AO487" s="779"/>
      <c r="AP487" s="779"/>
      <c r="AQ487" s="779"/>
      <c r="AR487" s="779"/>
      <c r="AS487" s="779"/>
      <c r="AT487" s="779"/>
      <c r="AU487" s="779"/>
      <c r="AV487" s="779"/>
      <c r="AW487" s="779"/>
      <c r="AX487" s="779"/>
      <c r="AY487" s="779"/>
      <c r="AZ487" s="779"/>
      <c r="BA487" s="779"/>
      <c r="BB487" s="779"/>
      <c r="BC487" s="779"/>
      <c r="BD487" s="779"/>
      <c r="BE487" s="779"/>
      <c r="BF487" s="779"/>
      <c r="BG487" s="779"/>
      <c r="BH487" s="779"/>
      <c r="BI487" s="779"/>
      <c r="BJ487" s="779"/>
      <c r="BK487" s="779"/>
      <c r="BL487" s="779"/>
      <c r="BM487" s="779"/>
      <c r="BN487" s="779"/>
      <c r="BO487" s="779"/>
      <c r="BP487" s="779"/>
      <c r="BQ487" s="779"/>
      <c r="BR487" s="779"/>
      <c r="BS487" s="779"/>
      <c r="BT487" s="779"/>
      <c r="BU487" s="779"/>
      <c r="BV487" s="779"/>
      <c r="BW487" s="779"/>
      <c r="BX487" s="779"/>
      <c r="BY487" s="779"/>
      <c r="BZ487" s="779"/>
      <c r="CA487" s="779"/>
      <c r="CB487" s="779"/>
      <c r="CC487" s="779"/>
    </row>
    <row r="488" spans="1:81">
      <c r="A488" s="779"/>
      <c r="B488" s="779"/>
      <c r="C488" s="779"/>
      <c r="D488" s="779"/>
      <c r="E488" s="779"/>
      <c r="F488" s="779"/>
      <c r="G488" s="779"/>
      <c r="H488" s="779"/>
      <c r="I488" s="779"/>
      <c r="J488" s="779"/>
      <c r="K488" s="779"/>
      <c r="L488" s="779"/>
      <c r="M488" s="779"/>
      <c r="N488" s="779"/>
      <c r="O488" s="779"/>
      <c r="P488" s="779"/>
      <c r="Q488" s="779"/>
      <c r="R488" s="779"/>
      <c r="S488" s="779"/>
      <c r="T488" s="779"/>
      <c r="U488" s="779"/>
      <c r="V488" s="779"/>
      <c r="W488" s="779"/>
      <c r="X488" s="779"/>
      <c r="Y488" s="779"/>
      <c r="Z488" s="779"/>
      <c r="AA488" s="779"/>
      <c r="AB488" s="779"/>
      <c r="AC488" s="779"/>
      <c r="AD488" s="779"/>
      <c r="AE488" s="779"/>
      <c r="AF488" s="779"/>
      <c r="AG488" s="779"/>
      <c r="AH488" s="779"/>
      <c r="AI488" s="779"/>
      <c r="AJ488" s="779"/>
      <c r="AK488" s="779"/>
      <c r="AL488" s="779"/>
      <c r="AM488" s="779"/>
      <c r="AN488" s="779"/>
      <c r="AO488" s="779"/>
      <c r="AP488" s="779"/>
      <c r="AQ488" s="779"/>
      <c r="AR488" s="779"/>
      <c r="AS488" s="779"/>
      <c r="AT488" s="779"/>
      <c r="AU488" s="779"/>
      <c r="AV488" s="779"/>
      <c r="AW488" s="779"/>
      <c r="AX488" s="779"/>
      <c r="AY488" s="779"/>
      <c r="AZ488" s="779"/>
      <c r="BA488" s="779"/>
      <c r="BB488" s="779"/>
      <c r="BC488" s="779"/>
      <c r="BD488" s="779"/>
      <c r="BE488" s="779"/>
      <c r="BF488" s="779"/>
      <c r="BG488" s="779"/>
      <c r="BH488" s="779"/>
      <c r="BI488" s="779"/>
      <c r="BJ488" s="779"/>
      <c r="BK488" s="779"/>
      <c r="BL488" s="779"/>
      <c r="BM488" s="779"/>
      <c r="BN488" s="779"/>
      <c r="BO488" s="779"/>
      <c r="BP488" s="779"/>
      <c r="BQ488" s="779"/>
      <c r="BR488" s="779"/>
      <c r="BS488" s="779"/>
      <c r="BT488" s="779"/>
      <c r="BU488" s="779"/>
      <c r="BV488" s="779"/>
      <c r="BW488" s="779"/>
      <c r="BX488" s="779"/>
      <c r="BY488" s="779"/>
      <c r="BZ488" s="779"/>
      <c r="CA488" s="779"/>
      <c r="CB488" s="779"/>
      <c r="CC488" s="779"/>
    </row>
    <row r="489" spans="1:81">
      <c r="A489" s="779"/>
      <c r="B489" s="779"/>
      <c r="C489" s="779"/>
      <c r="D489" s="779"/>
      <c r="E489" s="779"/>
      <c r="F489" s="779"/>
      <c r="G489" s="779"/>
      <c r="H489" s="779"/>
      <c r="I489" s="779"/>
      <c r="J489" s="779"/>
      <c r="K489" s="779"/>
      <c r="L489" s="779"/>
      <c r="M489" s="779"/>
      <c r="N489" s="779"/>
      <c r="O489" s="779"/>
      <c r="P489" s="779"/>
      <c r="Q489" s="779"/>
      <c r="R489" s="779"/>
      <c r="S489" s="779"/>
      <c r="T489" s="779"/>
      <c r="U489" s="779"/>
      <c r="V489" s="779"/>
      <c r="W489" s="779"/>
      <c r="X489" s="779"/>
      <c r="Y489" s="779"/>
      <c r="Z489" s="779"/>
      <c r="AA489" s="779"/>
      <c r="AB489" s="779"/>
      <c r="AC489" s="779"/>
      <c r="AD489" s="779"/>
      <c r="AE489" s="779"/>
      <c r="AF489" s="779"/>
      <c r="AG489" s="779"/>
      <c r="AH489" s="779"/>
      <c r="AI489" s="779"/>
      <c r="AJ489" s="779"/>
      <c r="AK489" s="779"/>
      <c r="AL489" s="779"/>
      <c r="AM489" s="779"/>
      <c r="AN489" s="779"/>
      <c r="AO489" s="779"/>
      <c r="AP489" s="779"/>
      <c r="AQ489" s="779"/>
      <c r="AR489" s="779"/>
      <c r="AS489" s="779"/>
      <c r="AT489" s="779"/>
      <c r="AU489" s="779"/>
      <c r="AV489" s="779"/>
      <c r="AW489" s="779"/>
      <c r="AX489" s="779"/>
      <c r="AY489" s="779"/>
      <c r="AZ489" s="779"/>
      <c r="BA489" s="779"/>
      <c r="BB489" s="779"/>
      <c r="BC489" s="779"/>
      <c r="BD489" s="779"/>
      <c r="BE489" s="779"/>
      <c r="BF489" s="779"/>
      <c r="BG489" s="779"/>
      <c r="BH489" s="779"/>
      <c r="BI489" s="779"/>
      <c r="BJ489" s="779"/>
      <c r="BK489" s="779"/>
      <c r="BL489" s="779"/>
      <c r="BM489" s="779"/>
      <c r="BN489" s="779"/>
      <c r="BO489" s="779"/>
      <c r="BP489" s="779"/>
      <c r="BQ489" s="779"/>
      <c r="BR489" s="779"/>
      <c r="BS489" s="779"/>
      <c r="BT489" s="779"/>
      <c r="BU489" s="779"/>
      <c r="BV489" s="779"/>
      <c r="BW489" s="779"/>
      <c r="BX489" s="779"/>
      <c r="BY489" s="779"/>
      <c r="BZ489" s="779"/>
      <c r="CA489" s="779"/>
      <c r="CB489" s="779"/>
      <c r="CC489" s="779"/>
    </row>
    <row r="490" spans="1:81">
      <c r="A490" s="779"/>
      <c r="B490" s="779"/>
      <c r="C490" s="779"/>
      <c r="D490" s="779"/>
      <c r="E490" s="779"/>
      <c r="F490" s="779"/>
      <c r="G490" s="779"/>
      <c r="H490" s="779"/>
      <c r="I490" s="779"/>
      <c r="J490" s="779"/>
      <c r="K490" s="779"/>
      <c r="L490" s="779"/>
      <c r="M490" s="779"/>
      <c r="N490" s="779"/>
      <c r="O490" s="779"/>
      <c r="P490" s="779"/>
      <c r="Q490" s="779"/>
      <c r="R490" s="779"/>
      <c r="S490" s="779"/>
      <c r="T490" s="779"/>
      <c r="U490" s="779"/>
      <c r="V490" s="779"/>
      <c r="W490" s="779"/>
      <c r="X490" s="779"/>
      <c r="Y490" s="779"/>
      <c r="Z490" s="779"/>
      <c r="AA490" s="779"/>
      <c r="AB490" s="779"/>
      <c r="AC490" s="779"/>
      <c r="AD490" s="779"/>
      <c r="AE490" s="779"/>
      <c r="AF490" s="779"/>
      <c r="AG490" s="779"/>
      <c r="AH490" s="779"/>
      <c r="AI490" s="779"/>
      <c r="AJ490" s="779"/>
      <c r="AK490" s="779"/>
      <c r="AL490" s="779"/>
      <c r="AM490" s="779"/>
      <c r="AN490" s="779"/>
      <c r="AO490" s="779"/>
      <c r="AP490" s="779"/>
      <c r="AQ490" s="779"/>
      <c r="AR490" s="779"/>
      <c r="AS490" s="779"/>
      <c r="AT490" s="779"/>
      <c r="AU490" s="779"/>
      <c r="AV490" s="779"/>
      <c r="AW490" s="779"/>
      <c r="AX490" s="779"/>
      <c r="AY490" s="779"/>
      <c r="AZ490" s="779"/>
      <c r="BA490" s="779"/>
      <c r="BB490" s="779"/>
      <c r="BC490" s="779"/>
      <c r="BD490" s="779"/>
      <c r="BE490" s="779"/>
      <c r="BF490" s="779"/>
      <c r="BG490" s="779"/>
      <c r="BH490" s="779"/>
      <c r="BI490" s="779"/>
      <c r="BJ490" s="779"/>
      <c r="BK490" s="779"/>
      <c r="BL490" s="779"/>
      <c r="BM490" s="779"/>
      <c r="BN490" s="779"/>
      <c r="BO490" s="779"/>
      <c r="BP490" s="779"/>
      <c r="BQ490" s="779"/>
      <c r="BR490" s="779"/>
      <c r="BS490" s="779"/>
      <c r="BT490" s="779"/>
      <c r="BU490" s="779"/>
      <c r="BV490" s="779"/>
      <c r="BW490" s="779"/>
      <c r="BX490" s="779"/>
      <c r="BY490" s="779"/>
      <c r="BZ490" s="779"/>
      <c r="CA490" s="779"/>
      <c r="CB490" s="779"/>
      <c r="CC490" s="779"/>
    </row>
    <row r="491" spans="1:81">
      <c r="A491" s="779"/>
      <c r="B491" s="779"/>
      <c r="C491" s="779"/>
      <c r="D491" s="779"/>
      <c r="E491" s="779"/>
      <c r="F491" s="779"/>
      <c r="G491" s="779"/>
      <c r="H491" s="779"/>
      <c r="I491" s="779"/>
      <c r="J491" s="779"/>
      <c r="K491" s="779"/>
      <c r="L491" s="779"/>
      <c r="M491" s="779"/>
      <c r="N491" s="779"/>
      <c r="O491" s="779"/>
      <c r="P491" s="779"/>
      <c r="Q491" s="779"/>
      <c r="R491" s="779"/>
      <c r="S491" s="779"/>
      <c r="T491" s="779"/>
      <c r="U491" s="779"/>
      <c r="V491" s="779"/>
      <c r="W491" s="779"/>
      <c r="X491" s="779"/>
      <c r="Y491" s="779"/>
      <c r="Z491" s="779"/>
      <c r="AA491" s="779"/>
      <c r="AB491" s="779"/>
      <c r="AC491" s="779"/>
      <c r="AD491" s="779"/>
      <c r="AE491" s="779"/>
      <c r="AF491" s="779"/>
      <c r="AG491" s="779"/>
      <c r="AH491" s="779"/>
      <c r="AI491" s="779"/>
      <c r="AJ491" s="779"/>
      <c r="AK491" s="779"/>
      <c r="AL491" s="779"/>
      <c r="AM491" s="779"/>
      <c r="AN491" s="779"/>
      <c r="AO491" s="779"/>
      <c r="AP491" s="779"/>
      <c r="AQ491" s="779"/>
      <c r="AR491" s="779"/>
      <c r="AS491" s="779"/>
      <c r="AT491" s="779"/>
      <c r="AU491" s="779"/>
      <c r="AV491" s="779"/>
      <c r="AW491" s="779"/>
      <c r="AX491" s="779"/>
      <c r="AY491" s="779"/>
      <c r="AZ491" s="779"/>
      <c r="BA491" s="779"/>
      <c r="BB491" s="779"/>
      <c r="BC491" s="779"/>
      <c r="BD491" s="779"/>
      <c r="BE491" s="779"/>
      <c r="BF491" s="779"/>
      <c r="BG491" s="779"/>
      <c r="BH491" s="779"/>
      <c r="BI491" s="779"/>
      <c r="BJ491" s="779"/>
      <c r="BK491" s="779"/>
      <c r="BL491" s="779"/>
      <c r="BM491" s="779"/>
      <c r="BN491" s="779"/>
      <c r="BO491" s="779"/>
      <c r="BP491" s="779"/>
      <c r="BQ491" s="779"/>
      <c r="BR491" s="779"/>
      <c r="BS491" s="779"/>
      <c r="BT491" s="779"/>
      <c r="BU491" s="779"/>
      <c r="BV491" s="779"/>
      <c r="BW491" s="779"/>
      <c r="BX491" s="779"/>
      <c r="BY491" s="779"/>
      <c r="BZ491" s="779"/>
      <c r="CA491" s="779"/>
      <c r="CB491" s="779"/>
      <c r="CC491" s="779"/>
    </row>
    <row r="492" spans="1:81">
      <c r="A492" s="779"/>
      <c r="B492" s="779"/>
      <c r="C492" s="779"/>
      <c r="D492" s="779"/>
      <c r="E492" s="779"/>
      <c r="F492" s="779"/>
      <c r="G492" s="779"/>
      <c r="H492" s="779"/>
      <c r="I492" s="779"/>
      <c r="J492" s="779"/>
      <c r="K492" s="779"/>
      <c r="L492" s="779"/>
      <c r="M492" s="779"/>
      <c r="N492" s="779"/>
      <c r="O492" s="779"/>
      <c r="P492" s="779"/>
      <c r="Q492" s="779"/>
      <c r="R492" s="779"/>
      <c r="S492" s="779"/>
      <c r="T492" s="779"/>
      <c r="U492" s="779"/>
      <c r="V492" s="779"/>
      <c r="W492" s="779"/>
      <c r="X492" s="779"/>
      <c r="Y492" s="779"/>
      <c r="Z492" s="779"/>
      <c r="AA492" s="779"/>
      <c r="AB492" s="779"/>
      <c r="AC492" s="779"/>
      <c r="AD492" s="779"/>
      <c r="AE492" s="779"/>
      <c r="AF492" s="779"/>
      <c r="AG492" s="779"/>
      <c r="AH492" s="779"/>
      <c r="AI492" s="779"/>
      <c r="AJ492" s="779"/>
      <c r="AK492" s="779"/>
      <c r="AL492" s="779"/>
      <c r="AM492" s="779"/>
      <c r="AN492" s="779"/>
      <c r="AO492" s="779"/>
      <c r="AP492" s="779"/>
      <c r="AQ492" s="779"/>
      <c r="AR492" s="779"/>
      <c r="AS492" s="779"/>
      <c r="AT492" s="779"/>
      <c r="AU492" s="779"/>
      <c r="AV492" s="779"/>
      <c r="AW492" s="779"/>
      <c r="AX492" s="779"/>
      <c r="AY492" s="779"/>
      <c r="AZ492" s="779"/>
      <c r="BA492" s="779"/>
      <c r="BB492" s="779"/>
      <c r="BC492" s="779"/>
      <c r="BD492" s="779"/>
      <c r="BE492" s="779"/>
      <c r="BF492" s="779"/>
      <c r="BG492" s="779"/>
      <c r="BH492" s="779"/>
      <c r="BI492" s="779"/>
      <c r="BJ492" s="779"/>
      <c r="BK492" s="779"/>
      <c r="BL492" s="779"/>
      <c r="BM492" s="779"/>
      <c r="BN492" s="779"/>
      <c r="BO492" s="779"/>
      <c r="BP492" s="779"/>
      <c r="BQ492" s="779"/>
      <c r="BR492" s="779"/>
      <c r="BS492" s="779"/>
      <c r="BT492" s="779"/>
      <c r="BU492" s="779"/>
      <c r="BV492" s="779"/>
      <c r="BW492" s="779"/>
      <c r="BX492" s="779"/>
      <c r="BY492" s="779"/>
      <c r="BZ492" s="779"/>
      <c r="CA492" s="779"/>
      <c r="CB492" s="779"/>
      <c r="CC492" s="779"/>
    </row>
    <row r="493" spans="1:81">
      <c r="A493" s="779"/>
      <c r="B493" s="779"/>
      <c r="C493" s="779"/>
      <c r="D493" s="779"/>
      <c r="E493" s="779"/>
      <c r="F493" s="779"/>
      <c r="G493" s="779"/>
      <c r="H493" s="779"/>
      <c r="I493" s="779"/>
      <c r="J493" s="779"/>
      <c r="K493" s="779"/>
      <c r="L493" s="779"/>
      <c r="M493" s="779"/>
      <c r="N493" s="779"/>
      <c r="O493" s="779"/>
      <c r="P493" s="779"/>
      <c r="Q493" s="779"/>
      <c r="R493" s="779"/>
      <c r="S493" s="779"/>
      <c r="T493" s="779"/>
      <c r="U493" s="779"/>
      <c r="V493" s="779"/>
      <c r="W493" s="779"/>
      <c r="X493" s="779"/>
      <c r="Y493" s="779"/>
      <c r="Z493" s="779"/>
      <c r="AA493" s="779"/>
      <c r="AB493" s="779"/>
      <c r="AC493" s="779"/>
      <c r="AD493" s="779"/>
      <c r="AE493" s="779"/>
      <c r="AF493" s="779"/>
      <c r="AG493" s="779"/>
      <c r="AH493" s="779"/>
      <c r="AI493" s="779"/>
      <c r="AJ493" s="779"/>
      <c r="AK493" s="779"/>
      <c r="AL493" s="779"/>
      <c r="AM493" s="779"/>
      <c r="AN493" s="779"/>
      <c r="AO493" s="779"/>
      <c r="AP493" s="779"/>
      <c r="AQ493" s="779"/>
      <c r="AR493" s="779"/>
      <c r="AS493" s="779"/>
      <c r="AT493" s="779"/>
      <c r="AU493" s="779"/>
      <c r="AV493" s="779"/>
      <c r="AW493" s="779"/>
      <c r="AX493" s="779"/>
      <c r="AY493" s="779"/>
      <c r="AZ493" s="779"/>
      <c r="BA493" s="779"/>
      <c r="BB493" s="779"/>
      <c r="BC493" s="779"/>
      <c r="BD493" s="779"/>
      <c r="BE493" s="779"/>
      <c r="BF493" s="779"/>
      <c r="BG493" s="779"/>
      <c r="BH493" s="779"/>
      <c r="BI493" s="779"/>
      <c r="BJ493" s="779"/>
      <c r="BK493" s="779"/>
      <c r="BL493" s="779"/>
      <c r="BM493" s="779"/>
      <c r="BN493" s="779"/>
      <c r="BO493" s="779"/>
      <c r="BP493" s="779"/>
      <c r="BQ493" s="779"/>
      <c r="BR493" s="779"/>
      <c r="BS493" s="779"/>
      <c r="BT493" s="779"/>
      <c r="BU493" s="779"/>
      <c r="BV493" s="779"/>
      <c r="BW493" s="779"/>
      <c r="BX493" s="779"/>
      <c r="BY493" s="779"/>
      <c r="BZ493" s="779"/>
      <c r="CA493" s="779"/>
      <c r="CB493" s="779"/>
      <c r="CC493" s="779"/>
    </row>
    <row r="494" spans="1:81">
      <c r="A494" s="779"/>
      <c r="B494" s="779"/>
      <c r="C494" s="779"/>
      <c r="D494" s="779"/>
      <c r="E494" s="779"/>
      <c r="F494" s="779"/>
      <c r="G494" s="779"/>
      <c r="H494" s="779"/>
      <c r="I494" s="779"/>
      <c r="J494" s="779"/>
      <c r="K494" s="779"/>
      <c r="L494" s="779"/>
      <c r="M494" s="779"/>
      <c r="N494" s="779"/>
      <c r="O494" s="779"/>
      <c r="P494" s="779"/>
      <c r="Q494" s="779"/>
      <c r="R494" s="779"/>
      <c r="S494" s="779"/>
      <c r="T494" s="779"/>
      <c r="U494" s="779"/>
      <c r="V494" s="779"/>
      <c r="W494" s="779"/>
      <c r="X494" s="779"/>
      <c r="Y494" s="779"/>
      <c r="Z494" s="779"/>
      <c r="AA494" s="779"/>
      <c r="AB494" s="779"/>
      <c r="AC494" s="779"/>
      <c r="AD494" s="779"/>
      <c r="AE494" s="779"/>
      <c r="AF494" s="779"/>
      <c r="AG494" s="779"/>
      <c r="AH494" s="779"/>
      <c r="AI494" s="779"/>
      <c r="AJ494" s="779"/>
      <c r="AK494" s="779"/>
      <c r="AL494" s="779"/>
      <c r="AM494" s="779"/>
      <c r="AN494" s="779"/>
      <c r="AO494" s="779"/>
      <c r="AP494" s="779"/>
      <c r="AQ494" s="779"/>
      <c r="AR494" s="779"/>
      <c r="AS494" s="779"/>
      <c r="AT494" s="779"/>
      <c r="AU494" s="779"/>
      <c r="AV494" s="779"/>
      <c r="AW494" s="779"/>
      <c r="AX494" s="779"/>
      <c r="AY494" s="779"/>
      <c r="AZ494" s="779"/>
      <c r="BA494" s="779"/>
      <c r="BB494" s="779"/>
      <c r="BC494" s="779"/>
      <c r="BD494" s="779"/>
      <c r="BE494" s="779"/>
      <c r="BF494" s="779"/>
      <c r="BG494" s="779"/>
      <c r="BH494" s="779"/>
      <c r="BI494" s="779"/>
      <c r="BJ494" s="779"/>
      <c r="BK494" s="779"/>
      <c r="BL494" s="779"/>
      <c r="BM494" s="779"/>
      <c r="BN494" s="779"/>
      <c r="BO494" s="779"/>
      <c r="BP494" s="779"/>
      <c r="BQ494" s="779"/>
      <c r="BR494" s="779"/>
      <c r="BS494" s="779"/>
      <c r="BT494" s="779"/>
      <c r="BU494" s="779"/>
      <c r="BV494" s="779"/>
      <c r="BW494" s="779"/>
      <c r="BX494" s="779"/>
      <c r="BY494" s="779"/>
      <c r="BZ494" s="779"/>
      <c r="CA494" s="779"/>
      <c r="CB494" s="779"/>
      <c r="CC494" s="779"/>
    </row>
    <row r="495" spans="1:81">
      <c r="A495" s="779"/>
      <c r="B495" s="779"/>
      <c r="C495" s="779"/>
      <c r="D495" s="779"/>
      <c r="E495" s="779"/>
      <c r="F495" s="779"/>
      <c r="G495" s="779"/>
      <c r="H495" s="779"/>
      <c r="I495" s="779"/>
      <c r="J495" s="779"/>
      <c r="K495" s="779"/>
      <c r="L495" s="779"/>
      <c r="M495" s="779"/>
      <c r="N495" s="779"/>
      <c r="O495" s="779"/>
      <c r="P495" s="779"/>
      <c r="Q495" s="779"/>
      <c r="R495" s="779"/>
      <c r="S495" s="779"/>
      <c r="T495" s="779"/>
      <c r="U495" s="779"/>
      <c r="V495" s="779"/>
      <c r="W495" s="779"/>
      <c r="X495" s="779"/>
      <c r="Y495" s="779"/>
      <c r="Z495" s="779"/>
      <c r="AA495" s="779"/>
      <c r="AB495" s="779"/>
      <c r="AC495" s="779"/>
      <c r="AD495" s="779"/>
      <c r="AE495" s="779"/>
      <c r="AF495" s="779"/>
      <c r="AG495" s="779"/>
      <c r="AH495" s="779"/>
      <c r="AI495" s="779"/>
      <c r="AJ495" s="779"/>
      <c r="AK495" s="779"/>
      <c r="AL495" s="779"/>
      <c r="AM495" s="779"/>
      <c r="AN495" s="779"/>
      <c r="AO495" s="779"/>
      <c r="AP495" s="779"/>
      <c r="AQ495" s="779"/>
      <c r="AR495" s="779"/>
      <c r="AS495" s="779"/>
      <c r="AT495" s="779"/>
      <c r="AU495" s="779"/>
      <c r="AV495" s="779"/>
      <c r="AW495" s="779"/>
      <c r="AX495" s="779"/>
      <c r="AY495" s="779"/>
      <c r="AZ495" s="779"/>
      <c r="BA495" s="779"/>
      <c r="BB495" s="779"/>
      <c r="BC495" s="779"/>
      <c r="BD495" s="779"/>
      <c r="BE495" s="779"/>
      <c r="BF495" s="779"/>
      <c r="BG495" s="779"/>
      <c r="BH495" s="779"/>
      <c r="BI495" s="779"/>
      <c r="BJ495" s="779"/>
      <c r="BK495" s="779"/>
      <c r="BL495" s="779"/>
      <c r="BM495" s="779"/>
      <c r="BN495" s="779"/>
      <c r="BO495" s="779"/>
      <c r="BP495" s="779"/>
      <c r="BQ495" s="779"/>
      <c r="BR495" s="779"/>
      <c r="BS495" s="779"/>
      <c r="BT495" s="779"/>
      <c r="BU495" s="779"/>
      <c r="BV495" s="779"/>
      <c r="BW495" s="779"/>
      <c r="BX495" s="779"/>
      <c r="BY495" s="779"/>
      <c r="BZ495" s="779"/>
      <c r="CA495" s="779"/>
      <c r="CB495" s="779"/>
      <c r="CC495" s="779"/>
    </row>
    <row r="496" spans="1:81">
      <c r="A496" s="779"/>
      <c r="B496" s="779"/>
      <c r="C496" s="779"/>
      <c r="D496" s="779"/>
      <c r="E496" s="779"/>
      <c r="F496" s="779"/>
      <c r="G496" s="779"/>
      <c r="H496" s="779"/>
      <c r="I496" s="779"/>
      <c r="J496" s="779"/>
      <c r="K496" s="779"/>
      <c r="L496" s="779"/>
      <c r="M496" s="779"/>
      <c r="N496" s="779"/>
      <c r="O496" s="779"/>
      <c r="P496" s="779"/>
      <c r="Q496" s="779"/>
      <c r="R496" s="779"/>
      <c r="S496" s="779"/>
      <c r="T496" s="779"/>
      <c r="U496" s="779"/>
      <c r="V496" s="779"/>
      <c r="W496" s="779"/>
      <c r="X496" s="779"/>
      <c r="Y496" s="779"/>
      <c r="Z496" s="779"/>
      <c r="AA496" s="779"/>
      <c r="AB496" s="779"/>
      <c r="AC496" s="779"/>
      <c r="AD496" s="779"/>
      <c r="AE496" s="779"/>
      <c r="AF496" s="779"/>
      <c r="AG496" s="779"/>
      <c r="AH496" s="779"/>
      <c r="AI496" s="779"/>
      <c r="AJ496" s="779"/>
      <c r="AK496" s="779"/>
      <c r="AL496" s="779"/>
      <c r="AM496" s="779"/>
      <c r="AN496" s="779"/>
      <c r="AO496" s="779"/>
      <c r="AP496" s="779"/>
      <c r="AQ496" s="779"/>
      <c r="AR496" s="779"/>
      <c r="AS496" s="779"/>
      <c r="AT496" s="779"/>
      <c r="AU496" s="779"/>
      <c r="AV496" s="779"/>
      <c r="AW496" s="779"/>
      <c r="AX496" s="779"/>
      <c r="AY496" s="779"/>
      <c r="AZ496" s="779"/>
      <c r="BA496" s="779"/>
      <c r="BB496" s="779"/>
      <c r="BC496" s="779"/>
      <c r="BD496" s="779"/>
      <c r="BE496" s="779"/>
      <c r="BF496" s="779"/>
      <c r="BG496" s="779"/>
      <c r="BH496" s="779"/>
      <c r="BI496" s="779"/>
      <c r="BJ496" s="779"/>
      <c r="BK496" s="779"/>
      <c r="BL496" s="779"/>
      <c r="BM496" s="779"/>
      <c r="BN496" s="779"/>
      <c r="BO496" s="779"/>
      <c r="BP496" s="779"/>
      <c r="BQ496" s="779"/>
      <c r="BR496" s="779"/>
      <c r="BS496" s="779"/>
      <c r="BT496" s="779"/>
      <c r="BU496" s="779"/>
      <c r="BV496" s="779"/>
      <c r="BW496" s="779"/>
      <c r="BX496" s="779"/>
      <c r="BY496" s="779"/>
      <c r="BZ496" s="779"/>
      <c r="CA496" s="779"/>
      <c r="CB496" s="779"/>
      <c r="CC496" s="779"/>
    </row>
    <row r="497" spans="1:81">
      <c r="A497" s="779"/>
      <c r="B497" s="779"/>
      <c r="C497" s="779"/>
      <c r="D497" s="779"/>
      <c r="E497" s="779"/>
      <c r="F497" s="779"/>
      <c r="G497" s="779"/>
      <c r="H497" s="779"/>
      <c r="I497" s="779"/>
      <c r="J497" s="779"/>
      <c r="K497" s="779"/>
      <c r="L497" s="779"/>
      <c r="M497" s="779"/>
      <c r="N497" s="779"/>
      <c r="O497" s="779"/>
      <c r="P497" s="779"/>
      <c r="Q497" s="779"/>
      <c r="R497" s="779"/>
      <c r="S497" s="779"/>
      <c r="T497" s="779"/>
      <c r="U497" s="779"/>
      <c r="V497" s="779"/>
      <c r="W497" s="779"/>
      <c r="X497" s="779"/>
      <c r="Y497" s="779"/>
      <c r="Z497" s="779"/>
      <c r="AA497" s="779"/>
      <c r="AB497" s="779"/>
      <c r="AC497" s="779"/>
      <c r="AD497" s="779"/>
      <c r="AE497" s="779"/>
      <c r="AF497" s="779"/>
      <c r="AG497" s="779"/>
      <c r="AH497" s="779"/>
      <c r="AI497" s="779"/>
      <c r="AJ497" s="779"/>
      <c r="AK497" s="779"/>
      <c r="AL497" s="779"/>
      <c r="AM497" s="779"/>
      <c r="AN497" s="779"/>
      <c r="AO497" s="779"/>
      <c r="AP497" s="779"/>
      <c r="AQ497" s="779"/>
      <c r="AR497" s="779"/>
      <c r="AS497" s="779"/>
      <c r="AT497" s="779"/>
      <c r="AU497" s="779"/>
      <c r="AV497" s="779"/>
      <c r="AW497" s="779"/>
      <c r="AX497" s="779"/>
      <c r="AY497" s="779"/>
      <c r="AZ497" s="779"/>
      <c r="BA497" s="779"/>
      <c r="BB497" s="779"/>
      <c r="BC497" s="779"/>
      <c r="BD497" s="779"/>
      <c r="BE497" s="779"/>
      <c r="BF497" s="779"/>
      <c r="BG497" s="779"/>
      <c r="BH497" s="779"/>
      <c r="BI497" s="779"/>
      <c r="BJ497" s="779"/>
      <c r="BK497" s="779"/>
      <c r="BL497" s="779"/>
      <c r="BM497" s="779"/>
      <c r="BN497" s="779"/>
      <c r="BO497" s="779"/>
      <c r="BP497" s="779"/>
      <c r="BQ497" s="779"/>
      <c r="BR497" s="779"/>
      <c r="BS497" s="779"/>
      <c r="BT497" s="779"/>
      <c r="BU497" s="779"/>
      <c r="BV497" s="779"/>
      <c r="BW497" s="779"/>
      <c r="BX497" s="779"/>
      <c r="BY497" s="779"/>
      <c r="BZ497" s="779"/>
      <c r="CA497" s="779"/>
      <c r="CB497" s="779"/>
      <c r="CC497" s="779"/>
    </row>
    <row r="498" spans="1:81">
      <c r="A498" s="779"/>
      <c r="B498" s="779"/>
      <c r="C498" s="779"/>
      <c r="D498" s="779"/>
      <c r="E498" s="779"/>
      <c r="F498" s="779"/>
      <c r="G498" s="779"/>
      <c r="H498" s="779"/>
      <c r="I498" s="779"/>
      <c r="J498" s="779"/>
      <c r="K498" s="779"/>
      <c r="L498" s="779"/>
      <c r="M498" s="779"/>
      <c r="N498" s="779"/>
      <c r="O498" s="779"/>
      <c r="P498" s="779"/>
      <c r="Q498" s="779"/>
      <c r="R498" s="779"/>
      <c r="S498" s="779"/>
      <c r="T498" s="779"/>
      <c r="U498" s="779"/>
      <c r="V498" s="779"/>
      <c r="W498" s="779"/>
      <c r="X498" s="779"/>
      <c r="Y498" s="779"/>
      <c r="Z498" s="779"/>
      <c r="AA498" s="779"/>
      <c r="AB498" s="779"/>
      <c r="AC498" s="779"/>
      <c r="AD498" s="779"/>
      <c r="AE498" s="779"/>
      <c r="AF498" s="779"/>
      <c r="AG498" s="779"/>
      <c r="AH498" s="779"/>
      <c r="AI498" s="779"/>
      <c r="AJ498" s="779"/>
      <c r="AK498" s="779"/>
      <c r="AL498" s="779"/>
      <c r="AM498" s="779"/>
      <c r="AN498" s="779"/>
      <c r="AO498" s="779"/>
      <c r="AP498" s="779"/>
      <c r="AQ498" s="779"/>
      <c r="AR498" s="779"/>
      <c r="AS498" s="779"/>
      <c r="AT498" s="779"/>
      <c r="AU498" s="779"/>
      <c r="AV498" s="779"/>
      <c r="AW498" s="779"/>
      <c r="AX498" s="779"/>
      <c r="AY498" s="779"/>
      <c r="AZ498" s="779"/>
      <c r="BA498" s="779"/>
      <c r="BB498" s="779"/>
      <c r="BC498" s="779"/>
      <c r="BD498" s="779"/>
      <c r="BE498" s="779"/>
      <c r="BF498" s="779"/>
      <c r="BG498" s="779"/>
      <c r="BH498" s="779"/>
      <c r="BI498" s="779"/>
      <c r="BJ498" s="779"/>
      <c r="BK498" s="779"/>
      <c r="BL498" s="779"/>
      <c r="BM498" s="779"/>
      <c r="BN498" s="779"/>
      <c r="BO498" s="779"/>
      <c r="BP498" s="779"/>
      <c r="BQ498" s="779"/>
      <c r="BR498" s="779"/>
      <c r="BS498" s="779"/>
      <c r="BT498" s="779"/>
      <c r="BU498" s="779"/>
      <c r="BV498" s="779"/>
      <c r="BW498" s="779"/>
      <c r="BX498" s="779"/>
      <c r="BY498" s="779"/>
      <c r="BZ498" s="779"/>
      <c r="CA498" s="779"/>
      <c r="CB498" s="779"/>
      <c r="CC498" s="779"/>
    </row>
    <row r="499" spans="1:81">
      <c r="A499" s="779"/>
      <c r="B499" s="779"/>
      <c r="C499" s="779"/>
      <c r="D499" s="779"/>
      <c r="E499" s="779"/>
      <c r="F499" s="779"/>
      <c r="G499" s="779"/>
      <c r="H499" s="779"/>
      <c r="I499" s="779"/>
      <c r="J499" s="779"/>
      <c r="K499" s="779"/>
      <c r="L499" s="779"/>
      <c r="M499" s="779"/>
      <c r="N499" s="779"/>
      <c r="O499" s="779"/>
      <c r="P499" s="779"/>
      <c r="Q499" s="779"/>
      <c r="R499" s="779"/>
      <c r="S499" s="779"/>
      <c r="T499" s="779"/>
      <c r="U499" s="779"/>
      <c r="V499" s="779"/>
      <c r="W499" s="779"/>
      <c r="X499" s="779"/>
      <c r="Y499" s="779"/>
      <c r="Z499" s="779"/>
      <c r="AA499" s="779"/>
      <c r="AB499" s="779"/>
      <c r="AC499" s="779"/>
      <c r="AD499" s="779"/>
      <c r="AE499" s="779"/>
      <c r="AF499" s="779"/>
      <c r="AG499" s="779"/>
      <c r="AH499" s="779"/>
      <c r="AI499" s="779"/>
      <c r="AJ499" s="779"/>
      <c r="AK499" s="779"/>
      <c r="AL499" s="779"/>
      <c r="AM499" s="779"/>
      <c r="AN499" s="779"/>
      <c r="AO499" s="779"/>
      <c r="AP499" s="779"/>
      <c r="AQ499" s="779"/>
      <c r="AR499" s="779"/>
      <c r="AS499" s="779"/>
      <c r="AT499" s="779"/>
      <c r="AU499" s="779"/>
      <c r="AV499" s="779"/>
      <c r="AW499" s="779"/>
      <c r="AX499" s="779"/>
      <c r="AY499" s="779"/>
      <c r="AZ499" s="779"/>
      <c r="BA499" s="779"/>
      <c r="BB499" s="779"/>
      <c r="BC499" s="779"/>
      <c r="BD499" s="779"/>
      <c r="BE499" s="779"/>
      <c r="BF499" s="779"/>
      <c r="BG499" s="779"/>
      <c r="BH499" s="779"/>
      <c r="BI499" s="779"/>
      <c r="BJ499" s="779"/>
      <c r="BK499" s="779"/>
      <c r="BL499" s="779"/>
      <c r="BM499" s="779"/>
      <c r="BN499" s="779"/>
      <c r="BO499" s="779"/>
      <c r="BP499" s="779"/>
      <c r="BQ499" s="779"/>
      <c r="BR499" s="779"/>
      <c r="BS499" s="779"/>
      <c r="BT499" s="779"/>
      <c r="BU499" s="779"/>
      <c r="BV499" s="779"/>
      <c r="BW499" s="779"/>
      <c r="BX499" s="779"/>
      <c r="BY499" s="779"/>
      <c r="BZ499" s="779"/>
      <c r="CA499" s="779"/>
      <c r="CB499" s="779"/>
      <c r="CC499" s="779"/>
    </row>
    <row r="500" spans="1:81">
      <c r="A500" s="779"/>
      <c r="B500" s="779"/>
      <c r="C500" s="779"/>
      <c r="D500" s="779"/>
      <c r="E500" s="779"/>
      <c r="F500" s="779"/>
      <c r="G500" s="779"/>
      <c r="H500" s="779"/>
      <c r="I500" s="779"/>
      <c r="J500" s="779"/>
      <c r="K500" s="779"/>
      <c r="L500" s="779"/>
      <c r="M500" s="779"/>
      <c r="N500" s="779"/>
      <c r="O500" s="779"/>
      <c r="P500" s="779"/>
      <c r="Q500" s="779"/>
      <c r="R500" s="779"/>
      <c r="S500" s="779"/>
      <c r="T500" s="779"/>
      <c r="U500" s="779"/>
      <c r="V500" s="779"/>
      <c r="W500" s="779"/>
      <c r="X500" s="779"/>
      <c r="Y500" s="779"/>
      <c r="Z500" s="779"/>
      <c r="AA500" s="779"/>
      <c r="AB500" s="779"/>
      <c r="AC500" s="779"/>
      <c r="AD500" s="779"/>
      <c r="AE500" s="779"/>
      <c r="AF500" s="779"/>
      <c r="AG500" s="779"/>
      <c r="AH500" s="779"/>
      <c r="AI500" s="779"/>
      <c r="AJ500" s="779"/>
      <c r="AK500" s="779"/>
      <c r="AL500" s="779"/>
      <c r="AM500" s="779"/>
      <c r="AN500" s="779"/>
      <c r="AO500" s="779"/>
      <c r="AP500" s="779"/>
      <c r="AQ500" s="779"/>
      <c r="AR500" s="779"/>
      <c r="AS500" s="779"/>
      <c r="AT500" s="779"/>
      <c r="AU500" s="779"/>
      <c r="AV500" s="779"/>
      <c r="AW500" s="779"/>
      <c r="AX500" s="779"/>
      <c r="AY500" s="779"/>
      <c r="AZ500" s="779"/>
      <c r="BA500" s="779"/>
      <c r="BB500" s="779"/>
      <c r="BC500" s="779"/>
      <c r="BD500" s="779"/>
      <c r="BE500" s="779"/>
      <c r="BF500" s="779"/>
      <c r="BG500" s="779"/>
      <c r="BH500" s="779"/>
      <c r="BI500" s="779"/>
      <c r="BJ500" s="779"/>
      <c r="BK500" s="779"/>
      <c r="BL500" s="779"/>
      <c r="BM500" s="779"/>
      <c r="BN500" s="779"/>
      <c r="BO500" s="779"/>
      <c r="BP500" s="779"/>
      <c r="BQ500" s="779"/>
      <c r="BR500" s="779"/>
      <c r="BS500" s="779"/>
      <c r="BT500" s="779"/>
      <c r="BU500" s="779"/>
      <c r="BV500" s="779"/>
      <c r="BW500" s="779"/>
      <c r="BX500" s="779"/>
      <c r="BY500" s="779"/>
      <c r="BZ500" s="779"/>
      <c r="CA500" s="779"/>
      <c r="CB500" s="779"/>
      <c r="CC500" s="779"/>
    </row>
    <row r="501" spans="1:81">
      <c r="A501" s="779"/>
      <c r="B501" s="779"/>
      <c r="C501" s="779"/>
      <c r="D501" s="779"/>
      <c r="E501" s="779"/>
      <c r="F501" s="779"/>
      <c r="G501" s="779"/>
      <c r="H501" s="779"/>
      <c r="I501" s="779"/>
      <c r="J501" s="779"/>
      <c r="K501" s="779"/>
      <c r="L501" s="779"/>
      <c r="M501" s="779"/>
      <c r="N501" s="779"/>
      <c r="O501" s="779"/>
      <c r="P501" s="779"/>
      <c r="Q501" s="779"/>
      <c r="R501" s="779"/>
      <c r="S501" s="779"/>
      <c r="T501" s="779"/>
      <c r="U501" s="779"/>
      <c r="V501" s="779"/>
      <c r="W501" s="779"/>
      <c r="X501" s="779"/>
      <c r="Y501" s="779"/>
      <c r="Z501" s="779"/>
      <c r="AA501" s="779"/>
      <c r="AB501" s="779"/>
      <c r="AC501" s="779"/>
      <c r="AD501" s="779"/>
      <c r="AE501" s="779"/>
      <c r="AF501" s="779"/>
      <c r="AG501" s="779"/>
      <c r="AH501" s="779"/>
      <c r="AI501" s="779"/>
      <c r="AJ501" s="779"/>
      <c r="AK501" s="779"/>
      <c r="AL501" s="779"/>
      <c r="AM501" s="779"/>
      <c r="AN501" s="779"/>
      <c r="AO501" s="779"/>
      <c r="AP501" s="779"/>
      <c r="AQ501" s="779"/>
      <c r="AR501" s="779"/>
      <c r="AS501" s="779"/>
      <c r="AT501" s="779"/>
      <c r="AU501" s="779"/>
      <c r="AV501" s="779"/>
      <c r="AW501" s="779"/>
      <c r="AX501" s="779"/>
      <c r="AY501" s="779"/>
      <c r="AZ501" s="779"/>
      <c r="BA501" s="779"/>
      <c r="BB501" s="779"/>
      <c r="BC501" s="779"/>
      <c r="BD501" s="779"/>
      <c r="BE501" s="779"/>
      <c r="BF501" s="779"/>
      <c r="BG501" s="779"/>
      <c r="BH501" s="779"/>
      <c r="BI501" s="779"/>
      <c r="BJ501" s="779"/>
      <c r="BK501" s="779"/>
      <c r="BL501" s="779"/>
      <c r="BM501" s="779"/>
      <c r="BN501" s="779"/>
      <c r="BO501" s="779"/>
      <c r="BP501" s="779"/>
      <c r="BQ501" s="779"/>
      <c r="BR501" s="779"/>
      <c r="BS501" s="779"/>
      <c r="BT501" s="779"/>
      <c r="BU501" s="779"/>
      <c r="BV501" s="779"/>
      <c r="BW501" s="779"/>
      <c r="BX501" s="779"/>
      <c r="BY501" s="779"/>
      <c r="BZ501" s="779"/>
      <c r="CA501" s="779"/>
      <c r="CB501" s="779"/>
      <c r="CC501" s="779"/>
    </row>
    <row r="502" spans="1:81">
      <c r="A502" s="779"/>
      <c r="B502" s="779"/>
      <c r="C502" s="779"/>
      <c r="D502" s="779"/>
      <c r="E502" s="779"/>
      <c r="F502" s="779"/>
      <c r="G502" s="779"/>
      <c r="H502" s="779"/>
      <c r="I502" s="779"/>
      <c r="J502" s="779"/>
      <c r="K502" s="779"/>
      <c r="L502" s="779"/>
      <c r="M502" s="779"/>
      <c r="N502" s="779"/>
      <c r="O502" s="779"/>
      <c r="P502" s="779"/>
      <c r="Q502" s="779"/>
      <c r="R502" s="779"/>
      <c r="S502" s="779"/>
      <c r="T502" s="779"/>
      <c r="U502" s="779"/>
      <c r="V502" s="779"/>
      <c r="W502" s="779"/>
      <c r="X502" s="779"/>
      <c r="Y502" s="779"/>
      <c r="Z502" s="779"/>
      <c r="AA502" s="779"/>
      <c r="AB502" s="779"/>
      <c r="AC502" s="779"/>
      <c r="AD502" s="779"/>
      <c r="AE502" s="779"/>
      <c r="AF502" s="779"/>
      <c r="AG502" s="779"/>
      <c r="AH502" s="779"/>
      <c r="AI502" s="779"/>
      <c r="AJ502" s="779"/>
      <c r="AK502" s="779"/>
      <c r="AL502" s="779"/>
      <c r="AM502" s="779"/>
      <c r="AN502" s="779"/>
      <c r="AO502" s="779"/>
      <c r="AP502" s="779"/>
      <c r="AQ502" s="779"/>
      <c r="AR502" s="779"/>
      <c r="AS502" s="779"/>
      <c r="AT502" s="779"/>
      <c r="AU502" s="779"/>
      <c r="AV502" s="779"/>
      <c r="AW502" s="779"/>
      <c r="AX502" s="779"/>
      <c r="AY502" s="779"/>
      <c r="AZ502" s="779"/>
      <c r="BA502" s="779"/>
      <c r="BB502" s="779"/>
      <c r="BC502" s="779"/>
      <c r="BD502" s="779"/>
      <c r="BE502" s="779"/>
      <c r="BF502" s="779"/>
      <c r="BG502" s="779"/>
      <c r="BH502" s="779"/>
      <c r="BI502" s="779"/>
      <c r="BJ502" s="779"/>
      <c r="BK502" s="779"/>
      <c r="BL502" s="779"/>
      <c r="BM502" s="779"/>
      <c r="BN502" s="779"/>
      <c r="BO502" s="779"/>
      <c r="BP502" s="779"/>
      <c r="BQ502" s="779"/>
      <c r="BR502" s="779"/>
      <c r="BS502" s="779"/>
      <c r="BT502" s="779"/>
      <c r="BU502" s="779"/>
      <c r="BV502" s="779"/>
      <c r="BW502" s="779"/>
      <c r="BX502" s="779"/>
      <c r="BY502" s="779"/>
      <c r="BZ502" s="779"/>
      <c r="CA502" s="779"/>
      <c r="CB502" s="779"/>
      <c r="CC502" s="779"/>
    </row>
    <row r="503" spans="1:81">
      <c r="A503" s="779"/>
      <c r="B503" s="779"/>
      <c r="C503" s="779"/>
      <c r="D503" s="779"/>
      <c r="E503" s="779"/>
      <c r="F503" s="779"/>
      <c r="G503" s="779"/>
      <c r="H503" s="779"/>
      <c r="I503" s="779"/>
      <c r="J503" s="779"/>
      <c r="K503" s="779"/>
      <c r="L503" s="779"/>
      <c r="M503" s="779"/>
      <c r="N503" s="779"/>
      <c r="O503" s="779"/>
      <c r="P503" s="779"/>
      <c r="Q503" s="779"/>
      <c r="R503" s="779"/>
      <c r="S503" s="779"/>
      <c r="T503" s="779"/>
      <c r="U503" s="779"/>
      <c r="V503" s="779"/>
      <c r="W503" s="779"/>
      <c r="X503" s="779"/>
      <c r="Y503" s="779"/>
      <c r="Z503" s="779"/>
      <c r="AA503" s="779"/>
      <c r="AB503" s="779"/>
      <c r="AC503" s="779"/>
      <c r="AD503" s="779"/>
      <c r="AE503" s="779"/>
      <c r="AF503" s="779"/>
      <c r="AG503" s="779"/>
      <c r="AH503" s="779"/>
      <c r="AI503" s="779"/>
      <c r="AJ503" s="779"/>
      <c r="AK503" s="779"/>
      <c r="AL503" s="779"/>
      <c r="AM503" s="779"/>
      <c r="AN503" s="779"/>
      <c r="AO503" s="779"/>
      <c r="AP503" s="779"/>
      <c r="AQ503" s="779"/>
      <c r="AR503" s="779"/>
      <c r="AS503" s="779"/>
      <c r="AT503" s="779"/>
      <c r="AU503" s="779"/>
      <c r="AV503" s="779"/>
      <c r="AW503" s="779"/>
      <c r="AX503" s="779"/>
      <c r="AY503" s="779"/>
      <c r="AZ503" s="779"/>
      <c r="BA503" s="779"/>
      <c r="BB503" s="779"/>
      <c r="BC503" s="779"/>
      <c r="BD503" s="779"/>
      <c r="BE503" s="779"/>
      <c r="BF503" s="779"/>
      <c r="BG503" s="779"/>
      <c r="BH503" s="779"/>
      <c r="BI503" s="779"/>
      <c r="BJ503" s="779"/>
      <c r="BK503" s="779"/>
      <c r="BL503" s="779"/>
      <c r="BM503" s="779"/>
      <c r="BN503" s="779"/>
      <c r="BO503" s="779"/>
      <c r="BP503" s="779"/>
      <c r="BQ503" s="779"/>
      <c r="BR503" s="779"/>
      <c r="BS503" s="779"/>
      <c r="BT503" s="779"/>
      <c r="BU503" s="779"/>
      <c r="BV503" s="779"/>
      <c r="BW503" s="779"/>
      <c r="BX503" s="779"/>
      <c r="BY503" s="779"/>
      <c r="BZ503" s="779"/>
      <c r="CA503" s="779"/>
      <c r="CB503" s="779"/>
      <c r="CC503" s="779"/>
    </row>
    <row r="504" spans="1:81">
      <c r="A504" s="779"/>
      <c r="B504" s="779"/>
      <c r="C504" s="779"/>
      <c r="D504" s="779"/>
      <c r="E504" s="779"/>
      <c r="F504" s="779"/>
      <c r="G504" s="779"/>
      <c r="H504" s="779"/>
      <c r="I504" s="779"/>
      <c r="J504" s="779"/>
      <c r="K504" s="779"/>
      <c r="L504" s="779"/>
      <c r="M504" s="779"/>
      <c r="N504" s="779"/>
      <c r="O504" s="779"/>
      <c r="P504" s="779"/>
      <c r="Q504" s="779"/>
      <c r="R504" s="779"/>
      <c r="S504" s="779"/>
      <c r="T504" s="779"/>
      <c r="U504" s="779"/>
      <c r="V504" s="779"/>
      <c r="W504" s="779"/>
      <c r="X504" s="779"/>
      <c r="Y504" s="779"/>
      <c r="Z504" s="779"/>
      <c r="AA504" s="779"/>
      <c r="AB504" s="779"/>
      <c r="AC504" s="779"/>
      <c r="AD504" s="779"/>
      <c r="AE504" s="779"/>
      <c r="AF504" s="779"/>
      <c r="AG504" s="779"/>
      <c r="AH504" s="779"/>
      <c r="AI504" s="779"/>
      <c r="AJ504" s="779"/>
      <c r="AK504" s="779"/>
      <c r="AL504" s="779"/>
      <c r="AM504" s="779"/>
      <c r="AN504" s="779"/>
      <c r="AO504" s="779"/>
      <c r="AP504" s="779"/>
      <c r="AQ504" s="779"/>
      <c r="AR504" s="779"/>
      <c r="AS504" s="779"/>
      <c r="AT504" s="779"/>
      <c r="AU504" s="779"/>
      <c r="AV504" s="779"/>
      <c r="AW504" s="779"/>
      <c r="AX504" s="779"/>
      <c r="AY504" s="779"/>
      <c r="AZ504" s="779"/>
      <c r="BA504" s="779"/>
      <c r="BB504" s="779"/>
      <c r="BC504" s="779"/>
      <c r="BD504" s="779"/>
      <c r="BE504" s="779"/>
      <c r="BF504" s="779"/>
      <c r="BG504" s="779"/>
      <c r="BH504" s="779"/>
      <c r="BI504" s="779"/>
      <c r="BJ504" s="779"/>
      <c r="BK504" s="779"/>
      <c r="BL504" s="779"/>
      <c r="BM504" s="779"/>
      <c r="BN504" s="779"/>
      <c r="BO504" s="779"/>
      <c r="BP504" s="779"/>
      <c r="BQ504" s="779"/>
      <c r="BR504" s="779"/>
      <c r="BS504" s="779"/>
      <c r="BT504" s="779"/>
      <c r="BU504" s="779"/>
      <c r="BV504" s="779"/>
      <c r="BW504" s="779"/>
      <c r="BX504" s="779"/>
      <c r="BY504" s="779"/>
      <c r="BZ504" s="779"/>
      <c r="CA504" s="779"/>
      <c r="CB504" s="779"/>
      <c r="CC504" s="779"/>
    </row>
    <row r="505" spans="1:81">
      <c r="A505" s="779"/>
      <c r="B505" s="779"/>
      <c r="C505" s="779"/>
      <c r="D505" s="779"/>
      <c r="E505" s="779"/>
      <c r="F505" s="779"/>
      <c r="G505" s="779"/>
      <c r="H505" s="779"/>
      <c r="I505" s="779"/>
      <c r="J505" s="779"/>
      <c r="K505" s="779"/>
      <c r="L505" s="779"/>
      <c r="M505" s="779"/>
      <c r="N505" s="779"/>
      <c r="O505" s="779"/>
      <c r="P505" s="779"/>
      <c r="Q505" s="779"/>
      <c r="R505" s="779"/>
      <c r="S505" s="779"/>
      <c r="T505" s="779"/>
      <c r="U505" s="779"/>
      <c r="V505" s="779"/>
      <c r="W505" s="779"/>
      <c r="X505" s="779"/>
      <c r="Y505" s="779"/>
      <c r="Z505" s="779"/>
      <c r="AA505" s="779"/>
      <c r="AB505" s="779"/>
      <c r="AC505" s="779"/>
      <c r="AD505" s="779"/>
      <c r="AE505" s="779"/>
      <c r="AF505" s="779"/>
      <c r="AG505" s="779"/>
      <c r="AH505" s="779"/>
      <c r="AI505" s="779"/>
      <c r="AJ505" s="779"/>
      <c r="AK505" s="779"/>
      <c r="AL505" s="779"/>
      <c r="AM505" s="779"/>
      <c r="AN505" s="779"/>
      <c r="AO505" s="779"/>
      <c r="AP505" s="779"/>
      <c r="AQ505" s="779"/>
      <c r="AR505" s="779"/>
      <c r="AS505" s="779"/>
      <c r="AT505" s="779"/>
      <c r="AU505" s="779"/>
      <c r="AV505" s="779"/>
      <c r="AW505" s="779"/>
      <c r="AX505" s="779"/>
      <c r="AY505" s="779"/>
      <c r="AZ505" s="779"/>
      <c r="BA505" s="779"/>
      <c r="BB505" s="779"/>
      <c r="BC505" s="779"/>
      <c r="BD505" s="779"/>
      <c r="BE505" s="779"/>
      <c r="BF505" s="779"/>
      <c r="BG505" s="779"/>
      <c r="BH505" s="779"/>
      <c r="BI505" s="779"/>
      <c r="BJ505" s="779"/>
      <c r="BK505" s="779"/>
      <c r="BL505" s="779"/>
      <c r="BM505" s="779"/>
      <c r="BN505" s="779"/>
      <c r="BO505" s="779"/>
      <c r="BP505" s="779"/>
      <c r="BQ505" s="779"/>
      <c r="BR505" s="779"/>
      <c r="BS505" s="779"/>
      <c r="BT505" s="779"/>
      <c r="BU505" s="779"/>
      <c r="BV505" s="779"/>
      <c r="BW505" s="779"/>
      <c r="BX505" s="779"/>
      <c r="BY505" s="779"/>
      <c r="BZ505" s="779"/>
      <c r="CA505" s="779"/>
      <c r="CB505" s="779"/>
      <c r="CC505" s="779"/>
    </row>
    <row r="506" spans="1:81">
      <c r="A506" s="779"/>
      <c r="B506" s="779"/>
      <c r="C506" s="779"/>
      <c r="D506" s="779"/>
      <c r="E506" s="779"/>
      <c r="F506" s="779"/>
      <c r="G506" s="779"/>
      <c r="H506" s="779"/>
      <c r="I506" s="779"/>
      <c r="J506" s="779"/>
      <c r="K506" s="779"/>
      <c r="L506" s="779"/>
      <c r="M506" s="779"/>
      <c r="N506" s="779"/>
      <c r="O506" s="779"/>
      <c r="P506" s="779"/>
      <c r="Q506" s="779"/>
      <c r="R506" s="779"/>
      <c r="S506" s="779"/>
      <c r="T506" s="779"/>
      <c r="U506" s="779"/>
      <c r="V506" s="779"/>
      <c r="W506" s="779"/>
      <c r="X506" s="779"/>
      <c r="Y506" s="779"/>
      <c r="Z506" s="779"/>
      <c r="AA506" s="779"/>
      <c r="AB506" s="779"/>
      <c r="AC506" s="779"/>
      <c r="AD506" s="779"/>
      <c r="AE506" s="779"/>
      <c r="AF506" s="779"/>
      <c r="AG506" s="779"/>
      <c r="AH506" s="779"/>
      <c r="AI506" s="779"/>
      <c r="AJ506" s="779"/>
      <c r="AK506" s="779"/>
      <c r="AL506" s="779"/>
      <c r="AM506" s="779"/>
      <c r="AN506" s="779"/>
      <c r="AO506" s="779"/>
      <c r="AP506" s="779"/>
      <c r="AQ506" s="779"/>
      <c r="AR506" s="779"/>
      <c r="AS506" s="779"/>
      <c r="AT506" s="779"/>
      <c r="AU506" s="779"/>
      <c r="AV506" s="779"/>
      <c r="AW506" s="779"/>
      <c r="AX506" s="779"/>
      <c r="AY506" s="779"/>
      <c r="AZ506" s="779"/>
      <c r="BA506" s="779"/>
      <c r="BB506" s="779"/>
      <c r="BC506" s="779"/>
      <c r="BD506" s="779"/>
      <c r="BE506" s="779"/>
      <c r="BF506" s="779"/>
      <c r="BG506" s="779"/>
      <c r="BH506" s="779"/>
      <c r="BI506" s="779"/>
      <c r="BJ506" s="779"/>
      <c r="BK506" s="779"/>
      <c r="BL506" s="779"/>
      <c r="BM506" s="779"/>
      <c r="BN506" s="779"/>
      <c r="BO506" s="779"/>
      <c r="BP506" s="779"/>
      <c r="BQ506" s="779"/>
      <c r="BR506" s="779"/>
      <c r="BS506" s="779"/>
      <c r="BT506" s="779"/>
      <c r="BU506" s="779"/>
      <c r="BV506" s="779"/>
      <c r="BW506" s="779"/>
      <c r="BX506" s="779"/>
      <c r="BY506" s="779"/>
      <c r="BZ506" s="779"/>
      <c r="CA506" s="779"/>
      <c r="CB506" s="779"/>
      <c r="CC506" s="779"/>
    </row>
    <row r="507" spans="1:81">
      <c r="A507" s="779"/>
      <c r="B507" s="779"/>
      <c r="C507" s="779"/>
      <c r="D507" s="779"/>
      <c r="E507" s="779"/>
      <c r="F507" s="779"/>
      <c r="G507" s="779"/>
      <c r="H507" s="779"/>
      <c r="I507" s="779"/>
      <c r="J507" s="779"/>
      <c r="K507" s="779"/>
      <c r="L507" s="779"/>
      <c r="M507" s="779"/>
      <c r="N507" s="779"/>
      <c r="O507" s="779"/>
      <c r="P507" s="779"/>
      <c r="Q507" s="779"/>
      <c r="R507" s="779"/>
      <c r="S507" s="779"/>
      <c r="T507" s="779"/>
      <c r="U507" s="779"/>
      <c r="V507" s="779"/>
      <c r="W507" s="779"/>
      <c r="X507" s="779"/>
      <c r="Y507" s="779"/>
      <c r="Z507" s="779"/>
      <c r="AA507" s="779"/>
      <c r="AB507" s="779"/>
      <c r="AC507" s="779"/>
      <c r="AD507" s="779"/>
      <c r="AE507" s="779"/>
      <c r="AF507" s="779"/>
      <c r="AG507" s="779"/>
      <c r="AH507" s="779"/>
      <c r="AI507" s="779"/>
      <c r="AJ507" s="779"/>
      <c r="AK507" s="779"/>
      <c r="AL507" s="779"/>
      <c r="AM507" s="779"/>
      <c r="AN507" s="779"/>
      <c r="AO507" s="779"/>
      <c r="AP507" s="779"/>
      <c r="AQ507" s="779"/>
      <c r="AR507" s="779"/>
      <c r="AS507" s="779"/>
      <c r="AT507" s="779"/>
      <c r="AU507" s="779"/>
      <c r="AV507" s="779"/>
      <c r="AW507" s="779"/>
      <c r="AX507" s="779"/>
      <c r="AY507" s="779"/>
      <c r="AZ507" s="779"/>
      <c r="BA507" s="779"/>
      <c r="BB507" s="779"/>
      <c r="BC507" s="779"/>
      <c r="BD507" s="779"/>
      <c r="BE507" s="779"/>
      <c r="BF507" s="779"/>
      <c r="BG507" s="779"/>
      <c r="BH507" s="779"/>
      <c r="BI507" s="779"/>
      <c r="BJ507" s="779"/>
      <c r="BK507" s="779"/>
      <c r="BL507" s="779"/>
      <c r="BM507" s="779"/>
      <c r="BN507" s="779"/>
      <c r="BO507" s="779"/>
      <c r="BP507" s="779"/>
      <c r="BQ507" s="779"/>
      <c r="BR507" s="779"/>
      <c r="BS507" s="779"/>
      <c r="BT507" s="779"/>
      <c r="BU507" s="779"/>
      <c r="BV507" s="779"/>
      <c r="BW507" s="779"/>
      <c r="BX507" s="779"/>
      <c r="BY507" s="779"/>
      <c r="BZ507" s="779"/>
      <c r="CA507" s="779"/>
      <c r="CB507" s="779"/>
      <c r="CC507" s="779"/>
    </row>
    <row r="508" spans="1:81">
      <c r="A508" s="779"/>
      <c r="B508" s="779"/>
      <c r="C508" s="779"/>
      <c r="D508" s="779"/>
      <c r="E508" s="779"/>
      <c r="F508" s="779"/>
      <c r="G508" s="779"/>
      <c r="H508" s="779"/>
      <c r="I508" s="779"/>
      <c r="J508" s="779"/>
      <c r="K508" s="779"/>
      <c r="L508" s="779"/>
      <c r="M508" s="779"/>
      <c r="N508" s="779"/>
      <c r="O508" s="779"/>
      <c r="P508" s="779"/>
      <c r="Q508" s="779"/>
      <c r="R508" s="779"/>
      <c r="S508" s="779"/>
      <c r="T508" s="779"/>
      <c r="U508" s="779"/>
      <c r="V508" s="779"/>
      <c r="W508" s="779"/>
      <c r="X508" s="779"/>
      <c r="Y508" s="779"/>
      <c r="Z508" s="779"/>
      <c r="AA508" s="779"/>
      <c r="AB508" s="779"/>
      <c r="AC508" s="779"/>
      <c r="AD508" s="779"/>
      <c r="AE508" s="779"/>
      <c r="AF508" s="779"/>
      <c r="AG508" s="779"/>
      <c r="AH508" s="779"/>
      <c r="AI508" s="779"/>
      <c r="AJ508" s="779"/>
      <c r="AK508" s="779"/>
      <c r="AL508" s="779"/>
      <c r="AM508" s="779"/>
      <c r="AN508" s="779"/>
      <c r="AO508" s="779"/>
      <c r="AP508" s="779"/>
      <c r="AQ508" s="779"/>
      <c r="AR508" s="779"/>
      <c r="AS508" s="779"/>
      <c r="AT508" s="779"/>
      <c r="AU508" s="779"/>
      <c r="AV508" s="779"/>
      <c r="AW508" s="779"/>
      <c r="AX508" s="779"/>
      <c r="AY508" s="779"/>
      <c r="AZ508" s="779"/>
      <c r="BA508" s="779"/>
      <c r="BB508" s="779"/>
      <c r="BC508" s="779"/>
      <c r="BD508" s="779"/>
      <c r="BE508" s="779"/>
      <c r="BF508" s="779"/>
      <c r="BG508" s="779"/>
      <c r="BH508" s="779"/>
      <c r="BI508" s="779"/>
      <c r="BJ508" s="779"/>
      <c r="BK508" s="779"/>
      <c r="BL508" s="779"/>
      <c r="BM508" s="779"/>
      <c r="BN508" s="779"/>
      <c r="BO508" s="779"/>
      <c r="BP508" s="779"/>
      <c r="BQ508" s="779"/>
      <c r="BR508" s="779"/>
      <c r="BS508" s="779"/>
      <c r="BT508" s="779"/>
      <c r="BU508" s="779"/>
      <c r="BV508" s="779"/>
      <c r="BW508" s="779"/>
      <c r="BX508" s="779"/>
      <c r="BY508" s="779"/>
      <c r="BZ508" s="779"/>
      <c r="CA508" s="779"/>
      <c r="CB508" s="779"/>
      <c r="CC508" s="779"/>
    </row>
    <row r="509" spans="1:81">
      <c r="A509" s="779"/>
      <c r="B509" s="779"/>
      <c r="C509" s="779"/>
      <c r="D509" s="779"/>
      <c r="E509" s="779"/>
      <c r="F509" s="779"/>
      <c r="G509" s="779"/>
      <c r="H509" s="779"/>
      <c r="I509" s="779"/>
      <c r="J509" s="779"/>
      <c r="K509" s="779"/>
      <c r="L509" s="779"/>
      <c r="M509" s="779"/>
      <c r="N509" s="779"/>
      <c r="O509" s="779"/>
      <c r="P509" s="779"/>
      <c r="Q509" s="779"/>
      <c r="R509" s="779"/>
      <c r="S509" s="779"/>
      <c r="T509" s="779"/>
      <c r="U509" s="779"/>
      <c r="V509" s="779"/>
      <c r="W509" s="779"/>
      <c r="X509" s="779"/>
      <c r="Y509" s="779"/>
      <c r="Z509" s="779"/>
      <c r="AA509" s="779"/>
      <c r="AB509" s="779"/>
      <c r="AC509" s="779"/>
      <c r="AD509" s="779"/>
      <c r="AE509" s="779"/>
      <c r="AF509" s="779"/>
      <c r="AG509" s="779"/>
      <c r="AH509" s="779"/>
      <c r="AI509" s="779"/>
      <c r="AJ509" s="779"/>
      <c r="AK509" s="779"/>
      <c r="AL509" s="779"/>
      <c r="AM509" s="779"/>
      <c r="AN509" s="779"/>
      <c r="AO509" s="779"/>
      <c r="AP509" s="779"/>
      <c r="AQ509" s="779"/>
      <c r="AR509" s="779"/>
      <c r="AS509" s="779"/>
      <c r="AT509" s="779"/>
      <c r="AU509" s="779"/>
      <c r="AV509" s="779"/>
      <c r="AW509" s="779"/>
      <c r="AX509" s="779"/>
      <c r="AY509" s="779"/>
      <c r="AZ509" s="779"/>
      <c r="BA509" s="779"/>
      <c r="BB509" s="779"/>
      <c r="BC509" s="779"/>
      <c r="BD509" s="779"/>
      <c r="BE509" s="779"/>
      <c r="BF509" s="779"/>
      <c r="BG509" s="779"/>
      <c r="BH509" s="779"/>
      <c r="BI509" s="779"/>
      <c r="BJ509" s="779"/>
      <c r="BK509" s="779"/>
      <c r="BL509" s="779"/>
      <c r="BM509" s="779"/>
      <c r="BN509" s="779"/>
      <c r="BO509" s="779"/>
      <c r="BP509" s="779"/>
      <c r="BQ509" s="779"/>
      <c r="BR509" s="779"/>
      <c r="BS509" s="779"/>
      <c r="BT509" s="779"/>
      <c r="BU509" s="779"/>
      <c r="BV509" s="779"/>
      <c r="BW509" s="779"/>
      <c r="BX509" s="779"/>
      <c r="BY509" s="779"/>
      <c r="BZ509" s="779"/>
      <c r="CA509" s="779"/>
      <c r="CB509" s="779"/>
      <c r="CC509" s="779"/>
    </row>
    <row r="510" spans="1:81">
      <c r="A510" s="779"/>
      <c r="B510" s="779"/>
      <c r="C510" s="779"/>
      <c r="D510" s="779"/>
      <c r="E510" s="779"/>
      <c r="F510" s="779"/>
      <c r="G510" s="779"/>
      <c r="H510" s="779"/>
      <c r="I510" s="779"/>
      <c r="J510" s="779"/>
      <c r="K510" s="779"/>
      <c r="L510" s="779"/>
      <c r="M510" s="779"/>
      <c r="N510" s="779"/>
      <c r="O510" s="779"/>
      <c r="P510" s="779"/>
      <c r="Q510" s="779"/>
      <c r="R510" s="779"/>
      <c r="S510" s="779"/>
      <c r="T510" s="779"/>
      <c r="U510" s="779"/>
      <c r="V510" s="779"/>
      <c r="W510" s="779"/>
      <c r="X510" s="779"/>
      <c r="Y510" s="779"/>
      <c r="Z510" s="779"/>
      <c r="AA510" s="779"/>
      <c r="AB510" s="779"/>
      <c r="AC510" s="779"/>
      <c r="AD510" s="779"/>
      <c r="AE510" s="779"/>
      <c r="AF510" s="779"/>
      <c r="AG510" s="779"/>
      <c r="AH510" s="779"/>
      <c r="AI510" s="779"/>
      <c r="AJ510" s="779"/>
      <c r="AK510" s="779"/>
      <c r="AL510" s="779"/>
      <c r="AM510" s="779"/>
      <c r="AN510" s="779"/>
      <c r="AO510" s="779"/>
      <c r="AP510" s="779"/>
      <c r="AQ510" s="779"/>
      <c r="AR510" s="779"/>
      <c r="AS510" s="779"/>
      <c r="AT510" s="779"/>
      <c r="AU510" s="779"/>
      <c r="AV510" s="779"/>
      <c r="AW510" s="779"/>
      <c r="AX510" s="779"/>
      <c r="AY510" s="779"/>
      <c r="AZ510" s="779"/>
      <c r="BA510" s="779"/>
      <c r="BB510" s="779"/>
      <c r="BC510" s="779"/>
      <c r="BD510" s="779"/>
      <c r="BE510" s="779"/>
      <c r="BF510" s="779"/>
      <c r="BG510" s="779"/>
      <c r="BH510" s="779"/>
      <c r="BI510" s="779"/>
      <c r="BJ510" s="779"/>
      <c r="BK510" s="779"/>
      <c r="BL510" s="779"/>
      <c r="BM510" s="779"/>
      <c r="BN510" s="779"/>
      <c r="BO510" s="779"/>
      <c r="BP510" s="779"/>
      <c r="BQ510" s="779"/>
      <c r="BR510" s="779"/>
      <c r="BS510" s="779"/>
      <c r="BT510" s="779"/>
      <c r="BU510" s="779"/>
      <c r="BV510" s="779"/>
      <c r="BW510" s="779"/>
      <c r="BX510" s="779"/>
      <c r="BY510" s="779"/>
      <c r="BZ510" s="779"/>
      <c r="CA510" s="779"/>
      <c r="CB510" s="779"/>
      <c r="CC510" s="779"/>
    </row>
    <row r="511" spans="1:81">
      <c r="A511" s="779"/>
      <c r="B511" s="779"/>
      <c r="C511" s="779"/>
      <c r="D511" s="779"/>
      <c r="E511" s="779"/>
      <c r="F511" s="779"/>
      <c r="G511" s="779"/>
      <c r="H511" s="779"/>
      <c r="I511" s="779"/>
      <c r="J511" s="779"/>
      <c r="K511" s="779"/>
      <c r="L511" s="779"/>
      <c r="M511" s="779"/>
      <c r="N511" s="779"/>
      <c r="O511" s="779"/>
      <c r="P511" s="779"/>
      <c r="Q511" s="779"/>
      <c r="R511" s="779"/>
      <c r="S511" s="779"/>
      <c r="T511" s="779"/>
      <c r="U511" s="779"/>
      <c r="V511" s="779"/>
      <c r="W511" s="779"/>
      <c r="X511" s="779"/>
      <c r="Y511" s="779"/>
      <c r="Z511" s="779"/>
      <c r="AA511" s="779"/>
      <c r="AB511" s="779"/>
      <c r="AC511" s="779"/>
      <c r="AD511" s="779"/>
      <c r="AE511" s="779"/>
      <c r="AF511" s="779"/>
      <c r="AG511" s="779"/>
      <c r="AH511" s="779"/>
      <c r="AI511" s="779"/>
      <c r="AJ511" s="779"/>
      <c r="AK511" s="779"/>
      <c r="AL511" s="779"/>
      <c r="AM511" s="779"/>
      <c r="AN511" s="779"/>
      <c r="AO511" s="779"/>
      <c r="AP511" s="779"/>
      <c r="AQ511" s="779"/>
      <c r="AR511" s="779"/>
      <c r="AS511" s="779"/>
      <c r="AT511" s="779"/>
      <c r="AU511" s="779"/>
      <c r="AV511" s="779"/>
      <c r="AW511" s="779"/>
      <c r="AX511" s="779"/>
      <c r="AY511" s="779"/>
      <c r="AZ511" s="779"/>
      <c r="BA511" s="779"/>
      <c r="BB511" s="779"/>
      <c r="BC511" s="779"/>
      <c r="BD511" s="779"/>
      <c r="BE511" s="779"/>
      <c r="BF511" s="779"/>
      <c r="BG511" s="779"/>
      <c r="BH511" s="779"/>
      <c r="BI511" s="779"/>
      <c r="BJ511" s="779"/>
      <c r="BK511" s="779"/>
      <c r="BL511" s="779"/>
      <c r="BM511" s="779"/>
      <c r="BN511" s="779"/>
      <c r="BO511" s="779"/>
      <c r="BP511" s="779"/>
      <c r="BQ511" s="779"/>
      <c r="BR511" s="779"/>
      <c r="BS511" s="779"/>
      <c r="BT511" s="779"/>
      <c r="BU511" s="779"/>
      <c r="BV511" s="779"/>
      <c r="BW511" s="779"/>
      <c r="BX511" s="779"/>
      <c r="BY511" s="779"/>
      <c r="BZ511" s="779"/>
      <c r="CA511" s="779"/>
      <c r="CB511" s="779"/>
      <c r="CC511" s="779"/>
    </row>
    <row r="512" spans="1:81">
      <c r="A512" s="779"/>
      <c r="B512" s="779"/>
      <c r="C512" s="779"/>
      <c r="D512" s="779"/>
      <c r="E512" s="779"/>
      <c r="F512" s="779"/>
      <c r="G512" s="779"/>
      <c r="H512" s="779"/>
      <c r="I512" s="779"/>
      <c r="J512" s="779"/>
      <c r="K512" s="779"/>
      <c r="L512" s="779"/>
      <c r="M512" s="779"/>
      <c r="N512" s="779"/>
      <c r="O512" s="779"/>
      <c r="P512" s="779"/>
      <c r="Q512" s="779"/>
      <c r="R512" s="779"/>
      <c r="S512" s="779"/>
      <c r="T512" s="779"/>
      <c r="U512" s="779"/>
      <c r="V512" s="779"/>
      <c r="W512" s="779"/>
      <c r="X512" s="779"/>
      <c r="Y512" s="779"/>
      <c r="Z512" s="779"/>
      <c r="AA512" s="779"/>
      <c r="AB512" s="779"/>
      <c r="AC512" s="779"/>
      <c r="AD512" s="779"/>
      <c r="AE512" s="779"/>
      <c r="AF512" s="779"/>
      <c r="AG512" s="779"/>
      <c r="AH512" s="779"/>
      <c r="AI512" s="779"/>
      <c r="AJ512" s="779"/>
      <c r="AK512" s="779"/>
      <c r="AL512" s="779"/>
      <c r="AM512" s="779"/>
      <c r="AN512" s="779"/>
      <c r="AO512" s="779"/>
      <c r="AP512" s="779"/>
      <c r="AQ512" s="779"/>
      <c r="AR512" s="779"/>
      <c r="AS512" s="779"/>
      <c r="AT512" s="779"/>
      <c r="AU512" s="779"/>
      <c r="AV512" s="779"/>
      <c r="AW512" s="779"/>
      <c r="AX512" s="779"/>
      <c r="AY512" s="779"/>
      <c r="AZ512" s="779"/>
      <c r="BA512" s="779"/>
      <c r="BB512" s="779"/>
      <c r="BC512" s="779"/>
      <c r="BD512" s="779"/>
      <c r="BE512" s="779"/>
      <c r="BF512" s="779"/>
      <c r="BG512" s="779"/>
      <c r="BH512" s="779"/>
      <c r="BI512" s="779"/>
      <c r="BJ512" s="779"/>
      <c r="BK512" s="779"/>
      <c r="BL512" s="779"/>
      <c r="BM512" s="779"/>
      <c r="BN512" s="779"/>
      <c r="BO512" s="779"/>
      <c r="BP512" s="779"/>
      <c r="BQ512" s="779"/>
      <c r="BR512" s="779"/>
      <c r="BS512" s="779"/>
      <c r="BT512" s="779"/>
      <c r="BU512" s="779"/>
      <c r="BV512" s="779"/>
      <c r="BW512" s="779"/>
      <c r="BX512" s="779"/>
      <c r="BY512" s="779"/>
      <c r="BZ512" s="779"/>
      <c r="CA512" s="779"/>
      <c r="CB512" s="779"/>
      <c r="CC512" s="779"/>
    </row>
    <row r="513" spans="1:81">
      <c r="A513" s="779"/>
      <c r="B513" s="779"/>
      <c r="C513" s="779"/>
      <c r="D513" s="779"/>
      <c r="E513" s="779"/>
      <c r="F513" s="779"/>
      <c r="G513" s="779"/>
      <c r="H513" s="779"/>
      <c r="I513" s="779"/>
      <c r="J513" s="779"/>
      <c r="K513" s="779"/>
      <c r="L513" s="779"/>
      <c r="M513" s="779"/>
      <c r="N513" s="779"/>
      <c r="O513" s="779"/>
      <c r="P513" s="779"/>
      <c r="Q513" s="779"/>
      <c r="R513" s="779"/>
      <c r="S513" s="779"/>
      <c r="T513" s="779"/>
      <c r="U513" s="779"/>
      <c r="V513" s="779"/>
      <c r="W513" s="779"/>
      <c r="X513" s="779"/>
      <c r="Y513" s="779"/>
      <c r="Z513" s="779"/>
      <c r="AA513" s="779"/>
      <c r="AB513" s="779"/>
      <c r="AC513" s="779"/>
      <c r="AD513" s="779"/>
      <c r="AE513" s="779"/>
      <c r="AF513" s="779"/>
      <c r="AG513" s="779"/>
      <c r="AH513" s="779"/>
      <c r="AI513" s="779"/>
      <c r="AJ513" s="779"/>
      <c r="AK513" s="779"/>
      <c r="AL513" s="779"/>
      <c r="AM513" s="779"/>
      <c r="AN513" s="779"/>
      <c r="AO513" s="779"/>
      <c r="AP513" s="779"/>
      <c r="AQ513" s="779"/>
      <c r="AR513" s="779"/>
      <c r="AS513" s="779"/>
      <c r="AT513" s="779"/>
      <c r="AU513" s="779"/>
      <c r="AV513" s="779"/>
      <c r="AW513" s="779"/>
      <c r="AX513" s="779"/>
      <c r="AY513" s="779"/>
      <c r="AZ513" s="779"/>
      <c r="BA513" s="779"/>
      <c r="BB513" s="779"/>
      <c r="BC513" s="779"/>
      <c r="BD513" s="779"/>
      <c r="BE513" s="779"/>
      <c r="BF513" s="779"/>
      <c r="BG513" s="779"/>
      <c r="BH513" s="779"/>
      <c r="BI513" s="779"/>
      <c r="BJ513" s="779"/>
      <c r="BK513" s="779"/>
      <c r="BL513" s="779"/>
      <c r="BM513" s="779"/>
      <c r="BN513" s="779"/>
      <c r="BO513" s="779"/>
      <c r="BP513" s="779"/>
      <c r="BQ513" s="779"/>
      <c r="BR513" s="779"/>
      <c r="BS513" s="779"/>
      <c r="BT513" s="779"/>
      <c r="BU513" s="779"/>
      <c r="BV513" s="779"/>
      <c r="BW513" s="779"/>
      <c r="BX513" s="779"/>
      <c r="BY513" s="779"/>
      <c r="BZ513" s="779"/>
      <c r="CA513" s="779"/>
      <c r="CB513" s="779"/>
      <c r="CC513" s="779"/>
    </row>
    <row r="514" spans="1:81">
      <c r="A514" s="779"/>
      <c r="B514" s="779"/>
      <c r="C514" s="779"/>
      <c r="D514" s="779"/>
      <c r="E514" s="779"/>
      <c r="F514" s="779"/>
      <c r="G514" s="779"/>
      <c r="H514" s="779"/>
      <c r="I514" s="779"/>
      <c r="J514" s="779"/>
      <c r="K514" s="779"/>
      <c r="L514" s="779"/>
      <c r="M514" s="779"/>
      <c r="N514" s="779"/>
      <c r="O514" s="779"/>
      <c r="P514" s="779"/>
      <c r="Q514" s="779"/>
      <c r="R514" s="779"/>
      <c r="S514" s="779"/>
      <c r="T514" s="779"/>
      <c r="U514" s="779"/>
      <c r="V514" s="779"/>
      <c r="W514" s="779"/>
      <c r="X514" s="779"/>
      <c r="Y514" s="779"/>
      <c r="Z514" s="779"/>
      <c r="AA514" s="779"/>
      <c r="AB514" s="779"/>
      <c r="AC514" s="779"/>
      <c r="AD514" s="779"/>
      <c r="AE514" s="779"/>
      <c r="AF514" s="779"/>
      <c r="AG514" s="779"/>
      <c r="AH514" s="779"/>
      <c r="AI514" s="779"/>
      <c r="AJ514" s="779"/>
      <c r="AK514" s="779"/>
      <c r="AL514" s="779"/>
      <c r="AM514" s="779"/>
      <c r="AN514" s="779"/>
      <c r="AO514" s="779"/>
      <c r="AP514" s="779"/>
      <c r="AQ514" s="779"/>
      <c r="AR514" s="779"/>
      <c r="AS514" s="779"/>
      <c r="AT514" s="779"/>
      <c r="AU514" s="779"/>
      <c r="AV514" s="779"/>
      <c r="AW514" s="779"/>
      <c r="AX514" s="779"/>
      <c r="AY514" s="779"/>
      <c r="AZ514" s="779"/>
      <c r="BA514" s="779"/>
      <c r="BB514" s="779"/>
      <c r="BC514" s="779"/>
      <c r="BD514" s="779"/>
      <c r="BE514" s="779"/>
      <c r="BF514" s="779"/>
      <c r="BG514" s="779"/>
      <c r="BH514" s="779"/>
      <c r="BI514" s="779"/>
      <c r="BJ514" s="779"/>
      <c r="BK514" s="779"/>
      <c r="BL514" s="779"/>
      <c r="BM514" s="779"/>
      <c r="BN514" s="779"/>
      <c r="BO514" s="779"/>
      <c r="BP514" s="779"/>
      <c r="BQ514" s="779"/>
      <c r="BR514" s="779"/>
      <c r="BS514" s="779"/>
      <c r="BT514" s="779"/>
      <c r="BU514" s="779"/>
      <c r="BV514" s="779"/>
      <c r="BW514" s="779"/>
      <c r="BX514" s="779"/>
      <c r="BY514" s="779"/>
      <c r="BZ514" s="779"/>
      <c r="CA514" s="779"/>
      <c r="CB514" s="779"/>
      <c r="CC514" s="779"/>
    </row>
    <row r="515" spans="1:81">
      <c r="A515" s="779"/>
      <c r="B515" s="779"/>
      <c r="C515" s="779"/>
      <c r="D515" s="779"/>
      <c r="E515" s="779"/>
      <c r="F515" s="779"/>
      <c r="G515" s="779"/>
      <c r="H515" s="779"/>
      <c r="I515" s="779"/>
      <c r="J515" s="779"/>
      <c r="K515" s="779"/>
      <c r="L515" s="779"/>
      <c r="M515" s="779"/>
      <c r="N515" s="779"/>
      <c r="O515" s="779"/>
      <c r="P515" s="779"/>
      <c r="Q515" s="779"/>
      <c r="R515" s="779"/>
      <c r="S515" s="779"/>
      <c r="T515" s="779"/>
      <c r="U515" s="779"/>
      <c r="V515" s="779"/>
      <c r="W515" s="779"/>
      <c r="X515" s="779"/>
      <c r="Y515" s="779"/>
      <c r="Z515" s="779"/>
      <c r="AA515" s="779"/>
      <c r="AB515" s="779"/>
      <c r="AC515" s="779"/>
      <c r="AD515" s="779"/>
      <c r="AE515" s="779"/>
      <c r="AF515" s="779"/>
      <c r="AG515" s="779"/>
      <c r="AH515" s="779"/>
      <c r="AI515" s="779"/>
      <c r="AJ515" s="779"/>
      <c r="AK515" s="779"/>
      <c r="AL515" s="779"/>
      <c r="AM515" s="779"/>
      <c r="AN515" s="779"/>
      <c r="AO515" s="779"/>
      <c r="AP515" s="779"/>
      <c r="AQ515" s="779"/>
      <c r="AR515" s="779"/>
      <c r="AS515" s="779"/>
      <c r="AT515" s="779"/>
      <c r="AU515" s="779"/>
      <c r="AV515" s="779"/>
      <c r="AW515" s="779"/>
      <c r="AX515" s="779"/>
      <c r="AY515" s="779"/>
      <c r="AZ515" s="779"/>
      <c r="BA515" s="779"/>
      <c r="BB515" s="779"/>
      <c r="BC515" s="779"/>
      <c r="BD515" s="779"/>
      <c r="BE515" s="779"/>
      <c r="BF515" s="779"/>
      <c r="BG515" s="779"/>
      <c r="BH515" s="779"/>
      <c r="BI515" s="779"/>
      <c r="BJ515" s="779"/>
      <c r="BK515" s="779"/>
      <c r="BL515" s="779"/>
      <c r="BM515" s="779"/>
      <c r="BN515" s="779"/>
      <c r="BO515" s="779"/>
      <c r="BP515" s="779"/>
      <c r="BQ515" s="779"/>
      <c r="BR515" s="779"/>
      <c r="BS515" s="779"/>
      <c r="BT515" s="779"/>
      <c r="BU515" s="779"/>
      <c r="BV515" s="779"/>
      <c r="BW515" s="779"/>
      <c r="BX515" s="779"/>
      <c r="BY515" s="779"/>
      <c r="BZ515" s="779"/>
      <c r="CA515" s="779"/>
      <c r="CB515" s="779"/>
      <c r="CC515" s="779"/>
    </row>
    <row r="516" spans="1:81">
      <c r="A516" s="779"/>
      <c r="B516" s="779"/>
      <c r="C516" s="779"/>
      <c r="D516" s="779"/>
      <c r="E516" s="779"/>
      <c r="F516" s="779"/>
      <c r="G516" s="779"/>
      <c r="H516" s="779"/>
      <c r="I516" s="779"/>
      <c r="J516" s="779"/>
      <c r="K516" s="779"/>
      <c r="L516" s="779"/>
      <c r="M516" s="779"/>
      <c r="N516" s="779"/>
      <c r="O516" s="779"/>
      <c r="P516" s="779"/>
      <c r="Q516" s="779"/>
      <c r="R516" s="779"/>
      <c r="S516" s="779"/>
      <c r="T516" s="779"/>
      <c r="U516" s="779"/>
      <c r="V516" s="779"/>
      <c r="W516" s="779"/>
      <c r="X516" s="779"/>
      <c r="Y516" s="779"/>
      <c r="Z516" s="779"/>
      <c r="AA516" s="779"/>
      <c r="AB516" s="779"/>
      <c r="AC516" s="779"/>
      <c r="AD516" s="779"/>
      <c r="AE516" s="779"/>
      <c r="AF516" s="779"/>
      <c r="AG516" s="779"/>
      <c r="AH516" s="779"/>
      <c r="AI516" s="779"/>
      <c r="AJ516" s="779"/>
      <c r="AK516" s="779"/>
      <c r="AL516" s="779"/>
      <c r="AM516" s="779"/>
      <c r="AN516" s="779"/>
      <c r="AO516" s="779"/>
      <c r="AP516" s="779"/>
      <c r="AQ516" s="779"/>
      <c r="AR516" s="779"/>
      <c r="AS516" s="779"/>
      <c r="AT516" s="779"/>
      <c r="AU516" s="779"/>
      <c r="AV516" s="779"/>
      <c r="AW516" s="779"/>
      <c r="AX516" s="779"/>
      <c r="AY516" s="779"/>
      <c r="AZ516" s="779"/>
      <c r="BA516" s="779"/>
      <c r="BB516" s="779"/>
      <c r="BC516" s="779"/>
      <c r="BD516" s="779"/>
      <c r="BE516" s="779"/>
      <c r="BF516" s="779"/>
      <c r="BG516" s="779"/>
      <c r="BH516" s="779"/>
      <c r="BI516" s="779"/>
      <c r="BJ516" s="779"/>
      <c r="BK516" s="779"/>
      <c r="BL516" s="779"/>
      <c r="BM516" s="779"/>
      <c r="BN516" s="779"/>
      <c r="BO516" s="779"/>
      <c r="BP516" s="779"/>
      <c r="BQ516" s="779"/>
      <c r="BR516" s="779"/>
      <c r="BS516" s="779"/>
      <c r="BT516" s="779"/>
      <c r="BU516" s="779"/>
      <c r="BV516" s="779"/>
      <c r="BW516" s="779"/>
      <c r="BX516" s="779"/>
      <c r="BY516" s="779"/>
      <c r="BZ516" s="779"/>
      <c r="CA516" s="779"/>
      <c r="CB516" s="779"/>
      <c r="CC516" s="779"/>
    </row>
    <row r="517" spans="1:81">
      <c r="A517" s="779"/>
      <c r="B517" s="779"/>
      <c r="C517" s="779"/>
      <c r="D517" s="779"/>
      <c r="E517" s="779"/>
      <c r="F517" s="779"/>
      <c r="G517" s="779"/>
      <c r="H517" s="779"/>
      <c r="I517" s="779"/>
      <c r="J517" s="779"/>
      <c r="K517" s="779"/>
      <c r="L517" s="779"/>
      <c r="M517" s="779"/>
      <c r="N517" s="779"/>
      <c r="O517" s="779"/>
      <c r="P517" s="779"/>
      <c r="Q517" s="779"/>
      <c r="R517" s="779"/>
      <c r="S517" s="779"/>
      <c r="T517" s="779"/>
      <c r="U517" s="779"/>
      <c r="V517" s="779"/>
      <c r="W517" s="779"/>
      <c r="X517" s="779"/>
      <c r="Y517" s="779"/>
      <c r="Z517" s="779"/>
      <c r="AA517" s="779"/>
      <c r="AB517" s="779"/>
      <c r="AC517" s="779"/>
      <c r="AD517" s="779"/>
      <c r="AE517" s="779"/>
      <c r="AF517" s="779"/>
      <c r="AG517" s="779"/>
      <c r="AH517" s="779"/>
      <c r="AI517" s="779"/>
      <c r="AJ517" s="779"/>
      <c r="AK517" s="779"/>
      <c r="AL517" s="779"/>
      <c r="AM517" s="779"/>
      <c r="AN517" s="779"/>
      <c r="AO517" s="779"/>
      <c r="AP517" s="779"/>
      <c r="AQ517" s="779"/>
      <c r="AR517" s="779"/>
      <c r="AS517" s="779"/>
      <c r="AT517" s="779"/>
      <c r="AU517" s="779"/>
      <c r="AV517" s="779"/>
      <c r="AW517" s="779"/>
      <c r="AX517" s="779"/>
      <c r="AY517" s="779"/>
      <c r="AZ517" s="779"/>
      <c r="BA517" s="779"/>
      <c r="BB517" s="779"/>
      <c r="BC517" s="779"/>
      <c r="BD517" s="779"/>
      <c r="BE517" s="779"/>
      <c r="BF517" s="779"/>
      <c r="BG517" s="779"/>
      <c r="BH517" s="779"/>
      <c r="BI517" s="779"/>
      <c r="BJ517" s="779"/>
      <c r="BK517" s="779"/>
      <c r="BL517" s="779"/>
      <c r="BM517" s="779"/>
      <c r="BN517" s="779"/>
      <c r="BO517" s="779"/>
      <c r="BP517" s="779"/>
      <c r="BQ517" s="779"/>
      <c r="BR517" s="779"/>
      <c r="BS517" s="779"/>
      <c r="BT517" s="779"/>
      <c r="BU517" s="779"/>
      <c r="BV517" s="779"/>
      <c r="BW517" s="779"/>
      <c r="BX517" s="779"/>
      <c r="BY517" s="779"/>
      <c r="BZ517" s="779"/>
      <c r="CA517" s="779"/>
      <c r="CB517" s="779"/>
      <c r="CC517" s="779"/>
    </row>
    <row r="518" spans="1:81">
      <c r="A518" s="779"/>
      <c r="B518" s="779"/>
      <c r="C518" s="779"/>
      <c r="D518" s="779"/>
      <c r="E518" s="779"/>
      <c r="F518" s="779"/>
      <c r="G518" s="779"/>
      <c r="H518" s="779"/>
      <c r="I518" s="779"/>
      <c r="J518" s="779"/>
      <c r="K518" s="779"/>
      <c r="L518" s="779"/>
      <c r="M518" s="779"/>
      <c r="N518" s="779"/>
      <c r="O518" s="779"/>
      <c r="P518" s="779"/>
      <c r="Q518" s="779"/>
      <c r="R518" s="779"/>
      <c r="S518" s="779"/>
      <c r="T518" s="779"/>
      <c r="U518" s="779"/>
      <c r="V518" s="779"/>
      <c r="W518" s="779"/>
      <c r="X518" s="779"/>
      <c r="Y518" s="779"/>
      <c r="Z518" s="779"/>
      <c r="AA518" s="779"/>
      <c r="AB518" s="779"/>
      <c r="AC518" s="779"/>
      <c r="AD518" s="779"/>
      <c r="AE518" s="779"/>
      <c r="AF518" s="779"/>
      <c r="AG518" s="779"/>
      <c r="AH518" s="779"/>
      <c r="AI518" s="779"/>
      <c r="AJ518" s="779"/>
      <c r="AK518" s="779"/>
      <c r="AL518" s="779"/>
      <c r="AM518" s="779"/>
      <c r="AN518" s="779"/>
      <c r="AO518" s="779"/>
      <c r="AP518" s="779"/>
      <c r="AQ518" s="779"/>
      <c r="AR518" s="779"/>
      <c r="AS518" s="779"/>
      <c r="AT518" s="779"/>
      <c r="AU518" s="779"/>
      <c r="AV518" s="779"/>
      <c r="AW518" s="779"/>
      <c r="AX518" s="779"/>
      <c r="AY518" s="779"/>
      <c r="AZ518" s="779"/>
      <c r="BA518" s="779"/>
      <c r="BB518" s="779"/>
      <c r="BC518" s="779"/>
      <c r="BD518" s="779"/>
      <c r="BE518" s="779"/>
      <c r="BF518" s="779"/>
      <c r="BG518" s="779"/>
      <c r="BH518" s="779"/>
      <c r="BI518" s="779"/>
      <c r="BJ518" s="779"/>
      <c r="BK518" s="779"/>
      <c r="BL518" s="779"/>
      <c r="BM518" s="779"/>
      <c r="BN518" s="779"/>
      <c r="BO518" s="779"/>
      <c r="BP518" s="779"/>
      <c r="BQ518" s="779"/>
      <c r="BR518" s="779"/>
      <c r="BS518" s="779"/>
      <c r="BT518" s="779"/>
      <c r="BU518" s="779"/>
      <c r="BV518" s="779"/>
      <c r="BW518" s="779"/>
      <c r="BX518" s="779"/>
      <c r="BY518" s="779"/>
      <c r="BZ518" s="779"/>
      <c r="CA518" s="779"/>
      <c r="CB518" s="779"/>
      <c r="CC518" s="779"/>
    </row>
    <row r="519" spans="1:81">
      <c r="A519" s="779"/>
      <c r="B519" s="779"/>
      <c r="C519" s="779"/>
      <c r="D519" s="779"/>
      <c r="E519" s="779"/>
      <c r="F519" s="779"/>
      <c r="G519" s="779"/>
      <c r="H519" s="779"/>
      <c r="I519" s="779"/>
      <c r="J519" s="779"/>
      <c r="K519" s="779"/>
      <c r="L519" s="779"/>
      <c r="M519" s="779"/>
      <c r="N519" s="779"/>
      <c r="O519" s="779"/>
      <c r="P519" s="779"/>
      <c r="Q519" s="779"/>
      <c r="R519" s="779"/>
      <c r="S519" s="779"/>
      <c r="T519" s="779"/>
      <c r="U519" s="779"/>
      <c r="V519" s="779"/>
      <c r="W519" s="779"/>
      <c r="X519" s="779"/>
      <c r="Y519" s="779"/>
      <c r="Z519" s="779"/>
      <c r="AA519" s="779"/>
      <c r="AB519" s="779"/>
      <c r="AC519" s="779"/>
      <c r="AD519" s="779"/>
      <c r="AE519" s="779"/>
      <c r="AF519" s="779"/>
      <c r="AG519" s="779"/>
      <c r="AH519" s="779"/>
      <c r="AI519" s="779"/>
      <c r="AJ519" s="779"/>
      <c r="AK519" s="779"/>
      <c r="AL519" s="779"/>
      <c r="AM519" s="779"/>
      <c r="AN519" s="779"/>
      <c r="AO519" s="779"/>
      <c r="AP519" s="779"/>
      <c r="AQ519" s="779"/>
      <c r="AR519" s="779"/>
      <c r="AS519" s="779"/>
      <c r="AT519" s="779"/>
      <c r="AU519" s="779"/>
      <c r="AV519" s="779"/>
      <c r="AW519" s="779"/>
      <c r="AX519" s="779"/>
      <c r="AY519" s="779"/>
      <c r="AZ519" s="779"/>
      <c r="BA519" s="779"/>
      <c r="BB519" s="779"/>
      <c r="BC519" s="779"/>
      <c r="BD519" s="779"/>
      <c r="BE519" s="779"/>
      <c r="BF519" s="779"/>
      <c r="BG519" s="779"/>
      <c r="BH519" s="779"/>
      <c r="BI519" s="779"/>
      <c r="BJ519" s="779"/>
      <c r="BK519" s="779"/>
      <c r="BL519" s="779"/>
      <c r="BM519" s="779"/>
      <c r="BN519" s="779"/>
      <c r="BO519" s="779"/>
      <c r="BP519" s="779"/>
      <c r="BQ519" s="779"/>
      <c r="BR519" s="779"/>
      <c r="BS519" s="779"/>
      <c r="BT519" s="779"/>
      <c r="BU519" s="779"/>
      <c r="BV519" s="779"/>
      <c r="BW519" s="779"/>
      <c r="BX519" s="779"/>
      <c r="BY519" s="779"/>
      <c r="BZ519" s="779"/>
      <c r="CA519" s="779"/>
      <c r="CB519" s="779"/>
      <c r="CC519" s="779"/>
    </row>
    <row r="520" spans="1:81">
      <c r="A520" s="779"/>
      <c r="B520" s="779"/>
      <c r="C520" s="779"/>
      <c r="D520" s="779"/>
      <c r="E520" s="779"/>
      <c r="F520" s="779"/>
      <c r="G520" s="779"/>
      <c r="H520" s="779"/>
      <c r="I520" s="779"/>
      <c r="J520" s="779"/>
      <c r="K520" s="779"/>
      <c r="L520" s="779"/>
      <c r="M520" s="779"/>
      <c r="N520" s="779"/>
      <c r="O520" s="779"/>
      <c r="P520" s="779"/>
      <c r="Q520" s="779"/>
      <c r="R520" s="779"/>
      <c r="S520" s="779"/>
      <c r="T520" s="779"/>
      <c r="U520" s="779"/>
      <c r="V520" s="779"/>
      <c r="W520" s="779"/>
      <c r="X520" s="779"/>
      <c r="Y520" s="779"/>
      <c r="Z520" s="779"/>
      <c r="AA520" s="779"/>
      <c r="AB520" s="779"/>
      <c r="AC520" s="779"/>
      <c r="AD520" s="779"/>
      <c r="AE520" s="779"/>
      <c r="AF520" s="779"/>
      <c r="AG520" s="779"/>
      <c r="AH520" s="779"/>
      <c r="AI520" s="779"/>
      <c r="AJ520" s="779"/>
      <c r="AK520" s="779"/>
      <c r="AL520" s="779"/>
      <c r="AM520" s="779"/>
      <c r="AN520" s="779"/>
      <c r="AO520" s="779"/>
      <c r="AP520" s="779"/>
      <c r="AQ520" s="779"/>
      <c r="AR520" s="779"/>
      <c r="AS520" s="779"/>
      <c r="AT520" s="779"/>
      <c r="AU520" s="779"/>
      <c r="AV520" s="779"/>
      <c r="AW520" s="779"/>
      <c r="AX520" s="779"/>
      <c r="AY520" s="779"/>
      <c r="AZ520" s="779"/>
      <c r="BA520" s="779"/>
      <c r="BB520" s="779"/>
      <c r="BC520" s="779"/>
      <c r="BD520" s="779"/>
      <c r="BE520" s="779"/>
      <c r="BF520" s="779"/>
      <c r="BG520" s="779"/>
      <c r="BH520" s="779"/>
      <c r="BI520" s="779"/>
      <c r="BJ520" s="779"/>
      <c r="BK520" s="779"/>
      <c r="BL520" s="779"/>
      <c r="BM520" s="779"/>
      <c r="BN520" s="779"/>
      <c r="BO520" s="779"/>
      <c r="BP520" s="779"/>
      <c r="BQ520" s="779"/>
      <c r="BR520" s="779"/>
      <c r="BS520" s="779"/>
      <c r="BT520" s="779"/>
      <c r="BU520" s="779"/>
      <c r="BV520" s="779"/>
      <c r="BW520" s="779"/>
      <c r="BX520" s="779"/>
      <c r="BY520" s="779"/>
      <c r="BZ520" s="779"/>
      <c r="CA520" s="779"/>
      <c r="CB520" s="779"/>
      <c r="CC520" s="779"/>
    </row>
    <row r="521" spans="1:81">
      <c r="A521" s="779"/>
      <c r="B521" s="779"/>
      <c r="C521" s="779"/>
      <c r="D521" s="779"/>
      <c r="E521" s="779"/>
      <c r="F521" s="779"/>
      <c r="G521" s="779"/>
      <c r="H521" s="779"/>
      <c r="I521" s="779"/>
      <c r="J521" s="779"/>
      <c r="K521" s="779"/>
      <c r="L521" s="779"/>
      <c r="M521" s="779"/>
      <c r="N521" s="779"/>
      <c r="O521" s="779"/>
      <c r="P521" s="779"/>
      <c r="Q521" s="779"/>
      <c r="R521" s="779"/>
      <c r="S521" s="779"/>
      <c r="T521" s="779"/>
      <c r="U521" s="779"/>
      <c r="V521" s="779"/>
      <c r="W521" s="779"/>
      <c r="X521" s="779"/>
      <c r="Y521" s="779"/>
      <c r="Z521" s="779"/>
      <c r="AA521" s="779"/>
      <c r="AB521" s="779"/>
      <c r="AC521" s="779"/>
      <c r="AD521" s="779"/>
      <c r="AE521" s="779"/>
      <c r="AF521" s="779"/>
      <c r="AG521" s="779"/>
      <c r="AH521" s="779"/>
      <c r="AI521" s="779"/>
      <c r="AJ521" s="779"/>
      <c r="AK521" s="779"/>
      <c r="AL521" s="779"/>
      <c r="AM521" s="779"/>
      <c r="AN521" s="779"/>
      <c r="AO521" s="779"/>
      <c r="AP521" s="779"/>
      <c r="AQ521" s="779"/>
      <c r="AR521" s="779"/>
      <c r="AS521" s="779"/>
      <c r="AT521" s="779"/>
      <c r="AU521" s="779"/>
      <c r="AV521" s="779"/>
      <c r="AW521" s="779"/>
      <c r="AX521" s="779"/>
      <c r="AY521" s="779"/>
      <c r="AZ521" s="779"/>
      <c r="BA521" s="779"/>
      <c r="BB521" s="779"/>
      <c r="BC521" s="779"/>
      <c r="BD521" s="779"/>
      <c r="BE521" s="779"/>
      <c r="BF521" s="779"/>
      <c r="BG521" s="779"/>
      <c r="BH521" s="779"/>
      <c r="BI521" s="779"/>
      <c r="BJ521" s="779"/>
      <c r="BK521" s="779"/>
      <c r="BL521" s="779"/>
      <c r="BM521" s="779"/>
      <c r="BN521" s="779"/>
      <c r="BO521" s="779"/>
      <c r="BP521" s="779"/>
      <c r="BQ521" s="779"/>
      <c r="BR521" s="779"/>
      <c r="BS521" s="779"/>
      <c r="BT521" s="779"/>
      <c r="BU521" s="779"/>
      <c r="BV521" s="779"/>
      <c r="BW521" s="779"/>
      <c r="BX521" s="779"/>
      <c r="BY521" s="779"/>
      <c r="BZ521" s="779"/>
      <c r="CA521" s="779"/>
      <c r="CB521" s="779"/>
      <c r="CC521" s="779"/>
    </row>
    <row r="522" spans="1:81">
      <c r="A522" s="779"/>
      <c r="B522" s="779"/>
      <c r="C522" s="779"/>
      <c r="D522" s="779"/>
      <c r="E522" s="779"/>
      <c r="F522" s="779"/>
      <c r="G522" s="779"/>
      <c r="H522" s="779"/>
      <c r="I522" s="779"/>
      <c r="J522" s="779"/>
      <c r="K522" s="779"/>
      <c r="L522" s="779"/>
      <c r="M522" s="779"/>
      <c r="N522" s="779"/>
      <c r="O522" s="779"/>
      <c r="P522" s="779"/>
      <c r="Q522" s="779"/>
      <c r="R522" s="779"/>
      <c r="S522" s="779"/>
      <c r="T522" s="779"/>
      <c r="U522" s="779"/>
      <c r="V522" s="779"/>
      <c r="W522" s="779"/>
      <c r="X522" s="779"/>
      <c r="Y522" s="779"/>
      <c r="Z522" s="779"/>
      <c r="AA522" s="779"/>
      <c r="AB522" s="779"/>
      <c r="AC522" s="779"/>
      <c r="AD522" s="779"/>
      <c r="AE522" s="779"/>
      <c r="AF522" s="779"/>
      <c r="AG522" s="779"/>
      <c r="AH522" s="779"/>
      <c r="AI522" s="779"/>
      <c r="AJ522" s="779"/>
      <c r="AK522" s="779"/>
      <c r="AL522" s="779"/>
      <c r="AM522" s="779"/>
      <c r="AN522" s="779"/>
      <c r="AO522" s="779"/>
      <c r="AP522" s="779"/>
      <c r="AQ522" s="779"/>
      <c r="AR522" s="779"/>
      <c r="AS522" s="779"/>
      <c r="AT522" s="779"/>
      <c r="AU522" s="779"/>
      <c r="AV522" s="779"/>
      <c r="AW522" s="779"/>
      <c r="AX522" s="779"/>
      <c r="AY522" s="779"/>
      <c r="AZ522" s="779"/>
      <c r="BA522" s="779"/>
      <c r="BB522" s="779"/>
      <c r="BC522" s="779"/>
      <c r="BD522" s="779"/>
      <c r="BE522" s="779"/>
      <c r="BF522" s="779"/>
      <c r="BG522" s="779"/>
      <c r="BH522" s="779"/>
      <c r="BI522" s="779"/>
      <c r="BJ522" s="779"/>
      <c r="BK522" s="779"/>
      <c r="BL522" s="779"/>
      <c r="BM522" s="779"/>
      <c r="BN522" s="779"/>
      <c r="BO522" s="779"/>
      <c r="BP522" s="779"/>
      <c r="BQ522" s="779"/>
      <c r="BR522" s="779"/>
      <c r="BS522" s="779"/>
      <c r="BT522" s="779"/>
      <c r="BU522" s="779"/>
      <c r="BV522" s="779"/>
      <c r="BW522" s="779"/>
      <c r="BX522" s="779"/>
      <c r="BY522" s="779"/>
      <c r="BZ522" s="779"/>
      <c r="CA522" s="779"/>
      <c r="CB522" s="779"/>
      <c r="CC522" s="779"/>
    </row>
    <row r="523" spans="1:81">
      <c r="A523" s="779"/>
      <c r="B523" s="779"/>
      <c r="C523" s="779"/>
      <c r="D523" s="779"/>
      <c r="E523" s="779"/>
      <c r="F523" s="779"/>
      <c r="G523" s="779"/>
      <c r="H523" s="779"/>
      <c r="I523" s="779"/>
      <c r="J523" s="779"/>
      <c r="K523" s="779"/>
      <c r="L523" s="779"/>
      <c r="M523" s="779"/>
      <c r="N523" s="779"/>
      <c r="O523" s="779"/>
      <c r="P523" s="779"/>
      <c r="Q523" s="779"/>
      <c r="R523" s="779"/>
      <c r="S523" s="779"/>
      <c r="T523" s="779"/>
      <c r="U523" s="779"/>
      <c r="V523" s="779"/>
      <c r="W523" s="779"/>
      <c r="X523" s="779"/>
      <c r="Y523" s="779"/>
      <c r="Z523" s="779"/>
      <c r="AA523" s="779"/>
      <c r="AB523" s="779"/>
      <c r="AC523" s="779"/>
      <c r="AD523" s="779"/>
      <c r="AE523" s="779"/>
      <c r="AF523" s="779"/>
      <c r="AG523" s="779"/>
      <c r="AH523" s="779"/>
      <c r="AI523" s="779"/>
      <c r="AJ523" s="779"/>
      <c r="AK523" s="779"/>
      <c r="AL523" s="779"/>
      <c r="AM523" s="779"/>
      <c r="AN523" s="779"/>
      <c r="AO523" s="779"/>
      <c r="AP523" s="779"/>
      <c r="AQ523" s="779"/>
      <c r="AR523" s="779"/>
      <c r="AS523" s="779"/>
      <c r="AT523" s="779"/>
      <c r="AU523" s="779"/>
      <c r="AV523" s="779"/>
      <c r="AW523" s="779"/>
      <c r="AX523" s="779"/>
      <c r="AY523" s="779"/>
      <c r="AZ523" s="779"/>
      <c r="BA523" s="779"/>
      <c r="BB523" s="779"/>
      <c r="BC523" s="779"/>
      <c r="BD523" s="779"/>
      <c r="BE523" s="779"/>
      <c r="BF523" s="779"/>
      <c r="BG523" s="779"/>
      <c r="BH523" s="779"/>
      <c r="BI523" s="779"/>
      <c r="BJ523" s="779"/>
      <c r="BK523" s="779"/>
      <c r="BL523" s="779"/>
      <c r="BM523" s="779"/>
      <c r="BN523" s="779"/>
      <c r="BO523" s="779"/>
      <c r="BP523" s="779"/>
      <c r="BQ523" s="779"/>
      <c r="BR523" s="779"/>
      <c r="BS523" s="779"/>
      <c r="BT523" s="779"/>
      <c r="BU523" s="779"/>
      <c r="BV523" s="779"/>
      <c r="BW523" s="779"/>
      <c r="BX523" s="779"/>
      <c r="BY523" s="779"/>
      <c r="BZ523" s="779"/>
      <c r="CA523" s="779"/>
      <c r="CB523" s="779"/>
      <c r="CC523" s="779"/>
    </row>
    <row r="524" spans="1:81">
      <c r="A524" s="779"/>
      <c r="B524" s="779"/>
      <c r="C524" s="779"/>
      <c r="D524" s="779"/>
      <c r="E524" s="779"/>
      <c r="F524" s="779"/>
      <c r="G524" s="779"/>
      <c r="H524" s="779"/>
      <c r="I524" s="779"/>
      <c r="J524" s="779"/>
      <c r="K524" s="779"/>
      <c r="L524" s="779"/>
      <c r="M524" s="779"/>
      <c r="N524" s="779"/>
      <c r="O524" s="779"/>
      <c r="P524" s="779"/>
      <c r="Q524" s="779"/>
      <c r="R524" s="779"/>
      <c r="S524" s="779"/>
      <c r="T524" s="779"/>
      <c r="U524" s="779"/>
      <c r="V524" s="779"/>
      <c r="W524" s="779"/>
      <c r="X524" s="779"/>
      <c r="Y524" s="779"/>
      <c r="Z524" s="779"/>
      <c r="AA524" s="779"/>
      <c r="AB524" s="779"/>
      <c r="AC524" s="779"/>
      <c r="AD524" s="779"/>
      <c r="AE524" s="779"/>
      <c r="AF524" s="779"/>
      <c r="AG524" s="779"/>
      <c r="AH524" s="779"/>
      <c r="AI524" s="779"/>
      <c r="AJ524" s="779"/>
      <c r="AK524" s="779"/>
      <c r="AL524" s="779"/>
      <c r="AM524" s="779"/>
      <c r="AN524" s="779"/>
      <c r="AO524" s="779"/>
      <c r="AP524" s="779"/>
      <c r="AQ524" s="779"/>
      <c r="AR524" s="779"/>
      <c r="AS524" s="779"/>
      <c r="AT524" s="779"/>
      <c r="AU524" s="779"/>
      <c r="AV524" s="779"/>
      <c r="AW524" s="779"/>
      <c r="AX524" s="779"/>
      <c r="AY524" s="779"/>
      <c r="AZ524" s="779"/>
      <c r="BA524" s="779"/>
      <c r="BB524" s="779"/>
      <c r="BC524" s="779"/>
      <c r="BD524" s="779"/>
      <c r="BE524" s="779"/>
      <c r="BF524" s="779"/>
      <c r="BG524" s="779"/>
      <c r="BH524" s="779"/>
      <c r="BI524" s="779"/>
      <c r="BJ524" s="779"/>
      <c r="BK524" s="779"/>
      <c r="BL524" s="779"/>
      <c r="BM524" s="779"/>
      <c r="BN524" s="779"/>
      <c r="BO524" s="779"/>
      <c r="BP524" s="779"/>
      <c r="BQ524" s="779"/>
      <c r="BR524" s="779"/>
      <c r="BS524" s="779"/>
      <c r="BT524" s="779"/>
      <c r="BU524" s="779"/>
      <c r="BV524" s="779"/>
      <c r="BW524" s="779"/>
      <c r="BX524" s="779"/>
      <c r="BY524" s="779"/>
      <c r="BZ524" s="779"/>
      <c r="CA524" s="779"/>
      <c r="CB524" s="779"/>
      <c r="CC524" s="779"/>
    </row>
    <row r="525" spans="1:81">
      <c r="A525" s="779"/>
      <c r="B525" s="779"/>
      <c r="C525" s="779"/>
      <c r="D525" s="779"/>
      <c r="E525" s="779"/>
      <c r="F525" s="779"/>
      <c r="G525" s="779"/>
      <c r="H525" s="779"/>
      <c r="I525" s="779"/>
      <c r="J525" s="779"/>
      <c r="K525" s="779"/>
      <c r="L525" s="779"/>
      <c r="M525" s="779"/>
      <c r="N525" s="779"/>
      <c r="O525" s="779"/>
      <c r="P525" s="779"/>
      <c r="Q525" s="779"/>
      <c r="R525" s="779"/>
      <c r="S525" s="779"/>
      <c r="T525" s="779"/>
      <c r="U525" s="779"/>
      <c r="V525" s="779"/>
      <c r="W525" s="779"/>
      <c r="X525" s="779"/>
      <c r="Y525" s="779"/>
      <c r="Z525" s="779"/>
      <c r="AA525" s="779"/>
      <c r="AB525" s="779"/>
      <c r="AC525" s="779"/>
      <c r="AD525" s="779"/>
      <c r="AE525" s="779"/>
      <c r="AF525" s="779"/>
      <c r="AG525" s="779"/>
      <c r="AH525" s="779"/>
      <c r="AI525" s="779"/>
      <c r="AJ525" s="779"/>
      <c r="AK525" s="779"/>
      <c r="AL525" s="779"/>
      <c r="AM525" s="779"/>
      <c r="AN525" s="779"/>
      <c r="AO525" s="779"/>
      <c r="AP525" s="779"/>
      <c r="AQ525" s="779"/>
      <c r="AR525" s="779"/>
      <c r="AS525" s="779"/>
      <c r="AT525" s="779"/>
      <c r="AU525" s="779"/>
      <c r="AV525" s="779"/>
      <c r="AW525" s="779"/>
      <c r="AX525" s="779"/>
      <c r="AY525" s="779"/>
      <c r="AZ525" s="779"/>
      <c r="BA525" s="779"/>
      <c r="BB525" s="779"/>
      <c r="BC525" s="779"/>
      <c r="BD525" s="779"/>
      <c r="BE525" s="779"/>
      <c r="BF525" s="779"/>
      <c r="BG525" s="779"/>
      <c r="BH525" s="779"/>
      <c r="BI525" s="779"/>
      <c r="BJ525" s="779"/>
      <c r="BK525" s="779"/>
      <c r="BL525" s="779"/>
      <c r="BM525" s="779"/>
      <c r="BN525" s="779"/>
      <c r="BO525" s="779"/>
      <c r="BP525" s="779"/>
      <c r="BQ525" s="779"/>
      <c r="BR525" s="779"/>
      <c r="BS525" s="779"/>
      <c r="BT525" s="779"/>
      <c r="BU525" s="779"/>
      <c r="BV525" s="779"/>
      <c r="BW525" s="779"/>
      <c r="BX525" s="779"/>
      <c r="BY525" s="779"/>
      <c r="BZ525" s="779"/>
      <c r="CA525" s="779"/>
      <c r="CB525" s="779"/>
      <c r="CC525" s="779"/>
    </row>
    <row r="526" spans="1:81">
      <c r="A526" s="779"/>
      <c r="B526" s="779"/>
      <c r="C526" s="779"/>
      <c r="D526" s="779"/>
      <c r="E526" s="779"/>
      <c r="F526" s="779"/>
      <c r="G526" s="779"/>
      <c r="H526" s="779"/>
      <c r="I526" s="779"/>
      <c r="J526" s="779"/>
      <c r="K526" s="779"/>
      <c r="L526" s="779"/>
      <c r="M526" s="779"/>
      <c r="N526" s="779"/>
      <c r="O526" s="779"/>
      <c r="P526" s="779"/>
      <c r="Q526" s="779"/>
      <c r="R526" s="779"/>
      <c r="S526" s="779"/>
      <c r="T526" s="779"/>
      <c r="U526" s="779"/>
      <c r="V526" s="779"/>
      <c r="W526" s="779"/>
      <c r="X526" s="779"/>
      <c r="Y526" s="779"/>
      <c r="Z526" s="779"/>
      <c r="AA526" s="779"/>
      <c r="AB526" s="779"/>
      <c r="AC526" s="779"/>
      <c r="AD526" s="779"/>
      <c r="AE526" s="779"/>
      <c r="AF526" s="779"/>
      <c r="AG526" s="779"/>
      <c r="AH526" s="779"/>
      <c r="AI526" s="779"/>
      <c r="AJ526" s="779"/>
      <c r="AK526" s="779"/>
      <c r="AL526" s="779"/>
      <c r="AM526" s="779"/>
      <c r="AN526" s="779"/>
      <c r="AO526" s="779"/>
      <c r="AP526" s="779"/>
      <c r="AQ526" s="779"/>
      <c r="AR526" s="779"/>
      <c r="AS526" s="779"/>
      <c r="AT526" s="779"/>
      <c r="AU526" s="779"/>
      <c r="AV526" s="779"/>
      <c r="AW526" s="779"/>
      <c r="AX526" s="779"/>
      <c r="AY526" s="779"/>
      <c r="AZ526" s="779"/>
      <c r="BA526" s="779"/>
      <c r="BB526" s="779"/>
      <c r="BC526" s="779"/>
      <c r="BD526" s="779"/>
      <c r="BE526" s="779"/>
      <c r="BF526" s="779"/>
      <c r="BG526" s="779"/>
      <c r="BH526" s="779"/>
      <c r="BI526" s="779"/>
      <c r="BJ526" s="779"/>
      <c r="BK526" s="779"/>
      <c r="BL526" s="779"/>
      <c r="BM526" s="779"/>
      <c r="BN526" s="779"/>
      <c r="BO526" s="779"/>
      <c r="BP526" s="779"/>
      <c r="BQ526" s="779"/>
      <c r="BR526" s="779"/>
      <c r="BS526" s="779"/>
      <c r="BT526" s="779"/>
      <c r="BU526" s="779"/>
      <c r="BV526" s="779"/>
      <c r="BW526" s="779"/>
      <c r="BX526" s="779"/>
      <c r="BY526" s="779"/>
      <c r="BZ526" s="779"/>
      <c r="CA526" s="779"/>
      <c r="CB526" s="779"/>
      <c r="CC526" s="779"/>
    </row>
    <row r="527" spans="1:81">
      <c r="A527" s="779"/>
      <c r="B527" s="779"/>
      <c r="C527" s="779"/>
      <c r="D527" s="779"/>
      <c r="E527" s="779"/>
      <c r="F527" s="779"/>
      <c r="G527" s="779"/>
      <c r="H527" s="779"/>
      <c r="I527" s="779"/>
      <c r="J527" s="779"/>
      <c r="K527" s="779"/>
      <c r="L527" s="779"/>
      <c r="M527" s="779"/>
      <c r="N527" s="779"/>
      <c r="O527" s="779"/>
      <c r="P527" s="779"/>
      <c r="Q527" s="779"/>
      <c r="R527" s="779"/>
      <c r="S527" s="779"/>
      <c r="T527" s="779"/>
      <c r="U527" s="779"/>
      <c r="V527" s="779"/>
      <c r="W527" s="779"/>
      <c r="X527" s="779"/>
      <c r="Y527" s="779"/>
      <c r="Z527" s="779"/>
      <c r="AA527" s="779"/>
      <c r="AB527" s="779"/>
      <c r="AC527" s="779"/>
      <c r="AD527" s="779"/>
      <c r="AE527" s="779"/>
      <c r="AF527" s="779"/>
      <c r="AG527" s="779"/>
      <c r="AH527" s="779"/>
      <c r="AI527" s="779"/>
      <c r="AJ527" s="779"/>
      <c r="AK527" s="779"/>
      <c r="AL527" s="779"/>
      <c r="AM527" s="779"/>
      <c r="AN527" s="779"/>
      <c r="AO527" s="779"/>
      <c r="AP527" s="779"/>
      <c r="AQ527" s="779"/>
      <c r="AR527" s="779"/>
      <c r="AS527" s="779"/>
      <c r="AT527" s="779"/>
      <c r="AU527" s="779"/>
      <c r="AV527" s="779"/>
      <c r="AW527" s="779"/>
      <c r="AX527" s="779"/>
      <c r="AY527" s="779"/>
      <c r="AZ527" s="779"/>
      <c r="BA527" s="779"/>
      <c r="BB527" s="779"/>
      <c r="BC527" s="779"/>
      <c r="BD527" s="779"/>
      <c r="BE527" s="779"/>
      <c r="BF527" s="779"/>
      <c r="BG527" s="779"/>
      <c r="BH527" s="779"/>
      <c r="BI527" s="779"/>
      <c r="BJ527" s="779"/>
      <c r="BK527" s="779"/>
      <c r="BL527" s="779"/>
      <c r="BM527" s="779"/>
      <c r="BN527" s="779"/>
      <c r="BO527" s="779"/>
      <c r="BP527" s="779"/>
      <c r="BQ527" s="779"/>
      <c r="BR527" s="779"/>
      <c r="BS527" s="779"/>
      <c r="BT527" s="779"/>
      <c r="BU527" s="779"/>
      <c r="BV527" s="779"/>
      <c r="BW527" s="779"/>
      <c r="BX527" s="779"/>
      <c r="BY527" s="779"/>
      <c r="BZ527" s="779"/>
      <c r="CA527" s="779"/>
      <c r="CB527" s="779"/>
      <c r="CC527" s="779"/>
    </row>
    <row r="528" spans="1:81">
      <c r="A528" s="779"/>
      <c r="B528" s="779"/>
      <c r="C528" s="779"/>
      <c r="D528" s="779"/>
      <c r="E528" s="779"/>
      <c r="F528" s="779"/>
      <c r="G528" s="779"/>
      <c r="H528" s="779"/>
      <c r="I528" s="779"/>
      <c r="J528" s="779"/>
      <c r="K528" s="779"/>
      <c r="L528" s="779"/>
      <c r="M528" s="779"/>
      <c r="N528" s="779"/>
      <c r="O528" s="779"/>
      <c r="P528" s="779"/>
      <c r="Q528" s="779"/>
      <c r="R528" s="779"/>
      <c r="S528" s="779"/>
      <c r="T528" s="779"/>
      <c r="U528" s="779"/>
      <c r="V528" s="779"/>
      <c r="W528" s="779"/>
      <c r="X528" s="779"/>
      <c r="Y528" s="779"/>
      <c r="Z528" s="779"/>
      <c r="AA528" s="779"/>
      <c r="AB528" s="779"/>
      <c r="AC528" s="779"/>
      <c r="AD528" s="779"/>
      <c r="AE528" s="779"/>
      <c r="AF528" s="779"/>
      <c r="AG528" s="779"/>
      <c r="AH528" s="779"/>
      <c r="AI528" s="779"/>
      <c r="AJ528" s="779"/>
      <c r="AK528" s="779"/>
      <c r="AL528" s="779"/>
      <c r="AM528" s="779"/>
      <c r="AN528" s="779"/>
      <c r="AO528" s="779"/>
      <c r="AP528" s="779"/>
      <c r="AQ528" s="779"/>
      <c r="AR528" s="779"/>
      <c r="AS528" s="779"/>
      <c r="AT528" s="779"/>
      <c r="AU528" s="779"/>
      <c r="AV528" s="779"/>
      <c r="AW528" s="779"/>
      <c r="AX528" s="779"/>
      <c r="AY528" s="779"/>
      <c r="AZ528" s="779"/>
      <c r="BA528" s="779"/>
      <c r="BB528" s="779"/>
      <c r="BC528" s="779"/>
      <c r="BD528" s="779"/>
      <c r="BE528" s="779"/>
      <c r="BF528" s="779"/>
      <c r="BG528" s="779"/>
      <c r="BH528" s="779"/>
      <c r="BI528" s="779"/>
      <c r="BJ528" s="779"/>
      <c r="BK528" s="779"/>
      <c r="BL528" s="779"/>
      <c r="BM528" s="779"/>
      <c r="BN528" s="779"/>
      <c r="BO528" s="779"/>
      <c r="BP528" s="779"/>
      <c r="BQ528" s="779"/>
      <c r="BR528" s="779"/>
      <c r="BS528" s="779"/>
      <c r="BT528" s="779"/>
      <c r="BU528" s="779"/>
      <c r="BV528" s="779"/>
      <c r="BW528" s="779"/>
      <c r="BX528" s="779"/>
      <c r="BY528" s="779"/>
      <c r="BZ528" s="779"/>
      <c r="CA528" s="779"/>
      <c r="CB528" s="779"/>
      <c r="CC528" s="779"/>
    </row>
    <row r="529" spans="1:81">
      <c r="A529" s="779"/>
      <c r="B529" s="779"/>
      <c r="C529" s="779"/>
      <c r="D529" s="779"/>
      <c r="E529" s="779"/>
      <c r="F529" s="779"/>
      <c r="G529" s="779"/>
      <c r="H529" s="779"/>
      <c r="I529" s="779"/>
      <c r="J529" s="779"/>
      <c r="K529" s="779"/>
      <c r="L529" s="779"/>
      <c r="M529" s="779"/>
      <c r="N529" s="779"/>
      <c r="O529" s="779"/>
      <c r="P529" s="779"/>
      <c r="Q529" s="779"/>
      <c r="R529" s="779"/>
      <c r="S529" s="779"/>
      <c r="T529" s="779"/>
      <c r="U529" s="779"/>
      <c r="V529" s="779"/>
      <c r="W529" s="779"/>
      <c r="X529" s="779"/>
      <c r="Y529" s="779"/>
      <c r="Z529" s="779"/>
      <c r="AA529" s="779"/>
      <c r="AB529" s="779"/>
      <c r="AC529" s="779"/>
      <c r="AD529" s="779"/>
      <c r="AE529" s="779"/>
      <c r="AF529" s="779"/>
      <c r="AG529" s="779"/>
      <c r="AH529" s="779"/>
      <c r="AI529" s="779"/>
      <c r="AJ529" s="779"/>
      <c r="AK529" s="779"/>
      <c r="AL529" s="779"/>
      <c r="AM529" s="779"/>
      <c r="AN529" s="779"/>
      <c r="AO529" s="779"/>
      <c r="AP529" s="779"/>
      <c r="AQ529" s="779"/>
      <c r="AR529" s="779"/>
      <c r="AS529" s="779"/>
      <c r="AT529" s="779"/>
      <c r="AU529" s="779"/>
      <c r="AV529" s="779"/>
      <c r="AW529" s="779"/>
      <c r="AX529" s="779"/>
      <c r="AY529" s="779"/>
      <c r="AZ529" s="779"/>
      <c r="BA529" s="779"/>
      <c r="BB529" s="779"/>
      <c r="BC529" s="779"/>
      <c r="BD529" s="779"/>
      <c r="BE529" s="779"/>
      <c r="BF529" s="779"/>
      <c r="BG529" s="779"/>
      <c r="BH529" s="779"/>
      <c r="BI529" s="779"/>
      <c r="BJ529" s="779"/>
      <c r="BK529" s="779"/>
      <c r="BL529" s="779"/>
      <c r="BM529" s="779"/>
      <c r="BN529" s="779"/>
      <c r="BO529" s="779"/>
      <c r="BP529" s="779"/>
      <c r="BQ529" s="779"/>
      <c r="BR529" s="779"/>
      <c r="BS529" s="779"/>
      <c r="BT529" s="779"/>
      <c r="BU529" s="779"/>
      <c r="BV529" s="779"/>
      <c r="BW529" s="779"/>
      <c r="BX529" s="779"/>
      <c r="BY529" s="779"/>
      <c r="BZ529" s="779"/>
      <c r="CA529" s="779"/>
      <c r="CB529" s="779"/>
      <c r="CC529" s="779"/>
    </row>
    <row r="530" spans="1:81">
      <c r="A530" s="779"/>
      <c r="B530" s="779"/>
      <c r="C530" s="779"/>
      <c r="D530" s="779"/>
      <c r="E530" s="779"/>
      <c r="F530" s="779"/>
      <c r="G530" s="779"/>
      <c r="H530" s="779"/>
      <c r="I530" s="779"/>
      <c r="J530" s="779"/>
      <c r="K530" s="779"/>
      <c r="L530" s="779"/>
      <c r="M530" s="779"/>
      <c r="N530" s="779"/>
      <c r="O530" s="779"/>
      <c r="P530" s="779"/>
      <c r="Q530" s="779"/>
      <c r="R530" s="779"/>
      <c r="S530" s="779"/>
      <c r="T530" s="779"/>
      <c r="U530" s="779"/>
      <c r="V530" s="779"/>
      <c r="W530" s="779"/>
      <c r="X530" s="779"/>
      <c r="Y530" s="779"/>
      <c r="Z530" s="779"/>
      <c r="AA530" s="779"/>
      <c r="AB530" s="779"/>
      <c r="AC530" s="779"/>
      <c r="AD530" s="779"/>
      <c r="AE530" s="779"/>
      <c r="AF530" s="779"/>
      <c r="AG530" s="779"/>
      <c r="AH530" s="779"/>
      <c r="AI530" s="779"/>
      <c r="AJ530" s="779"/>
      <c r="AK530" s="779"/>
      <c r="AL530" s="779"/>
      <c r="AM530" s="779"/>
      <c r="AN530" s="779"/>
      <c r="AO530" s="779"/>
      <c r="AP530" s="779"/>
      <c r="AQ530" s="779"/>
      <c r="AR530" s="779"/>
      <c r="AS530" s="779"/>
      <c r="AT530" s="779"/>
      <c r="AU530" s="779"/>
      <c r="AV530" s="779"/>
      <c r="AW530" s="779"/>
      <c r="AX530" s="779"/>
      <c r="AY530" s="779"/>
      <c r="AZ530" s="779"/>
      <c r="BA530" s="779"/>
      <c r="BB530" s="779"/>
      <c r="BC530" s="779"/>
      <c r="BD530" s="779"/>
      <c r="BE530" s="779"/>
      <c r="BF530" s="779"/>
      <c r="BG530" s="779"/>
      <c r="BH530" s="779"/>
      <c r="BI530" s="779"/>
      <c r="BJ530" s="779"/>
      <c r="BK530" s="779"/>
      <c r="BL530" s="779"/>
      <c r="BM530" s="779"/>
      <c r="BN530" s="779"/>
      <c r="BO530" s="779"/>
      <c r="BP530" s="779"/>
      <c r="BQ530" s="779"/>
      <c r="BR530" s="779"/>
      <c r="BS530" s="779"/>
      <c r="BT530" s="779"/>
      <c r="BU530" s="779"/>
      <c r="BV530" s="779"/>
      <c r="BW530" s="779"/>
      <c r="BX530" s="779"/>
      <c r="BY530" s="779"/>
      <c r="BZ530" s="779"/>
      <c r="CA530" s="779"/>
      <c r="CB530" s="779"/>
      <c r="CC530" s="779"/>
    </row>
    <row r="531" spans="1:81">
      <c r="A531" s="779"/>
      <c r="B531" s="779"/>
      <c r="C531" s="779"/>
      <c r="D531" s="779"/>
      <c r="E531" s="779"/>
      <c r="F531" s="779"/>
      <c r="G531" s="779"/>
      <c r="H531" s="779"/>
      <c r="I531" s="779"/>
      <c r="J531" s="779"/>
      <c r="K531" s="779"/>
      <c r="L531" s="779"/>
      <c r="M531" s="779"/>
      <c r="N531" s="779"/>
      <c r="O531" s="779"/>
      <c r="P531" s="779"/>
      <c r="Q531" s="779"/>
      <c r="R531" s="779"/>
      <c r="S531" s="779"/>
      <c r="T531" s="779"/>
      <c r="U531" s="779"/>
      <c r="V531" s="779"/>
      <c r="W531" s="779"/>
      <c r="X531" s="779"/>
      <c r="Y531" s="779"/>
      <c r="Z531" s="779"/>
      <c r="AA531" s="779"/>
      <c r="AB531" s="779"/>
      <c r="AC531" s="779"/>
      <c r="AD531" s="779"/>
      <c r="AE531" s="779"/>
      <c r="AF531" s="779"/>
      <c r="AG531" s="779"/>
      <c r="AH531" s="779"/>
      <c r="AI531" s="779"/>
      <c r="AJ531" s="779"/>
      <c r="AK531" s="779"/>
      <c r="AL531" s="779"/>
      <c r="AM531" s="779"/>
      <c r="AN531" s="779"/>
      <c r="AO531" s="779"/>
      <c r="AP531" s="779"/>
      <c r="AQ531" s="779"/>
      <c r="AR531" s="779"/>
      <c r="AS531" s="779"/>
      <c r="AT531" s="779"/>
      <c r="AU531" s="779"/>
      <c r="AV531" s="779"/>
      <c r="AW531" s="779"/>
      <c r="AX531" s="779"/>
      <c r="AY531" s="779"/>
      <c r="AZ531" s="779"/>
      <c r="BA531" s="779"/>
      <c r="BB531" s="779"/>
      <c r="BC531" s="779"/>
      <c r="BD531" s="779"/>
      <c r="BE531" s="779"/>
      <c r="BF531" s="779"/>
      <c r="BG531" s="779"/>
      <c r="BH531" s="779"/>
      <c r="BI531" s="779"/>
      <c r="BJ531" s="779"/>
      <c r="BK531" s="779"/>
      <c r="BL531" s="779"/>
      <c r="BM531" s="779"/>
      <c r="BN531" s="779"/>
      <c r="BO531" s="779"/>
      <c r="BP531" s="779"/>
      <c r="BQ531" s="779"/>
      <c r="BR531" s="779"/>
      <c r="BS531" s="779"/>
      <c r="BT531" s="779"/>
      <c r="BU531" s="779"/>
      <c r="BV531" s="779"/>
      <c r="BW531" s="779"/>
      <c r="BX531" s="779"/>
      <c r="BY531" s="779"/>
      <c r="BZ531" s="779"/>
      <c r="CA531" s="779"/>
      <c r="CB531" s="779"/>
      <c r="CC531" s="779"/>
    </row>
    <row r="532" spans="1:81">
      <c r="A532" s="779"/>
      <c r="B532" s="779"/>
      <c r="C532" s="779"/>
      <c r="D532" s="779"/>
      <c r="E532" s="779"/>
      <c r="F532" s="779"/>
      <c r="G532" s="779"/>
      <c r="H532" s="779"/>
      <c r="I532" s="779"/>
      <c r="J532" s="779"/>
      <c r="K532" s="779"/>
      <c r="L532" s="779"/>
      <c r="M532" s="779"/>
      <c r="N532" s="779"/>
      <c r="O532" s="779"/>
      <c r="P532" s="779"/>
      <c r="Q532" s="779"/>
      <c r="R532" s="779"/>
      <c r="S532" s="779"/>
      <c r="T532" s="779"/>
      <c r="U532" s="779"/>
      <c r="V532" s="779"/>
      <c r="W532" s="779"/>
      <c r="X532" s="779"/>
      <c r="Y532" s="779"/>
      <c r="Z532" s="779"/>
      <c r="AA532" s="779"/>
      <c r="AB532" s="779"/>
      <c r="AC532" s="779"/>
      <c r="AD532" s="779"/>
      <c r="AE532" s="779"/>
      <c r="AF532" s="779"/>
      <c r="AG532" s="779"/>
      <c r="AH532" s="779"/>
      <c r="AI532" s="779"/>
      <c r="AJ532" s="779"/>
      <c r="AK532" s="779"/>
      <c r="AL532" s="779"/>
      <c r="AM532" s="779"/>
      <c r="AN532" s="779"/>
      <c r="AO532" s="779"/>
      <c r="AP532" s="779"/>
      <c r="AQ532" s="779"/>
      <c r="AR532" s="779"/>
      <c r="AS532" s="779"/>
      <c r="AT532" s="779"/>
      <c r="AU532" s="779"/>
      <c r="AV532" s="779"/>
      <c r="AW532" s="779"/>
      <c r="AX532" s="779"/>
      <c r="AY532" s="779"/>
      <c r="AZ532" s="779"/>
      <c r="BA532" s="779"/>
      <c r="BB532" s="779"/>
      <c r="BC532" s="779"/>
      <c r="BD532" s="779"/>
      <c r="BE532" s="779"/>
      <c r="BF532" s="779"/>
      <c r="BG532" s="779"/>
      <c r="BH532" s="779"/>
      <c r="BI532" s="779"/>
      <c r="BJ532" s="779"/>
      <c r="BK532" s="779"/>
      <c r="BL532" s="779"/>
      <c r="BM532" s="779"/>
      <c r="BN532" s="779"/>
      <c r="BO532" s="779"/>
      <c r="BP532" s="779"/>
      <c r="BQ532" s="779"/>
      <c r="BR532" s="779"/>
      <c r="BS532" s="779"/>
      <c r="BT532" s="779"/>
      <c r="BU532" s="779"/>
      <c r="BV532" s="779"/>
      <c r="BW532" s="779"/>
      <c r="BX532" s="779"/>
      <c r="BY532" s="779"/>
      <c r="BZ532" s="779"/>
      <c r="CA532" s="779"/>
      <c r="CB532" s="779"/>
      <c r="CC532" s="779"/>
    </row>
    <row r="533" spans="1:81">
      <c r="A533" s="779"/>
      <c r="B533" s="779"/>
      <c r="C533" s="779"/>
      <c r="D533" s="779"/>
      <c r="E533" s="779"/>
      <c r="F533" s="779"/>
      <c r="G533" s="779"/>
      <c r="H533" s="779"/>
      <c r="I533" s="779"/>
      <c r="J533" s="779"/>
      <c r="K533" s="779"/>
      <c r="L533" s="779"/>
      <c r="M533" s="779"/>
      <c r="N533" s="779"/>
      <c r="O533" s="779"/>
      <c r="P533" s="779"/>
      <c r="Q533" s="779"/>
      <c r="R533" s="779"/>
      <c r="S533" s="779"/>
      <c r="T533" s="779"/>
      <c r="U533" s="779"/>
      <c r="V533" s="779"/>
      <c r="W533" s="779"/>
      <c r="X533" s="779"/>
      <c r="Y533" s="779"/>
      <c r="Z533" s="779"/>
      <c r="AA533" s="779"/>
      <c r="AB533" s="779"/>
      <c r="AC533" s="779"/>
      <c r="AD533" s="779"/>
      <c r="AE533" s="779"/>
      <c r="AF533" s="779"/>
      <c r="AG533" s="779"/>
      <c r="AH533" s="779"/>
      <c r="AI533" s="779"/>
      <c r="AJ533" s="779"/>
      <c r="AK533" s="779"/>
      <c r="AL533" s="779"/>
      <c r="AM533" s="779"/>
      <c r="AN533" s="779"/>
      <c r="AO533" s="779"/>
      <c r="AP533" s="779"/>
      <c r="AQ533" s="779"/>
      <c r="AR533" s="779"/>
      <c r="AS533" s="779"/>
      <c r="AT533" s="779"/>
      <c r="AU533" s="779"/>
      <c r="AV533" s="779"/>
      <c r="AW533" s="779"/>
      <c r="AX533" s="779"/>
      <c r="AY533" s="779"/>
      <c r="AZ533" s="779"/>
      <c r="BA533" s="779"/>
      <c r="BB533" s="779"/>
      <c r="BC533" s="779"/>
      <c r="BD533" s="779"/>
      <c r="BE533" s="779"/>
      <c r="BF533" s="779"/>
      <c r="BG533" s="779"/>
      <c r="BH533" s="779"/>
      <c r="BI533" s="779"/>
      <c r="BJ533" s="779"/>
      <c r="BK533" s="779"/>
      <c r="BL533" s="779"/>
      <c r="BM533" s="779"/>
      <c r="BN533" s="779"/>
      <c r="BO533" s="779"/>
      <c r="BP533" s="779"/>
      <c r="BQ533" s="779"/>
      <c r="BR533" s="779"/>
      <c r="BS533" s="779"/>
      <c r="BT533" s="779"/>
      <c r="BU533" s="779"/>
      <c r="BV533" s="779"/>
      <c r="BW533" s="779"/>
      <c r="BX533" s="779"/>
      <c r="BY533" s="779"/>
      <c r="BZ533" s="779"/>
      <c r="CA533" s="779"/>
      <c r="CB533" s="779"/>
      <c r="CC533" s="779"/>
    </row>
    <row r="534" spans="1:81">
      <c r="A534" s="779"/>
      <c r="B534" s="779"/>
      <c r="C534" s="779"/>
      <c r="D534" s="779"/>
      <c r="E534" s="779"/>
      <c r="F534" s="779"/>
      <c r="G534" s="779"/>
      <c r="H534" s="779"/>
      <c r="I534" s="779"/>
      <c r="J534" s="779"/>
      <c r="K534" s="779"/>
      <c r="L534" s="779"/>
      <c r="M534" s="779"/>
      <c r="N534" s="779"/>
      <c r="O534" s="779"/>
      <c r="P534" s="779"/>
      <c r="Q534" s="779"/>
      <c r="R534" s="779"/>
      <c r="S534" s="779"/>
      <c r="T534" s="779"/>
      <c r="U534" s="779"/>
      <c r="V534" s="779"/>
      <c r="W534" s="779"/>
      <c r="X534" s="779"/>
      <c r="Y534" s="779"/>
      <c r="Z534" s="779"/>
      <c r="AA534" s="779"/>
      <c r="AB534" s="779"/>
      <c r="AC534" s="779"/>
      <c r="AD534" s="779"/>
      <c r="AE534" s="779"/>
      <c r="AF534" s="779"/>
      <c r="AG534" s="779"/>
      <c r="AH534" s="779"/>
      <c r="AI534" s="779"/>
      <c r="AJ534" s="779"/>
      <c r="AK534" s="779"/>
      <c r="AL534" s="779"/>
      <c r="AM534" s="779"/>
      <c r="AN534" s="779"/>
      <c r="AO534" s="779"/>
      <c r="AP534" s="779"/>
      <c r="AQ534" s="779"/>
      <c r="AR534" s="779"/>
      <c r="AS534" s="779"/>
      <c r="AT534" s="779"/>
      <c r="AU534" s="779"/>
      <c r="AV534" s="779"/>
      <c r="AW534" s="779"/>
      <c r="AX534" s="779"/>
      <c r="AY534" s="779"/>
      <c r="AZ534" s="779"/>
      <c r="BA534" s="779"/>
      <c r="BB534" s="779"/>
      <c r="BC534" s="779"/>
      <c r="BD534" s="779"/>
      <c r="BE534" s="779"/>
      <c r="BF534" s="779"/>
      <c r="BG534" s="779"/>
      <c r="BH534" s="779"/>
      <c r="BI534" s="779"/>
      <c r="BJ534" s="779"/>
      <c r="BK534" s="779"/>
      <c r="BL534" s="779"/>
      <c r="BM534" s="779"/>
      <c r="BN534" s="779"/>
      <c r="BO534" s="779"/>
      <c r="BP534" s="779"/>
      <c r="BQ534" s="779"/>
      <c r="BR534" s="779"/>
      <c r="BS534" s="779"/>
      <c r="BT534" s="779"/>
      <c r="BU534" s="779"/>
      <c r="BV534" s="779"/>
      <c r="BW534" s="779"/>
      <c r="BX534" s="779"/>
      <c r="BY534" s="779"/>
      <c r="BZ534" s="779"/>
      <c r="CA534" s="779"/>
      <c r="CB534" s="779"/>
      <c r="CC534" s="779"/>
    </row>
    <row r="535" spans="1:81">
      <c r="A535" s="779"/>
      <c r="B535" s="779"/>
      <c r="C535" s="779"/>
      <c r="D535" s="779"/>
      <c r="E535" s="779"/>
      <c r="F535" s="779"/>
      <c r="G535" s="779"/>
      <c r="H535" s="779"/>
      <c r="I535" s="779"/>
      <c r="J535" s="779"/>
      <c r="K535" s="779"/>
      <c r="L535" s="779"/>
      <c r="M535" s="779"/>
      <c r="N535" s="779"/>
      <c r="O535" s="779"/>
      <c r="P535" s="779"/>
      <c r="Q535" s="779"/>
      <c r="R535" s="779"/>
      <c r="S535" s="779"/>
      <c r="T535" s="779"/>
      <c r="U535" s="779"/>
      <c r="V535" s="779"/>
      <c r="W535" s="779"/>
      <c r="X535" s="779"/>
      <c r="Y535" s="779"/>
      <c r="Z535" s="779"/>
      <c r="AA535" s="779"/>
      <c r="AB535" s="779"/>
      <c r="AC535" s="779"/>
      <c r="AD535" s="779"/>
      <c r="AE535" s="779"/>
      <c r="AF535" s="779"/>
      <c r="AG535" s="779"/>
      <c r="AH535" s="779"/>
      <c r="AI535" s="779"/>
      <c r="AJ535" s="779"/>
      <c r="AK535" s="779"/>
      <c r="AL535" s="779"/>
      <c r="AM535" s="779"/>
      <c r="AN535" s="779"/>
      <c r="AO535" s="779"/>
      <c r="AP535" s="779"/>
      <c r="AQ535" s="779"/>
      <c r="AR535" s="779"/>
      <c r="AS535" s="779"/>
      <c r="AT535" s="779"/>
      <c r="AU535" s="779"/>
      <c r="AV535" s="779"/>
      <c r="AW535" s="779"/>
      <c r="AX535" s="779"/>
      <c r="AY535" s="779"/>
      <c r="AZ535" s="779"/>
      <c r="BA535" s="779"/>
      <c r="BB535" s="779"/>
      <c r="BC535" s="779"/>
      <c r="BD535" s="779"/>
      <c r="BE535" s="779"/>
      <c r="BF535" s="779"/>
      <c r="BG535" s="779"/>
      <c r="BH535" s="779"/>
      <c r="BI535" s="779"/>
      <c r="BJ535" s="779"/>
      <c r="BK535" s="779"/>
      <c r="BL535" s="779"/>
      <c r="BM535" s="779"/>
      <c r="BN535" s="779"/>
      <c r="BO535" s="779"/>
      <c r="BP535" s="779"/>
      <c r="BQ535" s="779"/>
      <c r="BR535" s="779"/>
      <c r="BS535" s="779"/>
      <c r="BT535" s="779"/>
      <c r="BU535" s="779"/>
      <c r="BV535" s="779"/>
      <c r="BW535" s="779"/>
      <c r="BX535" s="779"/>
      <c r="BY535" s="779"/>
      <c r="BZ535" s="779"/>
      <c r="CA535" s="779"/>
      <c r="CB535" s="779"/>
      <c r="CC535" s="779"/>
    </row>
    <row r="536" spans="1:81">
      <c r="A536" s="779"/>
      <c r="B536" s="779"/>
      <c r="C536" s="779"/>
      <c r="D536" s="779"/>
      <c r="E536" s="779"/>
      <c r="F536" s="779"/>
      <c r="G536" s="779"/>
      <c r="H536" s="779"/>
      <c r="I536" s="779"/>
      <c r="J536" s="779"/>
      <c r="K536" s="779"/>
      <c r="L536" s="779"/>
      <c r="M536" s="779"/>
      <c r="N536" s="779"/>
      <c r="O536" s="779"/>
      <c r="P536" s="779"/>
      <c r="Q536" s="779"/>
      <c r="R536" s="779"/>
      <c r="S536" s="779"/>
      <c r="T536" s="779"/>
      <c r="U536" s="779"/>
      <c r="V536" s="779"/>
      <c r="W536" s="779"/>
      <c r="X536" s="779"/>
      <c r="Y536" s="779"/>
      <c r="Z536" s="779"/>
      <c r="AA536" s="779"/>
      <c r="AB536" s="779"/>
      <c r="AC536" s="779"/>
      <c r="AD536" s="779"/>
      <c r="AE536" s="779"/>
      <c r="AF536" s="779"/>
      <c r="AG536" s="779"/>
      <c r="AH536" s="779"/>
      <c r="AI536" s="779"/>
      <c r="AJ536" s="779"/>
      <c r="AK536" s="779"/>
      <c r="AL536" s="779"/>
      <c r="AM536" s="779"/>
      <c r="AN536" s="779"/>
      <c r="AO536" s="779"/>
      <c r="AP536" s="779"/>
      <c r="AQ536" s="779"/>
      <c r="AR536" s="779"/>
      <c r="AS536" s="779"/>
      <c r="AT536" s="779"/>
      <c r="AU536" s="779"/>
      <c r="AV536" s="779"/>
      <c r="AW536" s="779"/>
      <c r="AX536" s="779"/>
      <c r="AY536" s="779"/>
      <c r="AZ536" s="779"/>
      <c r="BA536" s="779"/>
      <c r="BB536" s="779"/>
      <c r="BC536" s="779"/>
      <c r="BD536" s="779"/>
      <c r="BE536" s="779"/>
      <c r="BF536" s="779"/>
      <c r="BG536" s="779"/>
      <c r="BH536" s="779"/>
      <c r="BI536" s="779"/>
      <c r="BJ536" s="779"/>
      <c r="BK536" s="779"/>
      <c r="BL536" s="779"/>
      <c r="BM536" s="779"/>
      <c r="BN536" s="779"/>
      <c r="BO536" s="779"/>
      <c r="BP536" s="779"/>
      <c r="BQ536" s="779"/>
      <c r="BR536" s="779"/>
      <c r="BS536" s="779"/>
      <c r="BT536" s="779"/>
      <c r="BU536" s="779"/>
      <c r="BV536" s="779"/>
      <c r="BW536" s="779"/>
      <c r="BX536" s="779"/>
      <c r="BY536" s="779"/>
      <c r="BZ536" s="779"/>
      <c r="CA536" s="779"/>
      <c r="CB536" s="779"/>
      <c r="CC536" s="779"/>
    </row>
    <row r="537" spans="1:81">
      <c r="A537" s="779"/>
      <c r="B537" s="779"/>
      <c r="C537" s="779"/>
      <c r="D537" s="779"/>
      <c r="E537" s="779"/>
      <c r="F537" s="779"/>
      <c r="G537" s="779"/>
      <c r="H537" s="779"/>
      <c r="I537" s="779"/>
      <c r="J537" s="779"/>
      <c r="K537" s="779"/>
      <c r="L537" s="779"/>
      <c r="M537" s="779"/>
      <c r="N537" s="779"/>
      <c r="O537" s="779"/>
      <c r="P537" s="779"/>
      <c r="Q537" s="779"/>
      <c r="R537" s="779"/>
      <c r="S537" s="779"/>
      <c r="T537" s="779"/>
      <c r="U537" s="779"/>
      <c r="V537" s="779"/>
      <c r="W537" s="779"/>
      <c r="X537" s="779"/>
      <c r="Y537" s="779"/>
      <c r="Z537" s="779"/>
      <c r="AA537" s="779"/>
      <c r="AB537" s="779"/>
      <c r="AC537" s="779"/>
      <c r="AD537" s="779"/>
      <c r="AE537" s="779"/>
      <c r="AF537" s="779"/>
      <c r="AG537" s="779"/>
      <c r="AH537" s="779"/>
      <c r="AI537" s="779"/>
      <c r="AJ537" s="779"/>
      <c r="AK537" s="779"/>
      <c r="AL537" s="779"/>
      <c r="AM537" s="779"/>
      <c r="AN537" s="779"/>
      <c r="AO537" s="779"/>
      <c r="AP537" s="779"/>
      <c r="AQ537" s="779"/>
      <c r="AR537" s="779"/>
      <c r="AS537" s="779"/>
      <c r="AT537" s="779"/>
      <c r="AU537" s="779"/>
      <c r="AV537" s="779"/>
      <c r="AW537" s="779"/>
      <c r="AX537" s="779"/>
      <c r="AY537" s="779"/>
      <c r="AZ537" s="779"/>
      <c r="BA537" s="779"/>
      <c r="BB537" s="779"/>
      <c r="BC537" s="779"/>
      <c r="BD537" s="779"/>
      <c r="BE537" s="779"/>
      <c r="BF537" s="779"/>
      <c r="BG537" s="779"/>
      <c r="BH537" s="779"/>
      <c r="BI537" s="779"/>
      <c r="BJ537" s="779"/>
      <c r="BK537" s="779"/>
      <c r="BL537" s="779"/>
      <c r="BM537" s="779"/>
      <c r="BN537" s="779"/>
      <c r="BO537" s="779"/>
      <c r="BP537" s="779"/>
      <c r="BQ537" s="779"/>
      <c r="BR537" s="779"/>
      <c r="BS537" s="779"/>
      <c r="BT537" s="779"/>
      <c r="BU537" s="779"/>
      <c r="BV537" s="779"/>
      <c r="BW537" s="779"/>
      <c r="BX537" s="779"/>
      <c r="BY537" s="779"/>
      <c r="BZ537" s="779"/>
      <c r="CA537" s="779"/>
      <c r="CB537" s="779"/>
      <c r="CC537" s="779"/>
    </row>
    <row r="538" spans="1:81">
      <c r="A538" s="779"/>
      <c r="B538" s="779"/>
      <c r="C538" s="779"/>
      <c r="D538" s="779"/>
      <c r="E538" s="779"/>
      <c r="F538" s="779"/>
      <c r="G538" s="779"/>
      <c r="H538" s="779"/>
      <c r="I538" s="779"/>
      <c r="J538" s="779"/>
      <c r="K538" s="779"/>
      <c r="L538" s="779"/>
      <c r="M538" s="779"/>
      <c r="N538" s="779"/>
      <c r="O538" s="779"/>
      <c r="P538" s="779"/>
      <c r="Q538" s="779"/>
      <c r="R538" s="779"/>
      <c r="S538" s="779"/>
      <c r="T538" s="779"/>
      <c r="U538" s="779"/>
      <c r="V538" s="779"/>
      <c r="W538" s="779"/>
      <c r="X538" s="779"/>
      <c r="Y538" s="779"/>
      <c r="Z538" s="779"/>
      <c r="AA538" s="779"/>
      <c r="AB538" s="779"/>
      <c r="AC538" s="779"/>
      <c r="AD538" s="779"/>
      <c r="AE538" s="779"/>
      <c r="AF538" s="779"/>
      <c r="AG538" s="779"/>
      <c r="AH538" s="779"/>
      <c r="AI538" s="779"/>
      <c r="AJ538" s="779"/>
      <c r="AK538" s="779"/>
      <c r="AL538" s="779"/>
      <c r="AM538" s="779"/>
      <c r="AN538" s="779"/>
      <c r="AO538" s="779"/>
      <c r="AP538" s="779"/>
      <c r="AQ538" s="779"/>
      <c r="AR538" s="779"/>
      <c r="AS538" s="779"/>
      <c r="AT538" s="779"/>
      <c r="AU538" s="779"/>
      <c r="AV538" s="779"/>
      <c r="AW538" s="779"/>
      <c r="AX538" s="779"/>
      <c r="AY538" s="779"/>
      <c r="AZ538" s="779"/>
      <c r="BA538" s="779"/>
      <c r="BB538" s="779"/>
      <c r="BC538" s="779"/>
      <c r="BD538" s="779"/>
      <c r="BE538" s="779"/>
      <c r="BF538" s="779"/>
      <c r="BG538" s="779"/>
      <c r="BH538" s="779"/>
      <c r="BI538" s="779"/>
      <c r="BJ538" s="779"/>
      <c r="BK538" s="779"/>
      <c r="BL538" s="779"/>
      <c r="BM538" s="779"/>
      <c r="BN538" s="779"/>
      <c r="BO538" s="779"/>
      <c r="BP538" s="779"/>
      <c r="BQ538" s="779"/>
      <c r="BR538" s="779"/>
      <c r="BS538" s="779"/>
      <c r="BT538" s="779"/>
      <c r="BU538" s="779"/>
      <c r="BV538" s="779"/>
      <c r="BW538" s="779"/>
      <c r="BX538" s="779"/>
      <c r="BY538" s="779"/>
      <c r="BZ538" s="779"/>
      <c r="CA538" s="779"/>
      <c r="CB538" s="779"/>
      <c r="CC538" s="779"/>
    </row>
    <row r="539" spans="1:81">
      <c r="A539" s="779"/>
      <c r="B539" s="779"/>
      <c r="C539" s="779"/>
      <c r="D539" s="779"/>
      <c r="E539" s="779"/>
      <c r="F539" s="779"/>
      <c r="G539" s="779"/>
      <c r="H539" s="779"/>
      <c r="I539" s="779"/>
      <c r="J539" s="779"/>
      <c r="K539" s="779"/>
      <c r="L539" s="779"/>
      <c r="M539" s="779"/>
      <c r="N539" s="779"/>
      <c r="O539" s="779"/>
      <c r="P539" s="779"/>
      <c r="Q539" s="779"/>
      <c r="R539" s="779"/>
      <c r="S539" s="779"/>
      <c r="T539" s="779"/>
      <c r="U539" s="779"/>
      <c r="V539" s="779"/>
      <c r="W539" s="779"/>
      <c r="X539" s="779"/>
      <c r="Y539" s="779"/>
      <c r="Z539" s="779"/>
      <c r="AA539" s="779"/>
      <c r="AB539" s="779"/>
      <c r="AC539" s="779"/>
      <c r="AD539" s="779"/>
      <c r="AE539" s="779"/>
      <c r="AF539" s="779"/>
      <c r="AG539" s="779"/>
      <c r="AH539" s="779"/>
      <c r="AI539" s="779"/>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row>
    <row r="540" spans="1:81">
      <c r="A540" s="779"/>
      <c r="B540" s="779"/>
      <c r="C540" s="779"/>
      <c r="D540" s="779"/>
      <c r="E540" s="779"/>
      <c r="F540" s="779"/>
      <c r="G540" s="779"/>
      <c r="H540" s="779"/>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c r="BJ540" s="779"/>
      <c r="BK540" s="779"/>
      <c r="BL540" s="779"/>
      <c r="BM540" s="779"/>
      <c r="BN540" s="779"/>
      <c r="BO540" s="779"/>
      <c r="BP540" s="779"/>
      <c r="BQ540" s="779"/>
      <c r="BR540" s="779"/>
      <c r="BS540" s="779"/>
      <c r="BT540" s="779"/>
      <c r="BU540" s="779"/>
      <c r="BV540" s="779"/>
      <c r="BW540" s="779"/>
      <c r="BX540" s="779"/>
      <c r="BY540" s="779"/>
      <c r="BZ540" s="779"/>
      <c r="CA540" s="779"/>
      <c r="CB540" s="779"/>
      <c r="CC540" s="779"/>
    </row>
    <row r="541" spans="1:81">
      <c r="A541" s="779"/>
      <c r="B541" s="779"/>
      <c r="C541" s="779"/>
      <c r="D541" s="779"/>
      <c r="E541" s="779"/>
      <c r="F541" s="779"/>
      <c r="G541" s="779"/>
      <c r="H541" s="779"/>
      <c r="I541" s="779"/>
      <c r="J541" s="779"/>
      <c r="K541" s="779"/>
      <c r="L541" s="779"/>
      <c r="M541" s="779"/>
      <c r="N541" s="779"/>
      <c r="O541" s="779"/>
      <c r="P541" s="779"/>
      <c r="Q541" s="779"/>
      <c r="R541" s="779"/>
      <c r="S541" s="779"/>
      <c r="T541" s="779"/>
      <c r="U541" s="779"/>
      <c r="V541" s="779"/>
      <c r="W541" s="779"/>
      <c r="X541" s="779"/>
      <c r="Y541" s="779"/>
      <c r="Z541" s="779"/>
      <c r="AA541" s="779"/>
      <c r="AB541" s="779"/>
      <c r="AC541" s="779"/>
      <c r="AD541" s="779"/>
      <c r="AE541" s="779"/>
      <c r="AF541" s="779"/>
      <c r="AG541" s="779"/>
      <c r="AH541" s="779"/>
      <c r="AI541" s="779"/>
      <c r="AJ541" s="779"/>
      <c r="AK541" s="779"/>
      <c r="AL541" s="779"/>
      <c r="AM541" s="779"/>
      <c r="AN541" s="779"/>
      <c r="AO541" s="779"/>
      <c r="AP541" s="779"/>
      <c r="AQ541" s="779"/>
      <c r="AR541" s="779"/>
      <c r="AS541" s="779"/>
      <c r="AT541" s="779"/>
      <c r="AU541" s="779"/>
      <c r="AV541" s="779"/>
      <c r="AW541" s="779"/>
      <c r="AX541" s="779"/>
      <c r="AY541" s="779"/>
      <c r="AZ541" s="779"/>
      <c r="BA541" s="779"/>
      <c r="BB541" s="779"/>
      <c r="BC541" s="779"/>
      <c r="BD541" s="779"/>
      <c r="BE541" s="779"/>
      <c r="BF541" s="779"/>
      <c r="BG541" s="779"/>
      <c r="BH541" s="779"/>
      <c r="BI541" s="779"/>
      <c r="BJ541" s="779"/>
      <c r="BK541" s="779"/>
      <c r="BL541" s="779"/>
      <c r="BM541" s="779"/>
      <c r="BN541" s="779"/>
      <c r="BO541" s="779"/>
      <c r="BP541" s="779"/>
      <c r="BQ541" s="779"/>
      <c r="BR541" s="779"/>
      <c r="BS541" s="779"/>
      <c r="BT541" s="779"/>
      <c r="BU541" s="779"/>
      <c r="BV541" s="779"/>
      <c r="BW541" s="779"/>
      <c r="BX541" s="779"/>
      <c r="BY541" s="779"/>
      <c r="BZ541" s="779"/>
      <c r="CA541" s="779"/>
      <c r="CB541" s="779"/>
      <c r="CC541" s="779"/>
    </row>
    <row r="542" spans="1:81">
      <c r="A542" s="779"/>
      <c r="B542" s="779"/>
      <c r="C542" s="779"/>
      <c r="D542" s="779"/>
      <c r="E542" s="779"/>
      <c r="F542" s="779"/>
      <c r="G542" s="779"/>
      <c r="H542" s="779"/>
      <c r="I542" s="779"/>
      <c r="J542" s="779"/>
      <c r="K542" s="779"/>
      <c r="L542" s="779"/>
      <c r="M542" s="779"/>
      <c r="N542" s="779"/>
      <c r="O542" s="779"/>
      <c r="P542" s="779"/>
      <c r="Q542" s="779"/>
      <c r="R542" s="779"/>
      <c r="S542" s="779"/>
      <c r="T542" s="779"/>
      <c r="U542" s="779"/>
      <c r="V542" s="779"/>
      <c r="W542" s="779"/>
      <c r="X542" s="779"/>
      <c r="Y542" s="779"/>
      <c r="Z542" s="779"/>
      <c r="AA542" s="779"/>
      <c r="AB542" s="779"/>
      <c r="AC542" s="779"/>
      <c r="AD542" s="779"/>
      <c r="AE542" s="779"/>
      <c r="AF542" s="779"/>
      <c r="AG542" s="779"/>
      <c r="AH542" s="779"/>
      <c r="AI542" s="779"/>
      <c r="AJ542" s="779"/>
      <c r="AK542" s="779"/>
      <c r="AL542" s="779"/>
      <c r="AM542" s="779"/>
      <c r="AN542" s="779"/>
      <c r="AO542" s="779"/>
      <c r="AP542" s="779"/>
      <c r="AQ542" s="779"/>
      <c r="AR542" s="779"/>
      <c r="AS542" s="779"/>
      <c r="AT542" s="779"/>
      <c r="AU542" s="779"/>
      <c r="AV542" s="779"/>
      <c r="AW542" s="779"/>
      <c r="AX542" s="779"/>
      <c r="AY542" s="779"/>
      <c r="AZ542" s="779"/>
      <c r="BA542" s="779"/>
      <c r="BB542" s="779"/>
      <c r="BC542" s="779"/>
      <c r="BD542" s="779"/>
      <c r="BE542" s="779"/>
      <c r="BF542" s="779"/>
      <c r="BG542" s="779"/>
      <c r="BH542" s="779"/>
      <c r="BI542" s="779"/>
      <c r="BJ542" s="779"/>
      <c r="BK542" s="779"/>
      <c r="BL542" s="779"/>
      <c r="BM542" s="779"/>
      <c r="BN542" s="779"/>
      <c r="BO542" s="779"/>
      <c r="BP542" s="779"/>
      <c r="BQ542" s="779"/>
      <c r="BR542" s="779"/>
      <c r="BS542" s="779"/>
      <c r="BT542" s="779"/>
      <c r="BU542" s="779"/>
      <c r="BV542" s="779"/>
      <c r="BW542" s="779"/>
      <c r="BX542" s="779"/>
      <c r="BY542" s="779"/>
      <c r="BZ542" s="779"/>
      <c r="CA542" s="779"/>
      <c r="CB542" s="779"/>
      <c r="CC542" s="779"/>
    </row>
    <row r="543" spans="1:81">
      <c r="A543" s="779"/>
      <c r="B543" s="779"/>
      <c r="C543" s="779"/>
      <c r="D543" s="779"/>
      <c r="E543" s="779"/>
      <c r="F543" s="779"/>
      <c r="G543" s="779"/>
      <c r="H543" s="779"/>
      <c r="I543" s="779"/>
      <c r="J543" s="779"/>
      <c r="K543" s="779"/>
      <c r="L543" s="779"/>
      <c r="M543" s="779"/>
      <c r="N543" s="779"/>
      <c r="O543" s="779"/>
      <c r="P543" s="779"/>
      <c r="Q543" s="779"/>
      <c r="R543" s="779"/>
      <c r="S543" s="779"/>
      <c r="T543" s="779"/>
      <c r="U543" s="779"/>
      <c r="V543" s="779"/>
      <c r="W543" s="779"/>
      <c r="X543" s="779"/>
      <c r="Y543" s="779"/>
      <c r="Z543" s="779"/>
      <c r="AA543" s="779"/>
      <c r="AB543" s="779"/>
      <c r="AC543" s="779"/>
      <c r="AD543" s="779"/>
      <c r="AE543" s="779"/>
      <c r="AF543" s="779"/>
      <c r="AG543" s="779"/>
      <c r="AH543" s="779"/>
      <c r="AI543" s="779"/>
      <c r="AJ543" s="779"/>
      <c r="AK543" s="779"/>
      <c r="AL543" s="779"/>
      <c r="AM543" s="779"/>
      <c r="AN543" s="779"/>
      <c r="AO543" s="779"/>
      <c r="AP543" s="779"/>
      <c r="AQ543" s="779"/>
      <c r="AR543" s="779"/>
      <c r="AS543" s="779"/>
      <c r="AT543" s="779"/>
      <c r="AU543" s="779"/>
      <c r="AV543" s="779"/>
      <c r="AW543" s="779"/>
      <c r="AX543" s="779"/>
      <c r="AY543" s="779"/>
      <c r="AZ543" s="779"/>
      <c r="BA543" s="779"/>
      <c r="BB543" s="779"/>
      <c r="BC543" s="779"/>
      <c r="BD543" s="779"/>
      <c r="BE543" s="779"/>
      <c r="BF543" s="779"/>
      <c r="BG543" s="779"/>
      <c r="BH543" s="779"/>
      <c r="BI543" s="779"/>
      <c r="BJ543" s="779"/>
      <c r="BK543" s="779"/>
      <c r="BL543" s="779"/>
      <c r="BM543" s="779"/>
      <c r="BN543" s="779"/>
      <c r="BO543" s="779"/>
      <c r="BP543" s="779"/>
      <c r="BQ543" s="779"/>
      <c r="BR543" s="779"/>
      <c r="BS543" s="779"/>
      <c r="BT543" s="779"/>
      <c r="BU543" s="779"/>
      <c r="BV543" s="779"/>
      <c r="BW543" s="779"/>
      <c r="BX543" s="779"/>
      <c r="BY543" s="779"/>
      <c r="BZ543" s="779"/>
      <c r="CA543" s="779"/>
      <c r="CB543" s="779"/>
      <c r="CC543" s="779"/>
    </row>
    <row r="544" spans="1:81">
      <c r="A544" s="779"/>
      <c r="B544" s="779"/>
      <c r="C544" s="779"/>
      <c r="D544" s="779"/>
      <c r="E544" s="779"/>
      <c r="F544" s="779"/>
      <c r="G544" s="779"/>
      <c r="H544" s="779"/>
      <c r="I544" s="779"/>
      <c r="J544" s="779"/>
      <c r="K544" s="779"/>
      <c r="L544" s="779"/>
      <c r="M544" s="779"/>
      <c r="N544" s="779"/>
      <c r="O544" s="779"/>
      <c r="P544" s="779"/>
      <c r="Q544" s="779"/>
      <c r="R544" s="779"/>
      <c r="S544" s="779"/>
      <c r="T544" s="779"/>
      <c r="U544" s="779"/>
      <c r="V544" s="779"/>
      <c r="W544" s="779"/>
      <c r="X544" s="779"/>
      <c r="Y544" s="779"/>
      <c r="Z544" s="779"/>
      <c r="AA544" s="779"/>
      <c r="AB544" s="779"/>
      <c r="AC544" s="779"/>
      <c r="AD544" s="779"/>
      <c r="AE544" s="779"/>
      <c r="AF544" s="779"/>
      <c r="AG544" s="779"/>
      <c r="AH544" s="779"/>
      <c r="AI544" s="779"/>
      <c r="AJ544" s="779"/>
      <c r="AK544" s="779"/>
      <c r="AL544" s="779"/>
      <c r="AM544" s="779"/>
      <c r="AN544" s="779"/>
      <c r="AO544" s="779"/>
      <c r="AP544" s="779"/>
      <c r="AQ544" s="779"/>
      <c r="AR544" s="779"/>
      <c r="AS544" s="779"/>
      <c r="AT544" s="779"/>
      <c r="AU544" s="779"/>
      <c r="AV544" s="779"/>
      <c r="AW544" s="779"/>
      <c r="AX544" s="779"/>
      <c r="AY544" s="779"/>
      <c r="AZ544" s="779"/>
      <c r="BA544" s="779"/>
      <c r="BB544" s="779"/>
      <c r="BC544" s="779"/>
      <c r="BD544" s="779"/>
      <c r="BE544" s="779"/>
      <c r="BF544" s="779"/>
      <c r="BG544" s="779"/>
      <c r="BH544" s="779"/>
      <c r="BI544" s="779"/>
      <c r="BJ544" s="779"/>
      <c r="BK544" s="779"/>
      <c r="BL544" s="779"/>
      <c r="BM544" s="779"/>
      <c r="BN544" s="779"/>
      <c r="BO544" s="779"/>
      <c r="BP544" s="779"/>
      <c r="BQ544" s="779"/>
      <c r="BR544" s="779"/>
      <c r="BS544" s="779"/>
      <c r="BT544" s="779"/>
      <c r="BU544" s="779"/>
      <c r="BV544" s="779"/>
      <c r="BW544" s="779"/>
      <c r="BX544" s="779"/>
      <c r="BY544" s="779"/>
      <c r="BZ544" s="779"/>
      <c r="CA544" s="779"/>
      <c r="CB544" s="779"/>
      <c r="CC544" s="779"/>
    </row>
    <row r="545" spans="1:81">
      <c r="A545" s="779"/>
      <c r="B545" s="779"/>
      <c r="C545" s="779"/>
      <c r="D545" s="779"/>
      <c r="E545" s="779"/>
      <c r="F545" s="779"/>
      <c r="G545" s="779"/>
      <c r="H545" s="779"/>
      <c r="I545" s="779"/>
      <c r="J545" s="779"/>
      <c r="K545" s="779"/>
      <c r="L545" s="779"/>
      <c r="M545" s="779"/>
      <c r="N545" s="779"/>
      <c r="O545" s="779"/>
      <c r="P545" s="779"/>
      <c r="Q545" s="779"/>
      <c r="R545" s="779"/>
      <c r="S545" s="779"/>
      <c r="T545" s="779"/>
      <c r="U545" s="779"/>
      <c r="V545" s="779"/>
      <c r="W545" s="779"/>
      <c r="X545" s="779"/>
      <c r="Y545" s="779"/>
      <c r="Z545" s="779"/>
      <c r="AA545" s="779"/>
      <c r="AB545" s="779"/>
      <c r="AC545" s="779"/>
      <c r="AD545" s="779"/>
      <c r="AE545" s="779"/>
      <c r="AF545" s="779"/>
      <c r="AG545" s="779"/>
      <c r="AH545" s="779"/>
      <c r="AI545" s="779"/>
      <c r="AJ545" s="779"/>
      <c r="AK545" s="779"/>
      <c r="AL545" s="779"/>
      <c r="AM545" s="779"/>
      <c r="AN545" s="779"/>
      <c r="AO545" s="779"/>
      <c r="AP545" s="779"/>
      <c r="AQ545" s="779"/>
      <c r="AR545" s="779"/>
      <c r="AS545" s="779"/>
      <c r="AT545" s="779"/>
      <c r="AU545" s="779"/>
      <c r="AV545" s="779"/>
      <c r="AW545" s="779"/>
      <c r="AX545" s="779"/>
      <c r="AY545" s="779"/>
      <c r="AZ545" s="779"/>
      <c r="BA545" s="779"/>
      <c r="BB545" s="779"/>
      <c r="BC545" s="779"/>
      <c r="BD545" s="779"/>
      <c r="BE545" s="779"/>
      <c r="BF545" s="779"/>
      <c r="BG545" s="779"/>
      <c r="BH545" s="779"/>
      <c r="BI545" s="779"/>
      <c r="BJ545" s="779"/>
      <c r="BK545" s="779"/>
      <c r="BL545" s="779"/>
      <c r="BM545" s="779"/>
      <c r="BN545" s="779"/>
      <c r="BO545" s="779"/>
      <c r="BP545" s="779"/>
      <c r="BQ545" s="779"/>
      <c r="BR545" s="779"/>
      <c r="BS545" s="779"/>
      <c r="BT545" s="779"/>
      <c r="BU545" s="779"/>
      <c r="BV545" s="779"/>
      <c r="BW545" s="779"/>
      <c r="BX545" s="779"/>
      <c r="BY545" s="779"/>
      <c r="BZ545" s="779"/>
      <c r="CA545" s="779"/>
      <c r="CB545" s="779"/>
      <c r="CC545" s="779"/>
    </row>
    <row r="546" spans="1:81">
      <c r="A546" s="779"/>
      <c r="B546" s="779"/>
      <c r="C546" s="779"/>
      <c r="D546" s="779"/>
      <c r="E546" s="779"/>
      <c r="F546" s="779"/>
      <c r="G546" s="779"/>
      <c r="H546" s="779"/>
      <c r="I546" s="779"/>
      <c r="J546" s="779"/>
      <c r="K546" s="779"/>
      <c r="L546" s="779"/>
      <c r="M546" s="779"/>
      <c r="N546" s="779"/>
      <c r="O546" s="779"/>
      <c r="P546" s="779"/>
      <c r="Q546" s="779"/>
      <c r="R546" s="779"/>
      <c r="S546" s="779"/>
      <c r="T546" s="779"/>
      <c r="U546" s="779"/>
      <c r="V546" s="779"/>
      <c r="W546" s="779"/>
      <c r="X546" s="779"/>
      <c r="Y546" s="779"/>
      <c r="Z546" s="779"/>
      <c r="AA546" s="779"/>
      <c r="AB546" s="779"/>
      <c r="AC546" s="779"/>
      <c r="AD546" s="779"/>
      <c r="AE546" s="779"/>
      <c r="AF546" s="779"/>
      <c r="AG546" s="779"/>
      <c r="AH546" s="779"/>
      <c r="AI546" s="779"/>
      <c r="AJ546" s="779"/>
      <c r="AK546" s="779"/>
      <c r="AL546" s="779"/>
      <c r="AM546" s="779"/>
      <c r="AN546" s="779"/>
      <c r="AO546" s="779"/>
      <c r="AP546" s="779"/>
      <c r="AQ546" s="779"/>
      <c r="AR546" s="779"/>
      <c r="AS546" s="779"/>
      <c r="AT546" s="779"/>
      <c r="AU546" s="779"/>
      <c r="AV546" s="779"/>
      <c r="AW546" s="779"/>
      <c r="AX546" s="779"/>
      <c r="AY546" s="779"/>
      <c r="AZ546" s="779"/>
      <c r="BA546" s="779"/>
      <c r="BB546" s="779"/>
      <c r="BC546" s="779"/>
      <c r="BD546" s="779"/>
      <c r="BE546" s="779"/>
      <c r="BF546" s="779"/>
      <c r="BG546" s="779"/>
      <c r="BH546" s="779"/>
      <c r="BI546" s="779"/>
      <c r="BJ546" s="779"/>
      <c r="BK546" s="779"/>
      <c r="BL546" s="779"/>
      <c r="BM546" s="779"/>
      <c r="BN546" s="779"/>
      <c r="BO546" s="779"/>
      <c r="BP546" s="779"/>
      <c r="BQ546" s="779"/>
      <c r="BR546" s="779"/>
      <c r="BS546" s="779"/>
      <c r="BT546" s="779"/>
      <c r="BU546" s="779"/>
      <c r="BV546" s="779"/>
      <c r="BW546" s="779"/>
      <c r="BX546" s="779"/>
      <c r="BY546" s="779"/>
      <c r="BZ546" s="779"/>
      <c r="CA546" s="779"/>
      <c r="CB546" s="779"/>
      <c r="CC546" s="779"/>
    </row>
    <row r="547" spans="1:81">
      <c r="A547" s="779"/>
      <c r="B547" s="779"/>
      <c r="C547" s="779"/>
      <c r="D547" s="779"/>
      <c r="E547" s="779"/>
      <c r="F547" s="779"/>
      <c r="G547" s="779"/>
      <c r="H547" s="779"/>
      <c r="I547" s="779"/>
      <c r="J547" s="779"/>
      <c r="K547" s="779"/>
      <c r="L547" s="779"/>
      <c r="M547" s="779"/>
      <c r="N547" s="779"/>
      <c r="O547" s="779"/>
      <c r="P547" s="779"/>
      <c r="Q547" s="779"/>
      <c r="R547" s="779"/>
      <c r="S547" s="779"/>
      <c r="T547" s="779"/>
      <c r="U547" s="779"/>
      <c r="V547" s="779"/>
      <c r="W547" s="779"/>
      <c r="X547" s="779"/>
      <c r="Y547" s="779"/>
      <c r="Z547" s="779"/>
      <c r="AA547" s="779"/>
      <c r="AB547" s="779"/>
      <c r="AC547" s="779"/>
      <c r="AD547" s="779"/>
      <c r="AE547" s="779"/>
      <c r="AF547" s="779"/>
      <c r="AG547" s="779"/>
      <c r="AH547" s="779"/>
      <c r="AI547" s="779"/>
      <c r="AJ547" s="779"/>
      <c r="AK547" s="779"/>
      <c r="AL547" s="779"/>
      <c r="AM547" s="779"/>
      <c r="AN547" s="779"/>
      <c r="AO547" s="779"/>
      <c r="AP547" s="779"/>
      <c r="AQ547" s="779"/>
      <c r="AR547" s="779"/>
      <c r="AS547" s="779"/>
      <c r="AT547" s="779"/>
      <c r="AU547" s="779"/>
      <c r="AV547" s="779"/>
      <c r="AW547" s="779"/>
      <c r="AX547" s="779"/>
      <c r="AY547" s="779"/>
      <c r="AZ547" s="779"/>
      <c r="BA547" s="779"/>
      <c r="BB547" s="779"/>
      <c r="BC547" s="779"/>
      <c r="BD547" s="779"/>
      <c r="BE547" s="779"/>
      <c r="BF547" s="779"/>
      <c r="BG547" s="779"/>
      <c r="BH547" s="779"/>
      <c r="BI547" s="779"/>
      <c r="BJ547" s="779"/>
      <c r="BK547" s="779"/>
      <c r="BL547" s="779"/>
      <c r="BM547" s="779"/>
      <c r="BN547" s="779"/>
      <c r="BO547" s="779"/>
      <c r="BP547" s="779"/>
      <c r="BQ547" s="779"/>
      <c r="BR547" s="779"/>
      <c r="BS547" s="779"/>
      <c r="BT547" s="779"/>
      <c r="BU547" s="779"/>
      <c r="BV547" s="779"/>
      <c r="BW547" s="779"/>
      <c r="BX547" s="779"/>
      <c r="BY547" s="779"/>
      <c r="BZ547" s="779"/>
      <c r="CA547" s="779"/>
      <c r="CB547" s="779"/>
      <c r="CC547" s="779"/>
    </row>
    <row r="548" spans="1:81">
      <c r="A548" s="779"/>
      <c r="B548" s="779"/>
      <c r="C548" s="779"/>
      <c r="D548" s="779"/>
      <c r="E548" s="779"/>
      <c r="F548" s="779"/>
      <c r="G548" s="779"/>
      <c r="H548" s="779"/>
      <c r="I548" s="779"/>
      <c r="J548" s="779"/>
      <c r="K548" s="779"/>
      <c r="L548" s="779"/>
      <c r="M548" s="779"/>
      <c r="N548" s="779"/>
      <c r="O548" s="779"/>
      <c r="P548" s="779"/>
      <c r="Q548" s="779"/>
      <c r="R548" s="779"/>
      <c r="S548" s="779"/>
      <c r="T548" s="779"/>
      <c r="U548" s="779"/>
      <c r="V548" s="779"/>
      <c r="W548" s="779"/>
      <c r="X548" s="779"/>
      <c r="Y548" s="779"/>
      <c r="Z548" s="779"/>
      <c r="AA548" s="779"/>
      <c r="AB548" s="779"/>
      <c r="AC548" s="779"/>
      <c r="AD548" s="779"/>
      <c r="AE548" s="779"/>
      <c r="AF548" s="779"/>
      <c r="AG548" s="779"/>
      <c r="AH548" s="779"/>
      <c r="AI548" s="779"/>
      <c r="AJ548" s="779"/>
      <c r="AK548" s="779"/>
      <c r="AL548" s="779"/>
      <c r="AM548" s="779"/>
      <c r="AN548" s="779"/>
      <c r="AO548" s="779"/>
      <c r="AP548" s="779"/>
      <c r="AQ548" s="779"/>
      <c r="AR548" s="779"/>
      <c r="AS548" s="779"/>
      <c r="AT548" s="779"/>
      <c r="AU548" s="779"/>
      <c r="AV548" s="779"/>
      <c r="AW548" s="779"/>
      <c r="AX548" s="779"/>
      <c r="AY548" s="779"/>
      <c r="AZ548" s="779"/>
      <c r="BA548" s="779"/>
      <c r="BB548" s="779"/>
      <c r="BC548" s="779"/>
      <c r="BD548" s="779"/>
      <c r="BE548" s="779"/>
      <c r="BF548" s="779"/>
      <c r="BG548" s="779"/>
      <c r="BH548" s="779"/>
      <c r="BI548" s="779"/>
      <c r="BJ548" s="779"/>
      <c r="BK548" s="779"/>
      <c r="BL548" s="779"/>
      <c r="BM548" s="779"/>
      <c r="BN548" s="779"/>
      <c r="BO548" s="779"/>
      <c r="BP548" s="779"/>
      <c r="BQ548" s="779"/>
      <c r="BR548" s="779"/>
      <c r="BS548" s="779"/>
      <c r="BT548" s="779"/>
      <c r="BU548" s="779"/>
      <c r="BV548" s="779"/>
      <c r="BW548" s="779"/>
      <c r="BX548" s="779"/>
      <c r="BY548" s="779"/>
      <c r="BZ548" s="779"/>
      <c r="CA548" s="779"/>
      <c r="CB548" s="779"/>
      <c r="CC548" s="779"/>
    </row>
    <row r="549" spans="1:81">
      <c r="A549" s="779"/>
      <c r="B549" s="779"/>
      <c r="C549" s="779"/>
      <c r="D549" s="779"/>
      <c r="E549" s="779"/>
      <c r="F549" s="779"/>
      <c r="G549" s="779"/>
      <c r="H549" s="779"/>
      <c r="I549" s="779"/>
      <c r="J549" s="779"/>
      <c r="K549" s="779"/>
      <c r="L549" s="779"/>
      <c r="M549" s="779"/>
      <c r="N549" s="779"/>
      <c r="O549" s="779"/>
      <c r="P549" s="779"/>
      <c r="Q549" s="779"/>
      <c r="R549" s="779"/>
      <c r="S549" s="779"/>
      <c r="T549" s="779"/>
      <c r="U549" s="779"/>
      <c r="V549" s="779"/>
      <c r="W549" s="779"/>
      <c r="X549" s="779"/>
      <c r="Y549" s="779"/>
      <c r="Z549" s="779"/>
      <c r="AA549" s="779"/>
      <c r="AB549" s="779"/>
      <c r="AC549" s="779"/>
      <c r="AD549" s="779"/>
      <c r="AE549" s="779"/>
      <c r="AF549" s="779"/>
      <c r="AG549" s="779"/>
      <c r="AH549" s="779"/>
      <c r="AI549" s="779"/>
      <c r="AJ549" s="779"/>
      <c r="AK549" s="779"/>
      <c r="AL549" s="779"/>
      <c r="AM549" s="779"/>
      <c r="AN549" s="779"/>
      <c r="AO549" s="779"/>
      <c r="AP549" s="779"/>
      <c r="AQ549" s="779"/>
      <c r="AR549" s="779"/>
      <c r="AS549" s="779"/>
      <c r="AT549" s="779"/>
      <c r="AU549" s="779"/>
      <c r="AV549" s="779"/>
      <c r="AW549" s="779"/>
      <c r="AX549" s="779"/>
      <c r="AY549" s="779"/>
      <c r="AZ549" s="779"/>
      <c r="BA549" s="779"/>
      <c r="BB549" s="779"/>
      <c r="BC549" s="779"/>
      <c r="BD549" s="779"/>
      <c r="BE549" s="779"/>
      <c r="BF549" s="779"/>
      <c r="BG549" s="779"/>
      <c r="BH549" s="779"/>
      <c r="BI549" s="779"/>
      <c r="BJ549" s="779"/>
      <c r="BK549" s="779"/>
      <c r="BL549" s="779"/>
      <c r="BM549" s="779"/>
      <c r="BN549" s="779"/>
      <c r="BO549" s="779"/>
      <c r="BP549" s="779"/>
      <c r="BQ549" s="779"/>
      <c r="BR549" s="779"/>
      <c r="BS549" s="779"/>
      <c r="BT549" s="779"/>
      <c r="BU549" s="779"/>
      <c r="BV549" s="779"/>
      <c r="BW549" s="779"/>
      <c r="BX549" s="779"/>
      <c r="BY549" s="779"/>
      <c r="BZ549" s="779"/>
      <c r="CA549" s="779"/>
      <c r="CB549" s="779"/>
      <c r="CC549" s="779"/>
    </row>
    <row r="550" spans="1:81">
      <c r="A550" s="779"/>
      <c r="B550" s="779"/>
      <c r="C550" s="779"/>
      <c r="D550" s="779"/>
      <c r="E550" s="779"/>
      <c r="F550" s="779"/>
      <c r="G550" s="779"/>
      <c r="H550" s="779"/>
      <c r="I550" s="779"/>
      <c r="J550" s="779"/>
      <c r="K550" s="779"/>
      <c r="L550" s="779"/>
      <c r="M550" s="779"/>
      <c r="N550" s="779"/>
      <c r="O550" s="779"/>
      <c r="P550" s="779"/>
      <c r="Q550" s="779"/>
      <c r="R550" s="779"/>
      <c r="S550" s="779"/>
      <c r="T550" s="779"/>
      <c r="U550" s="779"/>
      <c r="V550" s="779"/>
      <c r="W550" s="779"/>
      <c r="X550" s="779"/>
      <c r="Y550" s="779"/>
      <c r="Z550" s="779"/>
      <c r="AA550" s="779"/>
      <c r="AB550" s="779"/>
      <c r="AC550" s="779"/>
      <c r="AD550" s="779"/>
      <c r="AE550" s="779"/>
      <c r="AF550" s="779"/>
      <c r="AG550" s="779"/>
      <c r="AH550" s="779"/>
      <c r="AI550" s="779"/>
      <c r="AJ550" s="779"/>
      <c r="AK550" s="779"/>
      <c r="AL550" s="779"/>
      <c r="AM550" s="779"/>
      <c r="AN550" s="779"/>
      <c r="AO550" s="779"/>
      <c r="AP550" s="779"/>
      <c r="AQ550" s="779"/>
      <c r="AR550" s="779"/>
      <c r="AS550" s="779"/>
      <c r="AT550" s="779"/>
      <c r="AU550" s="779"/>
      <c r="AV550" s="779"/>
      <c r="AW550" s="779"/>
      <c r="AX550" s="779"/>
      <c r="AY550" s="779"/>
      <c r="AZ550" s="779"/>
      <c r="BA550" s="779"/>
      <c r="BB550" s="779"/>
      <c r="BC550" s="779"/>
      <c r="BD550" s="779"/>
      <c r="BE550" s="779"/>
      <c r="BF550" s="779"/>
      <c r="BG550" s="779"/>
      <c r="BH550" s="779"/>
      <c r="BI550" s="779"/>
      <c r="BJ550" s="779"/>
      <c r="BK550" s="779"/>
      <c r="BL550" s="779"/>
      <c r="BM550" s="779"/>
      <c r="BN550" s="779"/>
      <c r="BO550" s="779"/>
      <c r="BP550" s="779"/>
      <c r="BQ550" s="779"/>
      <c r="BR550" s="779"/>
      <c r="BS550" s="779"/>
      <c r="BT550" s="779"/>
      <c r="BU550" s="779"/>
      <c r="BV550" s="779"/>
      <c r="BW550" s="779"/>
      <c r="BX550" s="779"/>
      <c r="BY550" s="779"/>
      <c r="BZ550" s="779"/>
      <c r="CA550" s="779"/>
      <c r="CB550" s="779"/>
      <c r="CC550" s="779"/>
    </row>
    <row r="551" spans="1:81">
      <c r="A551" s="779"/>
      <c r="B551" s="779"/>
      <c r="C551" s="779"/>
      <c r="D551" s="779"/>
      <c r="E551" s="779"/>
      <c r="F551" s="779"/>
      <c r="G551" s="779"/>
      <c r="H551" s="779"/>
      <c r="I551" s="779"/>
      <c r="J551" s="779"/>
      <c r="K551" s="779"/>
      <c r="L551" s="779"/>
      <c r="M551" s="779"/>
      <c r="N551" s="779"/>
      <c r="O551" s="779"/>
      <c r="P551" s="779"/>
      <c r="Q551" s="779"/>
      <c r="R551" s="779"/>
      <c r="S551" s="779"/>
      <c r="T551" s="779"/>
      <c r="U551" s="779"/>
      <c r="V551" s="779"/>
      <c r="W551" s="779"/>
      <c r="X551" s="779"/>
      <c r="Y551" s="779"/>
      <c r="Z551" s="779"/>
      <c r="AA551" s="779"/>
      <c r="AB551" s="779"/>
      <c r="AC551" s="779"/>
      <c r="AD551" s="779"/>
      <c r="AE551" s="779"/>
      <c r="AF551" s="779"/>
      <c r="AG551" s="779"/>
      <c r="AH551" s="779"/>
      <c r="AI551" s="779"/>
      <c r="AJ551" s="779"/>
      <c r="AK551" s="779"/>
      <c r="AL551" s="779"/>
      <c r="AM551" s="779"/>
      <c r="AN551" s="779"/>
      <c r="AO551" s="779"/>
      <c r="AP551" s="779"/>
      <c r="AQ551" s="779"/>
      <c r="AR551" s="779"/>
      <c r="AS551" s="779"/>
      <c r="AT551" s="779"/>
      <c r="AU551" s="779"/>
      <c r="AV551" s="779"/>
      <c r="AW551" s="779"/>
      <c r="AX551" s="779"/>
      <c r="AY551" s="779"/>
      <c r="AZ551" s="779"/>
      <c r="BA551" s="779"/>
      <c r="BB551" s="779"/>
      <c r="BC551" s="779"/>
      <c r="BD551" s="779"/>
      <c r="BE551" s="779"/>
      <c r="BF551" s="779"/>
      <c r="BG551" s="779"/>
      <c r="BH551" s="779"/>
      <c r="BI551" s="779"/>
      <c r="BJ551" s="779"/>
      <c r="BK551" s="779"/>
      <c r="BL551" s="779"/>
      <c r="BM551" s="779"/>
      <c r="BN551" s="779"/>
      <c r="BO551" s="779"/>
      <c r="BP551" s="779"/>
      <c r="BQ551" s="779"/>
      <c r="BR551" s="779"/>
      <c r="BS551" s="779"/>
      <c r="BT551" s="779"/>
      <c r="BU551" s="779"/>
      <c r="BV551" s="779"/>
      <c r="BW551" s="779"/>
      <c r="BX551" s="779"/>
      <c r="BY551" s="779"/>
      <c r="BZ551" s="779"/>
      <c r="CA551" s="779"/>
      <c r="CB551" s="779"/>
      <c r="CC551" s="779"/>
    </row>
    <row r="552" spans="1:81">
      <c r="A552" s="779"/>
      <c r="B552" s="779"/>
      <c r="C552" s="779"/>
      <c r="D552" s="779"/>
      <c r="E552" s="779"/>
      <c r="F552" s="779"/>
      <c r="G552" s="779"/>
      <c r="H552" s="779"/>
      <c r="I552" s="779"/>
      <c r="J552" s="779"/>
      <c r="K552" s="779"/>
      <c r="L552" s="779"/>
      <c r="M552" s="779"/>
      <c r="N552" s="779"/>
      <c r="O552" s="779"/>
      <c r="P552" s="779"/>
      <c r="Q552" s="779"/>
      <c r="R552" s="779"/>
      <c r="S552" s="779"/>
      <c r="T552" s="779"/>
      <c r="U552" s="779"/>
      <c r="V552" s="779"/>
      <c r="W552" s="779"/>
      <c r="X552" s="779"/>
      <c r="Y552" s="779"/>
      <c r="Z552" s="779"/>
      <c r="AA552" s="779"/>
      <c r="AB552" s="779"/>
      <c r="AC552" s="779"/>
      <c r="AD552" s="779"/>
      <c r="AE552" s="779"/>
      <c r="AF552" s="779"/>
      <c r="AG552" s="779"/>
      <c r="AH552" s="779"/>
      <c r="AI552" s="779"/>
      <c r="AJ552" s="779"/>
      <c r="AK552" s="779"/>
      <c r="AL552" s="779"/>
      <c r="AM552" s="779"/>
      <c r="AN552" s="779"/>
      <c r="AO552" s="779"/>
      <c r="AP552" s="779"/>
      <c r="AQ552" s="779"/>
      <c r="AR552" s="779"/>
      <c r="AS552" s="779"/>
      <c r="AT552" s="779"/>
      <c r="AU552" s="779"/>
      <c r="AV552" s="779"/>
      <c r="AW552" s="779"/>
      <c r="AX552" s="779"/>
      <c r="AY552" s="779"/>
      <c r="AZ552" s="779"/>
      <c r="BA552" s="779"/>
      <c r="BB552" s="779"/>
      <c r="BC552" s="779"/>
      <c r="BD552" s="779"/>
      <c r="BE552" s="779"/>
      <c r="BF552" s="779"/>
      <c r="BG552" s="779"/>
      <c r="BH552" s="779"/>
      <c r="BI552" s="779"/>
      <c r="BJ552" s="779"/>
      <c r="BK552" s="779"/>
      <c r="BL552" s="779"/>
      <c r="BM552" s="779"/>
      <c r="BN552" s="779"/>
      <c r="BO552" s="779"/>
      <c r="BP552" s="779"/>
      <c r="BQ552" s="779"/>
      <c r="BR552" s="779"/>
      <c r="BS552" s="779"/>
      <c r="BT552" s="779"/>
      <c r="BU552" s="779"/>
      <c r="BV552" s="779"/>
      <c r="BW552" s="779"/>
      <c r="BX552" s="779"/>
      <c r="BY552" s="779"/>
      <c r="BZ552" s="779"/>
      <c r="CA552" s="779"/>
      <c r="CB552" s="779"/>
      <c r="CC552" s="779"/>
    </row>
    <row r="553" spans="1:81">
      <c r="A553" s="779"/>
      <c r="B553" s="779"/>
      <c r="C553" s="779"/>
      <c r="D553" s="779"/>
      <c r="E553" s="779"/>
      <c r="F553" s="779"/>
      <c r="G553" s="779"/>
      <c r="H553" s="779"/>
      <c r="I553" s="779"/>
      <c r="J553" s="779"/>
      <c r="K553" s="779"/>
      <c r="L553" s="779"/>
      <c r="M553" s="779"/>
      <c r="N553" s="779"/>
      <c r="O553" s="779"/>
      <c r="P553" s="779"/>
      <c r="Q553" s="779"/>
      <c r="R553" s="779"/>
      <c r="S553" s="779"/>
      <c r="T553" s="779"/>
      <c r="U553" s="779"/>
      <c r="V553" s="779"/>
      <c r="W553" s="779"/>
      <c r="X553" s="779"/>
      <c r="Y553" s="779"/>
      <c r="Z553" s="779"/>
      <c r="AA553" s="779"/>
      <c r="AB553" s="779"/>
      <c r="AC553" s="779"/>
      <c r="AD553" s="779"/>
      <c r="AE553" s="779"/>
      <c r="AF553" s="779"/>
      <c r="AG553" s="779"/>
      <c r="AH553" s="779"/>
      <c r="AI553" s="779"/>
      <c r="AJ553" s="779"/>
      <c r="AK553" s="779"/>
      <c r="AL553" s="779"/>
      <c r="AM553" s="779"/>
      <c r="AN553" s="779"/>
      <c r="AO553" s="779"/>
      <c r="AP553" s="779"/>
      <c r="AQ553" s="779"/>
      <c r="AR553" s="779"/>
      <c r="AS553" s="779"/>
      <c r="AT553" s="779"/>
      <c r="AU553" s="779"/>
      <c r="AV553" s="779"/>
      <c r="AW553" s="779"/>
      <c r="AX553" s="779"/>
      <c r="AY553" s="779"/>
      <c r="AZ553" s="779"/>
      <c r="BA553" s="779"/>
      <c r="BB553" s="779"/>
      <c r="BC553" s="779"/>
      <c r="BD553" s="779"/>
      <c r="BE553" s="779"/>
      <c r="BF553" s="779"/>
      <c r="BG553" s="779"/>
      <c r="BH553" s="779"/>
      <c r="BI553" s="779"/>
      <c r="BJ553" s="779"/>
      <c r="BK553" s="779"/>
      <c r="BL553" s="779"/>
      <c r="BM553" s="779"/>
      <c r="BN553" s="779"/>
      <c r="BO553" s="779"/>
      <c r="BP553" s="779"/>
      <c r="BQ553" s="779"/>
      <c r="BR553" s="779"/>
      <c r="BS553" s="779"/>
      <c r="BT553" s="779"/>
      <c r="BU553" s="779"/>
      <c r="BV553" s="779"/>
      <c r="BW553" s="779"/>
      <c r="BX553" s="779"/>
      <c r="BY553" s="779"/>
      <c r="BZ553" s="779"/>
      <c r="CA553" s="779"/>
      <c r="CB553" s="779"/>
      <c r="CC553" s="779"/>
    </row>
    <row r="554" spans="1:81">
      <c r="A554" s="779"/>
      <c r="B554" s="779"/>
      <c r="C554" s="779"/>
      <c r="D554" s="779"/>
      <c r="E554" s="779"/>
      <c r="F554" s="779"/>
      <c r="G554" s="779"/>
      <c r="H554" s="779"/>
      <c r="I554" s="779"/>
      <c r="J554" s="779"/>
      <c r="K554" s="779"/>
      <c r="L554" s="779"/>
      <c r="M554" s="779"/>
      <c r="N554" s="779"/>
      <c r="O554" s="779"/>
      <c r="P554" s="779"/>
      <c r="Q554" s="779"/>
      <c r="R554" s="779"/>
      <c r="S554" s="779"/>
      <c r="T554" s="779"/>
      <c r="U554" s="779"/>
      <c r="V554" s="779"/>
      <c r="W554" s="779"/>
      <c r="X554" s="779"/>
      <c r="Y554" s="779"/>
      <c r="Z554" s="779"/>
      <c r="AA554" s="779"/>
      <c r="AB554" s="779"/>
      <c r="AC554" s="779"/>
      <c r="AD554" s="779"/>
      <c r="AE554" s="779"/>
      <c r="AF554" s="779"/>
      <c r="AG554" s="779"/>
      <c r="AH554" s="779"/>
      <c r="AI554" s="779"/>
      <c r="AJ554" s="779"/>
      <c r="AK554" s="779"/>
      <c r="AL554" s="779"/>
      <c r="AM554" s="779"/>
      <c r="AN554" s="779"/>
      <c r="AO554" s="779"/>
      <c r="AP554" s="779"/>
      <c r="AQ554" s="779"/>
      <c r="AR554" s="779"/>
      <c r="AS554" s="779"/>
      <c r="AT554" s="779"/>
      <c r="AU554" s="779"/>
      <c r="AV554" s="779"/>
      <c r="AW554" s="779"/>
      <c r="AX554" s="779"/>
      <c r="AY554" s="779"/>
      <c r="AZ554" s="779"/>
      <c r="BA554" s="779"/>
      <c r="BB554" s="779"/>
      <c r="BC554" s="779"/>
      <c r="BD554" s="779"/>
      <c r="BE554" s="779"/>
      <c r="BF554" s="779"/>
      <c r="BG554" s="779"/>
      <c r="BH554" s="779"/>
      <c r="BI554" s="779"/>
      <c r="BJ554" s="779"/>
      <c r="BK554" s="779"/>
      <c r="BL554" s="779"/>
      <c r="BM554" s="779"/>
      <c r="BN554" s="779"/>
      <c r="BO554" s="779"/>
      <c r="BP554" s="779"/>
      <c r="BQ554" s="779"/>
      <c r="BR554" s="779"/>
      <c r="BS554" s="779"/>
      <c r="BT554" s="779"/>
      <c r="BU554" s="779"/>
      <c r="BV554" s="779"/>
      <c r="BW554" s="779"/>
      <c r="BX554" s="779"/>
      <c r="BY554" s="779"/>
      <c r="BZ554" s="779"/>
      <c r="CA554" s="779"/>
      <c r="CB554" s="779"/>
      <c r="CC554" s="779"/>
    </row>
    <row r="555" spans="1:81">
      <c r="A555" s="779"/>
      <c r="B555" s="779"/>
      <c r="C555" s="779"/>
      <c r="D555" s="779"/>
      <c r="E555" s="779"/>
      <c r="F555" s="779"/>
      <c r="G555" s="779"/>
      <c r="H555" s="779"/>
      <c r="I555" s="779"/>
      <c r="J555" s="779"/>
      <c r="K555" s="779"/>
      <c r="L555" s="779"/>
      <c r="M555" s="779"/>
      <c r="N555" s="779"/>
      <c r="O555" s="779"/>
      <c r="P555" s="779"/>
      <c r="Q555" s="779"/>
      <c r="R555" s="779"/>
      <c r="S555" s="779"/>
      <c r="T555" s="779"/>
      <c r="U555" s="779"/>
      <c r="V555" s="779"/>
      <c r="W555" s="779"/>
      <c r="X555" s="779"/>
      <c r="Y555" s="779"/>
      <c r="Z555" s="779"/>
      <c r="AA555" s="779"/>
      <c r="AB555" s="779"/>
      <c r="AC555" s="779"/>
      <c r="AD555" s="779"/>
      <c r="AE555" s="779"/>
      <c r="AF555" s="779"/>
      <c r="AG555" s="779"/>
      <c r="AH555" s="779"/>
      <c r="AI555" s="779"/>
      <c r="AJ555" s="779"/>
      <c r="AK555" s="779"/>
      <c r="AL555" s="779"/>
      <c r="AM555" s="779"/>
      <c r="AN555" s="779"/>
      <c r="AO555" s="779"/>
      <c r="AP555" s="779"/>
      <c r="AQ555" s="779"/>
      <c r="AR555" s="779"/>
      <c r="AS555" s="779"/>
      <c r="AT555" s="779"/>
      <c r="AU555" s="779"/>
      <c r="AV555" s="779"/>
      <c r="AW555" s="779"/>
      <c r="AX555" s="779"/>
      <c r="AY555" s="779"/>
      <c r="AZ555" s="779"/>
      <c r="BA555" s="779"/>
      <c r="BB555" s="779"/>
      <c r="BC555" s="779"/>
      <c r="BD555" s="779"/>
      <c r="BE555" s="779"/>
      <c r="BF555" s="779"/>
      <c r="BG555" s="779"/>
      <c r="BH555" s="779"/>
      <c r="BI555" s="779"/>
      <c r="BJ555" s="779"/>
      <c r="BK555" s="779"/>
      <c r="BL555" s="779"/>
      <c r="BM555" s="779"/>
      <c r="BN555" s="779"/>
      <c r="BO555" s="779"/>
      <c r="BP555" s="779"/>
      <c r="BQ555" s="779"/>
      <c r="BR555" s="779"/>
      <c r="BS555" s="779"/>
      <c r="BT555" s="779"/>
      <c r="BU555" s="779"/>
      <c r="BV555" s="779"/>
      <c r="BW555" s="779"/>
      <c r="BX555" s="779"/>
      <c r="BY555" s="779"/>
      <c r="BZ555" s="779"/>
      <c r="CA555" s="779"/>
      <c r="CB555" s="779"/>
      <c r="CC555" s="779"/>
    </row>
    <row r="556" spans="1:81">
      <c r="A556" s="779"/>
      <c r="B556" s="779"/>
      <c r="C556" s="779"/>
      <c r="D556" s="779"/>
      <c r="E556" s="779"/>
      <c r="F556" s="779"/>
      <c r="G556" s="779"/>
      <c r="H556" s="779"/>
      <c r="I556" s="779"/>
      <c r="J556" s="779"/>
      <c r="K556" s="779"/>
      <c r="L556" s="779"/>
      <c r="M556" s="779"/>
      <c r="N556" s="779"/>
      <c r="O556" s="779"/>
      <c r="P556" s="779"/>
      <c r="Q556" s="779"/>
      <c r="R556" s="779"/>
      <c r="S556" s="779"/>
      <c r="T556" s="779"/>
      <c r="U556" s="779"/>
      <c r="V556" s="779"/>
      <c r="W556" s="779"/>
      <c r="X556" s="779"/>
      <c r="Y556" s="779"/>
      <c r="Z556" s="779"/>
      <c r="AA556" s="779"/>
      <c r="AB556" s="779"/>
      <c r="AC556" s="779"/>
      <c r="AD556" s="779"/>
      <c r="AE556" s="779"/>
      <c r="AF556" s="779"/>
      <c r="AG556" s="779"/>
      <c r="AH556" s="779"/>
      <c r="AI556" s="779"/>
      <c r="AJ556" s="779"/>
      <c r="AK556" s="779"/>
      <c r="AL556" s="779"/>
      <c r="AM556" s="779"/>
      <c r="AN556" s="779"/>
      <c r="AO556" s="779"/>
      <c r="AP556" s="779"/>
      <c r="AQ556" s="779"/>
      <c r="AR556" s="779"/>
      <c r="AS556" s="779"/>
      <c r="AT556" s="779"/>
      <c r="AU556" s="779"/>
      <c r="AV556" s="779"/>
      <c r="AW556" s="779"/>
      <c r="AX556" s="779"/>
      <c r="AY556" s="779"/>
      <c r="AZ556" s="779"/>
      <c r="BA556" s="779"/>
      <c r="BB556" s="779"/>
      <c r="BC556" s="779"/>
      <c r="BD556" s="779"/>
      <c r="BE556" s="779"/>
      <c r="BF556" s="779"/>
      <c r="BG556" s="779"/>
      <c r="BH556" s="779"/>
      <c r="BI556" s="779"/>
      <c r="BJ556" s="779"/>
      <c r="BK556" s="779"/>
      <c r="BL556" s="779"/>
      <c r="BM556" s="779"/>
      <c r="BN556" s="779"/>
      <c r="BO556" s="779"/>
      <c r="BP556" s="779"/>
      <c r="BQ556" s="779"/>
      <c r="BR556" s="779"/>
      <c r="BS556" s="779"/>
      <c r="BT556" s="779"/>
      <c r="BU556" s="779"/>
      <c r="BV556" s="779"/>
      <c r="BW556" s="779"/>
      <c r="BX556" s="779"/>
      <c r="BY556" s="779"/>
      <c r="BZ556" s="779"/>
      <c r="CA556" s="779"/>
      <c r="CB556" s="779"/>
      <c r="CC556" s="779"/>
    </row>
    <row r="557" spans="1:81">
      <c r="A557" s="779"/>
      <c r="B557" s="779"/>
      <c r="C557" s="779"/>
      <c r="D557" s="779"/>
      <c r="E557" s="779"/>
      <c r="F557" s="779"/>
      <c r="G557" s="779"/>
      <c r="H557" s="779"/>
      <c r="I557" s="779"/>
      <c r="J557" s="779"/>
      <c r="K557" s="779"/>
      <c r="L557" s="779"/>
      <c r="M557" s="779"/>
      <c r="N557" s="779"/>
      <c r="O557" s="779"/>
      <c r="P557" s="779"/>
      <c r="Q557" s="779"/>
      <c r="R557" s="779"/>
      <c r="S557" s="779"/>
      <c r="T557" s="779"/>
      <c r="U557" s="779"/>
      <c r="V557" s="779"/>
      <c r="W557" s="779"/>
      <c r="X557" s="779"/>
      <c r="Y557" s="779"/>
      <c r="Z557" s="779"/>
      <c r="AA557" s="779"/>
      <c r="AB557" s="779"/>
      <c r="AC557" s="779"/>
      <c r="AD557" s="779"/>
      <c r="AE557" s="779"/>
      <c r="AF557" s="779"/>
      <c r="AG557" s="779"/>
      <c r="AH557" s="779"/>
      <c r="AI557" s="779"/>
      <c r="AJ557" s="779"/>
      <c r="AK557" s="779"/>
      <c r="AL557" s="779"/>
      <c r="AM557" s="779"/>
      <c r="AN557" s="779"/>
      <c r="AO557" s="779"/>
      <c r="AP557" s="779"/>
      <c r="AQ557" s="779"/>
      <c r="AR557" s="779"/>
      <c r="AS557" s="779"/>
      <c r="AT557" s="779"/>
      <c r="AU557" s="779"/>
      <c r="AV557" s="779"/>
      <c r="AW557" s="779"/>
      <c r="AX557" s="779"/>
      <c r="AY557" s="779"/>
      <c r="AZ557" s="779"/>
      <c r="BA557" s="779"/>
      <c r="BB557" s="779"/>
      <c r="BC557" s="779"/>
      <c r="BD557" s="779"/>
      <c r="BE557" s="779"/>
      <c r="BF557" s="779"/>
      <c r="BG557" s="779"/>
      <c r="BH557" s="779"/>
      <c r="BI557" s="779"/>
      <c r="BJ557" s="779"/>
      <c r="BK557" s="779"/>
      <c r="BL557" s="779"/>
      <c r="BM557" s="779"/>
      <c r="BN557" s="779"/>
      <c r="BO557" s="779"/>
      <c r="BP557" s="779"/>
      <c r="BQ557" s="779"/>
      <c r="BR557" s="779"/>
      <c r="BS557" s="779"/>
      <c r="BT557" s="779"/>
      <c r="BU557" s="779"/>
      <c r="BV557" s="779"/>
      <c r="BW557" s="779"/>
      <c r="BX557" s="779"/>
      <c r="BY557" s="779"/>
      <c r="BZ557" s="779"/>
      <c r="CA557" s="779"/>
      <c r="CB557" s="779"/>
      <c r="CC557" s="779"/>
    </row>
    <row r="558" spans="1:81">
      <c r="A558" s="779"/>
      <c r="B558" s="779"/>
      <c r="C558" s="779"/>
      <c r="D558" s="779"/>
      <c r="E558" s="779"/>
      <c r="F558" s="779"/>
      <c r="G558" s="779"/>
      <c r="H558" s="779"/>
      <c r="I558" s="779"/>
      <c r="J558" s="779"/>
      <c r="K558" s="779"/>
      <c r="L558" s="779"/>
      <c r="M558" s="779"/>
      <c r="N558" s="779"/>
      <c r="O558" s="779"/>
      <c r="P558" s="779"/>
      <c r="Q558" s="779"/>
      <c r="R558" s="779"/>
      <c r="S558" s="779"/>
      <c r="T558" s="779"/>
      <c r="U558" s="779"/>
      <c r="V558" s="779"/>
      <c r="W558" s="779"/>
      <c r="X558" s="779"/>
      <c r="Y558" s="779"/>
      <c r="Z558" s="779"/>
      <c r="AA558" s="779"/>
      <c r="AB558" s="779"/>
      <c r="AC558" s="779"/>
      <c r="AD558" s="779"/>
      <c r="AE558" s="779"/>
      <c r="AF558" s="779"/>
      <c r="AG558" s="779"/>
      <c r="AH558" s="779"/>
      <c r="AI558" s="779"/>
      <c r="AJ558" s="779"/>
      <c r="AK558" s="779"/>
      <c r="AL558" s="779"/>
      <c r="AM558" s="779"/>
      <c r="AN558" s="779"/>
      <c r="AO558" s="779"/>
      <c r="AP558" s="779"/>
      <c r="AQ558" s="779"/>
      <c r="AR558" s="779"/>
      <c r="AS558" s="779"/>
      <c r="AT558" s="779"/>
      <c r="AU558" s="779"/>
      <c r="AV558" s="779"/>
      <c r="AW558" s="779"/>
      <c r="AX558" s="779"/>
      <c r="AY558" s="779"/>
      <c r="AZ558" s="779"/>
      <c r="BA558" s="779"/>
      <c r="BB558" s="779"/>
      <c r="BC558" s="779"/>
      <c r="BD558" s="779"/>
      <c r="BE558" s="779"/>
      <c r="BF558" s="779"/>
      <c r="BG558" s="779"/>
      <c r="BH558" s="779"/>
      <c r="BI558" s="779"/>
      <c r="BJ558" s="779"/>
      <c r="BK558" s="779"/>
      <c r="BL558" s="779"/>
      <c r="BM558" s="779"/>
      <c r="BN558" s="779"/>
      <c r="BO558" s="779"/>
      <c r="BP558" s="779"/>
      <c r="BQ558" s="779"/>
      <c r="BR558" s="779"/>
      <c r="BS558" s="779"/>
      <c r="BT558" s="779"/>
      <c r="BU558" s="779"/>
      <c r="BV558" s="779"/>
      <c r="BW558" s="779"/>
      <c r="BX558" s="779"/>
      <c r="BY558" s="779"/>
      <c r="BZ558" s="779"/>
      <c r="CA558" s="779"/>
      <c r="CB558" s="779"/>
      <c r="CC558" s="779"/>
    </row>
    <row r="559" spans="1:81">
      <c r="A559" s="779"/>
      <c r="B559" s="779"/>
      <c r="C559" s="779"/>
      <c r="D559" s="779"/>
      <c r="E559" s="779"/>
      <c r="F559" s="779"/>
      <c r="G559" s="779"/>
      <c r="H559" s="779"/>
      <c r="I559" s="779"/>
      <c r="J559" s="779"/>
      <c r="K559" s="779"/>
      <c r="L559" s="779"/>
      <c r="M559" s="779"/>
      <c r="N559" s="779"/>
      <c r="O559" s="779"/>
      <c r="P559" s="779"/>
      <c r="Q559" s="779"/>
      <c r="R559" s="779"/>
      <c r="S559" s="779"/>
      <c r="T559" s="779"/>
      <c r="U559" s="779"/>
      <c r="V559" s="779"/>
      <c r="W559" s="779"/>
      <c r="X559" s="779"/>
      <c r="Y559" s="779"/>
      <c r="Z559" s="779"/>
      <c r="AA559" s="779"/>
      <c r="AB559" s="779"/>
      <c r="AC559" s="779"/>
      <c r="AD559" s="779"/>
      <c r="AE559" s="779"/>
      <c r="AF559" s="779"/>
      <c r="AG559" s="779"/>
      <c r="AH559" s="779"/>
      <c r="AI559" s="779"/>
      <c r="AJ559" s="779"/>
      <c r="AK559" s="779"/>
      <c r="AL559" s="779"/>
      <c r="AM559" s="779"/>
      <c r="AN559" s="779"/>
      <c r="AO559" s="779"/>
      <c r="AP559" s="779"/>
      <c r="AQ559" s="779"/>
      <c r="AR559" s="779"/>
      <c r="AS559" s="779"/>
      <c r="AT559" s="779"/>
      <c r="AU559" s="779"/>
      <c r="AV559" s="779"/>
      <c r="AW559" s="779"/>
      <c r="AX559" s="779"/>
      <c r="AY559" s="779"/>
      <c r="AZ559" s="779"/>
      <c r="BA559" s="779"/>
      <c r="BB559" s="779"/>
      <c r="BC559" s="779"/>
      <c r="BD559" s="779"/>
      <c r="BE559" s="779"/>
      <c r="BF559" s="779"/>
      <c r="BG559" s="779"/>
      <c r="BH559" s="779"/>
      <c r="BI559" s="779"/>
      <c r="BJ559" s="779"/>
      <c r="BK559" s="779"/>
      <c r="BL559" s="779"/>
      <c r="BM559" s="779"/>
      <c r="BN559" s="779"/>
      <c r="BO559" s="779"/>
      <c r="BP559" s="779"/>
      <c r="BQ559" s="779"/>
      <c r="BR559" s="779"/>
      <c r="BS559" s="779"/>
      <c r="BT559" s="779"/>
      <c r="BU559" s="779"/>
      <c r="BV559" s="779"/>
      <c r="BW559" s="779"/>
      <c r="BX559" s="779"/>
      <c r="BY559" s="779"/>
      <c r="BZ559" s="779"/>
      <c r="CA559" s="779"/>
      <c r="CB559" s="779"/>
      <c r="CC559" s="779"/>
    </row>
    <row r="560" spans="1:81">
      <c r="A560" s="779"/>
      <c r="B560" s="779"/>
      <c r="C560" s="779"/>
      <c r="D560" s="779"/>
      <c r="E560" s="779"/>
      <c r="F560" s="779"/>
      <c r="G560" s="779"/>
      <c r="H560" s="779"/>
      <c r="I560" s="779"/>
      <c r="J560" s="779"/>
      <c r="K560" s="779"/>
      <c r="L560" s="779"/>
      <c r="M560" s="779"/>
      <c r="N560" s="779"/>
      <c r="O560" s="779"/>
      <c r="P560" s="779"/>
      <c r="Q560" s="779"/>
      <c r="R560" s="779"/>
      <c r="S560" s="779"/>
      <c r="T560" s="779"/>
      <c r="U560" s="779"/>
      <c r="V560" s="779"/>
      <c r="W560" s="779"/>
      <c r="X560" s="779"/>
      <c r="Y560" s="779"/>
      <c r="Z560" s="779"/>
      <c r="AA560" s="779"/>
      <c r="AB560" s="779"/>
      <c r="AC560" s="779"/>
      <c r="AD560" s="779"/>
      <c r="AE560" s="779"/>
      <c r="AF560" s="779"/>
      <c r="AG560" s="779"/>
      <c r="AH560" s="779"/>
      <c r="AI560" s="779"/>
      <c r="AJ560" s="779"/>
      <c r="AK560" s="779"/>
      <c r="AL560" s="779"/>
      <c r="AM560" s="779"/>
      <c r="AN560" s="779"/>
      <c r="AO560" s="779"/>
      <c r="AP560" s="779"/>
      <c r="AQ560" s="779"/>
      <c r="AR560" s="779"/>
      <c r="AS560" s="779"/>
      <c r="AT560" s="779"/>
      <c r="AU560" s="779"/>
      <c r="AV560" s="779"/>
      <c r="AW560" s="779"/>
      <c r="AX560" s="779"/>
      <c r="AY560" s="779"/>
      <c r="AZ560" s="779"/>
      <c r="BA560" s="779"/>
      <c r="BB560" s="779"/>
      <c r="BC560" s="779"/>
      <c r="BD560" s="779"/>
      <c r="BE560" s="779"/>
      <c r="BF560" s="779"/>
      <c r="BG560" s="779"/>
      <c r="BH560" s="779"/>
      <c r="BI560" s="779"/>
      <c r="BJ560" s="779"/>
      <c r="BK560" s="779"/>
      <c r="BL560" s="779"/>
      <c r="BM560" s="779"/>
      <c r="BN560" s="779"/>
      <c r="BO560" s="779"/>
      <c r="BP560" s="779"/>
      <c r="BQ560" s="779"/>
      <c r="BR560" s="779"/>
      <c r="BS560" s="779"/>
      <c r="BT560" s="779"/>
      <c r="BU560" s="779"/>
      <c r="BV560" s="779"/>
      <c r="BW560" s="779"/>
      <c r="BX560" s="779"/>
      <c r="BY560" s="779"/>
      <c r="BZ560" s="779"/>
      <c r="CA560" s="779"/>
      <c r="CB560" s="779"/>
      <c r="CC560" s="779"/>
    </row>
    <row r="561" spans="1:81">
      <c r="A561" s="779"/>
      <c r="B561" s="779"/>
      <c r="C561" s="779"/>
      <c r="D561" s="779"/>
      <c r="E561" s="779"/>
      <c r="F561" s="779"/>
      <c r="G561" s="779"/>
      <c r="H561" s="779"/>
      <c r="I561" s="779"/>
      <c r="J561" s="779"/>
      <c r="K561" s="779"/>
      <c r="L561" s="779"/>
      <c r="M561" s="779"/>
      <c r="N561" s="779"/>
      <c r="O561" s="779"/>
      <c r="P561" s="779"/>
      <c r="Q561" s="779"/>
      <c r="R561" s="779"/>
      <c r="S561" s="779"/>
      <c r="T561" s="779"/>
      <c r="U561" s="779"/>
      <c r="V561" s="779"/>
      <c r="W561" s="779"/>
      <c r="X561" s="779"/>
      <c r="Y561" s="779"/>
      <c r="Z561" s="779"/>
      <c r="AA561" s="779"/>
      <c r="AB561" s="779"/>
      <c r="AC561" s="779"/>
      <c r="AD561" s="779"/>
      <c r="AE561" s="779"/>
      <c r="AF561" s="779"/>
      <c r="AG561" s="779"/>
      <c r="AH561" s="779"/>
      <c r="AI561" s="779"/>
      <c r="AJ561" s="779"/>
      <c r="AK561" s="779"/>
      <c r="AL561" s="779"/>
      <c r="AM561" s="779"/>
      <c r="AN561" s="779"/>
      <c r="AO561" s="779"/>
      <c r="AP561" s="779"/>
      <c r="AQ561" s="779"/>
      <c r="AR561" s="779"/>
      <c r="AS561" s="779"/>
      <c r="AT561" s="779"/>
      <c r="AU561" s="779"/>
      <c r="AV561" s="779"/>
      <c r="AW561" s="779"/>
      <c r="AX561" s="779"/>
      <c r="AY561" s="779"/>
      <c r="AZ561" s="779"/>
      <c r="BA561" s="779"/>
      <c r="BB561" s="779"/>
      <c r="BC561" s="779"/>
      <c r="BD561" s="779"/>
      <c r="BE561" s="779"/>
      <c r="BF561" s="779"/>
      <c r="BG561" s="779"/>
      <c r="BH561" s="779"/>
      <c r="BI561" s="779"/>
      <c r="BJ561" s="779"/>
      <c r="BK561" s="779"/>
      <c r="BL561" s="779"/>
      <c r="BM561" s="779"/>
      <c r="BN561" s="779"/>
      <c r="BO561" s="779"/>
      <c r="BP561" s="779"/>
      <c r="BQ561" s="779"/>
      <c r="BR561" s="779"/>
      <c r="BS561" s="779"/>
      <c r="BT561" s="779"/>
      <c r="BU561" s="779"/>
      <c r="BV561" s="779"/>
      <c r="BW561" s="779"/>
      <c r="BX561" s="779"/>
      <c r="BY561" s="779"/>
      <c r="BZ561" s="779"/>
      <c r="CA561" s="779"/>
      <c r="CB561" s="779"/>
      <c r="CC561" s="779"/>
    </row>
    <row r="562" spans="1:81">
      <c r="A562" s="779"/>
      <c r="B562" s="779"/>
      <c r="C562" s="779"/>
      <c r="D562" s="779"/>
      <c r="E562" s="779"/>
      <c r="F562" s="779"/>
      <c r="G562" s="779"/>
      <c r="H562" s="779"/>
      <c r="I562" s="779"/>
      <c r="J562" s="779"/>
      <c r="K562" s="779"/>
      <c r="L562" s="779"/>
      <c r="M562" s="779"/>
      <c r="N562" s="779"/>
      <c r="O562" s="779"/>
      <c r="P562" s="779"/>
      <c r="Q562" s="779"/>
      <c r="R562" s="779"/>
      <c r="S562" s="779"/>
      <c r="T562" s="779"/>
      <c r="U562" s="779"/>
      <c r="V562" s="779"/>
      <c r="W562" s="779"/>
      <c r="X562" s="779"/>
      <c r="Y562" s="779"/>
      <c r="Z562" s="779"/>
      <c r="AA562" s="779"/>
      <c r="AB562" s="779"/>
      <c r="AC562" s="779"/>
      <c r="AD562" s="779"/>
      <c r="AE562" s="779"/>
      <c r="AF562" s="779"/>
      <c r="AG562" s="779"/>
      <c r="AH562" s="779"/>
      <c r="AI562" s="779"/>
      <c r="AJ562" s="779"/>
      <c r="AK562" s="779"/>
      <c r="AL562" s="779"/>
      <c r="AM562" s="779"/>
      <c r="AN562" s="779"/>
      <c r="AO562" s="779"/>
      <c r="AP562" s="779"/>
      <c r="AQ562" s="779"/>
      <c r="AR562" s="779"/>
      <c r="AS562" s="779"/>
      <c r="AT562" s="779"/>
      <c r="AU562" s="779"/>
      <c r="AV562" s="779"/>
      <c r="AW562" s="779"/>
      <c r="AX562" s="779"/>
      <c r="AY562" s="779"/>
      <c r="AZ562" s="779"/>
      <c r="BA562" s="779"/>
      <c r="BB562" s="779"/>
      <c r="BC562" s="779"/>
      <c r="BD562" s="779"/>
      <c r="BE562" s="779"/>
      <c r="BF562" s="779"/>
      <c r="BG562" s="779"/>
      <c r="BH562" s="779"/>
      <c r="BI562" s="779"/>
      <c r="BJ562" s="779"/>
      <c r="BK562" s="779"/>
      <c r="BL562" s="779"/>
      <c r="BM562" s="779"/>
      <c r="BN562" s="779"/>
      <c r="BO562" s="779"/>
      <c r="BP562" s="779"/>
      <c r="BQ562" s="779"/>
      <c r="BR562" s="779"/>
      <c r="BS562" s="779"/>
      <c r="BT562" s="779"/>
      <c r="BU562" s="779"/>
      <c r="BV562" s="779"/>
      <c r="BW562" s="779"/>
      <c r="BX562" s="779"/>
      <c r="BY562" s="779"/>
      <c r="BZ562" s="779"/>
      <c r="CA562" s="779"/>
      <c r="CB562" s="779"/>
      <c r="CC562" s="779"/>
    </row>
    <row r="563" spans="1:81">
      <c r="A563" s="779"/>
      <c r="B563" s="779"/>
      <c r="C563" s="779"/>
      <c r="D563" s="779"/>
      <c r="E563" s="779"/>
      <c r="F563" s="779"/>
      <c r="G563" s="779"/>
      <c r="H563" s="779"/>
      <c r="I563" s="779"/>
      <c r="J563" s="779"/>
      <c r="K563" s="779"/>
      <c r="L563" s="779"/>
      <c r="M563" s="779"/>
      <c r="N563" s="779"/>
      <c r="O563" s="779"/>
      <c r="P563" s="779"/>
      <c r="Q563" s="779"/>
      <c r="R563" s="779"/>
      <c r="S563" s="779"/>
      <c r="T563" s="779"/>
      <c r="U563" s="779"/>
      <c r="V563" s="779"/>
      <c r="W563" s="779"/>
      <c r="X563" s="779"/>
      <c r="Y563" s="779"/>
      <c r="Z563" s="779"/>
      <c r="AA563" s="779"/>
      <c r="AB563" s="779"/>
      <c r="AC563" s="779"/>
      <c r="AD563" s="779"/>
      <c r="AE563" s="779"/>
      <c r="AF563" s="779"/>
      <c r="AG563" s="779"/>
      <c r="AH563" s="779"/>
      <c r="AI563" s="779"/>
      <c r="AJ563" s="779"/>
      <c r="AK563" s="779"/>
      <c r="AL563" s="779"/>
      <c r="AM563" s="779"/>
      <c r="AN563" s="779"/>
      <c r="AO563" s="779"/>
      <c r="AP563" s="779"/>
      <c r="AQ563" s="779"/>
      <c r="AR563" s="779"/>
      <c r="AS563" s="779"/>
      <c r="AT563" s="779"/>
      <c r="AU563" s="779"/>
      <c r="AV563" s="779"/>
      <c r="AW563" s="779"/>
      <c r="AX563" s="779"/>
      <c r="AY563" s="779"/>
      <c r="AZ563" s="779"/>
      <c r="BA563" s="779"/>
      <c r="BB563" s="779"/>
      <c r="BC563" s="779"/>
      <c r="BD563" s="779"/>
      <c r="BE563" s="779"/>
      <c r="BF563" s="779"/>
      <c r="BG563" s="779"/>
      <c r="BH563" s="779"/>
      <c r="BI563" s="779"/>
      <c r="BJ563" s="779"/>
      <c r="BK563" s="779"/>
      <c r="BL563" s="779"/>
      <c r="BM563" s="779"/>
      <c r="BN563" s="779"/>
      <c r="BO563" s="779"/>
      <c r="BP563" s="779"/>
      <c r="BQ563" s="779"/>
      <c r="BR563" s="779"/>
      <c r="BS563" s="779"/>
      <c r="BT563" s="779"/>
      <c r="BU563" s="779"/>
      <c r="BV563" s="779"/>
      <c r="BW563" s="779"/>
      <c r="BX563" s="779"/>
      <c r="BY563" s="779"/>
      <c r="BZ563" s="779"/>
      <c r="CA563" s="779"/>
      <c r="CB563" s="779"/>
      <c r="CC563" s="779"/>
    </row>
    <row r="564" spans="1:81">
      <c r="A564" s="779"/>
      <c r="B564" s="779"/>
      <c r="C564" s="779"/>
      <c r="D564" s="779"/>
      <c r="E564" s="779"/>
      <c r="F564" s="779"/>
      <c r="G564" s="779"/>
      <c r="H564" s="779"/>
      <c r="I564" s="779"/>
      <c r="J564" s="779"/>
      <c r="K564" s="779"/>
      <c r="L564" s="779"/>
      <c r="M564" s="779"/>
      <c r="N564" s="779"/>
      <c r="O564" s="779"/>
      <c r="P564" s="779"/>
      <c r="Q564" s="779"/>
      <c r="R564" s="779"/>
      <c r="S564" s="779"/>
      <c r="T564" s="779"/>
      <c r="U564" s="779"/>
      <c r="V564" s="779"/>
      <c r="W564" s="779"/>
      <c r="X564" s="779"/>
      <c r="Y564" s="779"/>
      <c r="Z564" s="779"/>
      <c r="AA564" s="779"/>
      <c r="AB564" s="779"/>
      <c r="AC564" s="779"/>
      <c r="AD564" s="779"/>
      <c r="AE564" s="779"/>
      <c r="AF564" s="779"/>
      <c r="AG564" s="779"/>
      <c r="AH564" s="779"/>
      <c r="AI564" s="779"/>
      <c r="AJ564" s="779"/>
      <c r="AK564" s="779"/>
      <c r="AL564" s="779"/>
      <c r="AM564" s="779"/>
      <c r="AN564" s="779"/>
      <c r="AO564" s="779"/>
      <c r="AP564" s="779"/>
      <c r="AQ564" s="779"/>
      <c r="AR564" s="779"/>
      <c r="AS564" s="779"/>
      <c r="AT564" s="779"/>
      <c r="AU564" s="779"/>
      <c r="AV564" s="779"/>
      <c r="AW564" s="779"/>
      <c r="AX564" s="779"/>
      <c r="AY564" s="779"/>
      <c r="AZ564" s="779"/>
      <c r="BA564" s="779"/>
      <c r="BB564" s="779"/>
      <c r="BC564" s="779"/>
      <c r="BD564" s="779"/>
      <c r="BE564" s="779"/>
      <c r="BF564" s="779"/>
      <c r="BG564" s="779"/>
      <c r="BH564" s="779"/>
      <c r="BI564" s="779"/>
      <c r="BJ564" s="779"/>
      <c r="BK564" s="779"/>
      <c r="BL564" s="779"/>
      <c r="BM564" s="779"/>
      <c r="BN564" s="779"/>
      <c r="BO564" s="779"/>
      <c r="BP564" s="779"/>
      <c r="BQ564" s="779"/>
      <c r="BR564" s="779"/>
      <c r="BS564" s="779"/>
      <c r="BT564" s="779"/>
      <c r="BU564" s="779"/>
      <c r="BV564" s="779"/>
      <c r="BW564" s="779"/>
      <c r="BX564" s="779"/>
      <c r="BY564" s="779"/>
      <c r="BZ564" s="779"/>
      <c r="CA564" s="779"/>
      <c r="CB564" s="779"/>
      <c r="CC564" s="779"/>
    </row>
    <row r="565" spans="1:81">
      <c r="A565" s="779"/>
      <c r="B565" s="779"/>
      <c r="C565" s="779"/>
      <c r="D565" s="779"/>
      <c r="E565" s="779"/>
      <c r="F565" s="779"/>
      <c r="G565" s="779"/>
      <c r="H565" s="779"/>
      <c r="I565" s="779"/>
      <c r="J565" s="779"/>
      <c r="K565" s="779"/>
      <c r="L565" s="779"/>
      <c r="M565" s="779"/>
      <c r="N565" s="779"/>
      <c r="O565" s="779"/>
      <c r="P565" s="779"/>
      <c r="Q565" s="779"/>
      <c r="R565" s="779"/>
      <c r="S565" s="779"/>
      <c r="T565" s="779"/>
      <c r="U565" s="779"/>
      <c r="V565" s="779"/>
      <c r="W565" s="779"/>
      <c r="X565" s="779"/>
      <c r="Y565" s="779"/>
      <c r="Z565" s="779"/>
      <c r="AA565" s="779"/>
      <c r="AB565" s="779"/>
      <c r="AC565" s="779"/>
      <c r="AD565" s="779"/>
      <c r="AE565" s="779"/>
      <c r="AF565" s="779"/>
      <c r="AG565" s="779"/>
      <c r="AH565" s="779"/>
      <c r="AI565" s="779"/>
      <c r="AJ565" s="779"/>
      <c r="AK565" s="779"/>
      <c r="AL565" s="779"/>
      <c r="AM565" s="779"/>
      <c r="AN565" s="779"/>
      <c r="AO565" s="779"/>
      <c r="AP565" s="779"/>
      <c r="AQ565" s="779"/>
      <c r="AR565" s="779"/>
      <c r="AS565" s="779"/>
      <c r="AT565" s="779"/>
      <c r="AU565" s="779"/>
      <c r="AV565" s="779"/>
      <c r="AW565" s="779"/>
      <c r="AX565" s="779"/>
      <c r="AY565" s="779"/>
      <c r="AZ565" s="779"/>
      <c r="BA565" s="779"/>
      <c r="BB565" s="779"/>
      <c r="BC565" s="779"/>
      <c r="BD565" s="779"/>
      <c r="BE565" s="779"/>
      <c r="BF565" s="779"/>
      <c r="BG565" s="779"/>
      <c r="BH565" s="779"/>
      <c r="BI565" s="779"/>
      <c r="BJ565" s="779"/>
      <c r="BK565" s="779"/>
      <c r="BL565" s="779"/>
      <c r="BM565" s="779"/>
      <c r="BN565" s="779"/>
      <c r="BO565" s="779"/>
      <c r="BP565" s="779"/>
      <c r="BQ565" s="779"/>
      <c r="BR565" s="779"/>
      <c r="BS565" s="779"/>
      <c r="BT565" s="779"/>
      <c r="BU565" s="779"/>
      <c r="BV565" s="779"/>
      <c r="BW565" s="779"/>
      <c r="BX565" s="779"/>
      <c r="BY565" s="779"/>
      <c r="BZ565" s="779"/>
      <c r="CA565" s="779"/>
      <c r="CB565" s="779"/>
      <c r="CC565" s="779"/>
    </row>
    <row r="566" spans="1:81">
      <c r="A566" s="779"/>
      <c r="B566" s="779"/>
      <c r="C566" s="779"/>
      <c r="D566" s="779"/>
      <c r="E566" s="779"/>
      <c r="F566" s="779"/>
      <c r="G566" s="779"/>
      <c r="H566" s="779"/>
      <c r="I566" s="779"/>
      <c r="J566" s="779"/>
      <c r="K566" s="779"/>
      <c r="L566" s="779"/>
      <c r="M566" s="779"/>
      <c r="N566" s="779"/>
      <c r="O566" s="779"/>
      <c r="P566" s="779"/>
      <c r="Q566" s="779"/>
      <c r="R566" s="779"/>
      <c r="S566" s="779"/>
      <c r="T566" s="779"/>
      <c r="U566" s="779"/>
      <c r="V566" s="779"/>
      <c r="W566" s="779"/>
      <c r="X566" s="779"/>
      <c r="Y566" s="779"/>
      <c r="Z566" s="779"/>
      <c r="AA566" s="779"/>
      <c r="AB566" s="779"/>
      <c r="AC566" s="779"/>
      <c r="AD566" s="779"/>
      <c r="AE566" s="779"/>
      <c r="AF566" s="779"/>
      <c r="AG566" s="779"/>
      <c r="AH566" s="779"/>
      <c r="AI566" s="779"/>
      <c r="AJ566" s="779"/>
      <c r="AK566" s="779"/>
      <c r="AL566" s="779"/>
      <c r="AM566" s="779"/>
      <c r="AN566" s="779"/>
      <c r="AO566" s="779"/>
      <c r="AP566" s="779"/>
      <c r="AQ566" s="779"/>
      <c r="AR566" s="779"/>
      <c r="AS566" s="779"/>
      <c r="AT566" s="779"/>
      <c r="AU566" s="779"/>
      <c r="AV566" s="779"/>
      <c r="AW566" s="779"/>
      <c r="AX566" s="779"/>
      <c r="AY566" s="779"/>
      <c r="AZ566" s="779"/>
      <c r="BA566" s="779"/>
      <c r="BB566" s="779"/>
      <c r="BC566" s="779"/>
      <c r="BD566" s="779"/>
      <c r="BE566" s="779"/>
      <c r="BF566" s="779"/>
      <c r="BG566" s="779"/>
      <c r="BH566" s="779"/>
      <c r="BI566" s="779"/>
      <c r="BJ566" s="779"/>
      <c r="BK566" s="779"/>
      <c r="BL566" s="779"/>
      <c r="BM566" s="779"/>
      <c r="BN566" s="779"/>
      <c r="BO566" s="779"/>
      <c r="BP566" s="779"/>
      <c r="BQ566" s="779"/>
      <c r="BR566" s="779"/>
      <c r="BS566" s="779"/>
      <c r="BT566" s="779"/>
      <c r="BU566" s="779"/>
      <c r="BV566" s="779"/>
      <c r="BW566" s="779"/>
      <c r="BX566" s="779"/>
      <c r="BY566" s="779"/>
      <c r="BZ566" s="779"/>
      <c r="CA566" s="779"/>
      <c r="CB566" s="779"/>
      <c r="CC566" s="779"/>
    </row>
    <row r="567" spans="1:81">
      <c r="A567" s="779"/>
      <c r="B567" s="779"/>
      <c r="C567" s="779"/>
      <c r="D567" s="779"/>
      <c r="E567" s="779"/>
      <c r="F567" s="779"/>
      <c r="G567" s="779"/>
      <c r="H567" s="779"/>
      <c r="I567" s="779"/>
      <c r="J567" s="779"/>
      <c r="K567" s="779"/>
      <c r="L567" s="779"/>
      <c r="M567" s="779"/>
      <c r="N567" s="779"/>
      <c r="O567" s="779"/>
      <c r="P567" s="779"/>
      <c r="Q567" s="779"/>
      <c r="R567" s="779"/>
      <c r="S567" s="779"/>
      <c r="T567" s="779"/>
      <c r="U567" s="779"/>
      <c r="V567" s="779"/>
      <c r="W567" s="779"/>
      <c r="X567" s="779"/>
      <c r="Y567" s="779"/>
      <c r="Z567" s="779"/>
      <c r="AA567" s="779"/>
      <c r="AB567" s="779"/>
      <c r="AC567" s="779"/>
      <c r="AD567" s="779"/>
      <c r="AE567" s="779"/>
      <c r="AF567" s="779"/>
      <c r="AG567" s="779"/>
      <c r="AH567" s="779"/>
      <c r="AI567" s="779"/>
      <c r="AJ567" s="779"/>
      <c r="AK567" s="779"/>
      <c r="AL567" s="779"/>
      <c r="AM567" s="779"/>
      <c r="AN567" s="779"/>
      <c r="AO567" s="779"/>
      <c r="AP567" s="779"/>
      <c r="AQ567" s="779"/>
      <c r="AR567" s="779"/>
      <c r="AS567" s="779"/>
      <c r="AT567" s="779"/>
      <c r="AU567" s="779"/>
      <c r="AV567" s="779"/>
      <c r="AW567" s="779"/>
      <c r="AX567" s="779"/>
      <c r="AY567" s="779"/>
      <c r="AZ567" s="779"/>
      <c r="BA567" s="779"/>
      <c r="BB567" s="779"/>
      <c r="BC567" s="779"/>
      <c r="BD567" s="779"/>
      <c r="BE567" s="779"/>
      <c r="BF567" s="779"/>
      <c r="BG567" s="779"/>
      <c r="BH567" s="779"/>
      <c r="BI567" s="779"/>
      <c r="BJ567" s="779"/>
      <c r="BK567" s="779"/>
      <c r="BL567" s="779"/>
      <c r="BM567" s="779"/>
      <c r="BN567" s="779"/>
      <c r="BO567" s="779"/>
      <c r="BP567" s="779"/>
      <c r="BQ567" s="779"/>
      <c r="BR567" s="779"/>
      <c r="BS567" s="779"/>
      <c r="BT567" s="779"/>
      <c r="BU567" s="779"/>
      <c r="BV567" s="779"/>
      <c r="BW567" s="779"/>
      <c r="BX567" s="779"/>
      <c r="BY567" s="779"/>
      <c r="BZ567" s="779"/>
      <c r="CA567" s="779"/>
      <c r="CB567" s="779"/>
      <c r="CC567" s="779"/>
    </row>
    <row r="568" spans="1:81">
      <c r="A568" s="779"/>
      <c r="B568" s="779"/>
      <c r="C568" s="779"/>
      <c r="D568" s="779"/>
      <c r="E568" s="779"/>
      <c r="F568" s="779"/>
      <c r="G568" s="779"/>
      <c r="H568" s="779"/>
      <c r="I568" s="779"/>
      <c r="J568" s="779"/>
      <c r="K568" s="779"/>
      <c r="L568" s="779"/>
      <c r="M568" s="779"/>
      <c r="N568" s="779"/>
      <c r="O568" s="779"/>
      <c r="P568" s="779"/>
      <c r="Q568" s="779"/>
      <c r="R568" s="779"/>
      <c r="S568" s="779"/>
      <c r="T568" s="779"/>
      <c r="U568" s="779"/>
      <c r="V568" s="779"/>
      <c r="W568" s="779"/>
      <c r="X568" s="779"/>
      <c r="Y568" s="779"/>
      <c r="Z568" s="779"/>
      <c r="AA568" s="779"/>
      <c r="AB568" s="779"/>
      <c r="AC568" s="779"/>
      <c r="AD568" s="779"/>
      <c r="AE568" s="779"/>
      <c r="AF568" s="779"/>
      <c r="AG568" s="779"/>
      <c r="AH568" s="779"/>
      <c r="AI568" s="779"/>
      <c r="AJ568" s="779"/>
      <c r="AK568" s="779"/>
      <c r="AL568" s="779"/>
      <c r="AM568" s="779"/>
      <c r="AN568" s="779"/>
      <c r="AO568" s="779"/>
      <c r="AP568" s="779"/>
      <c r="AQ568" s="779"/>
      <c r="AR568" s="779"/>
      <c r="AS568" s="779"/>
      <c r="AT568" s="779"/>
      <c r="AU568" s="779"/>
      <c r="AV568" s="779"/>
      <c r="AW568" s="779"/>
      <c r="AX568" s="779"/>
      <c r="AY568" s="779"/>
      <c r="AZ568" s="779"/>
      <c r="BA568" s="779"/>
      <c r="BB568" s="779"/>
      <c r="BC568" s="779"/>
      <c r="BD568" s="779"/>
      <c r="BE568" s="779"/>
      <c r="BF568" s="779"/>
      <c r="BG568" s="779"/>
      <c r="BH568" s="779"/>
      <c r="BI568" s="779"/>
      <c r="BJ568" s="779"/>
      <c r="BK568" s="779"/>
      <c r="BL568" s="779"/>
      <c r="BM568" s="779"/>
      <c r="BN568" s="779"/>
      <c r="BO568" s="779"/>
      <c r="BP568" s="779"/>
      <c r="BQ568" s="779"/>
      <c r="BR568" s="779"/>
      <c r="BS568" s="779"/>
      <c r="BT568" s="779"/>
      <c r="BU568" s="779"/>
      <c r="BV568" s="779"/>
      <c r="BW568" s="779"/>
      <c r="BX568" s="779"/>
      <c r="BY568" s="779"/>
      <c r="BZ568" s="779"/>
      <c r="CA568" s="779"/>
      <c r="CB568" s="779"/>
      <c r="CC568" s="779"/>
    </row>
    <row r="569" spans="1:81">
      <c r="A569" s="779"/>
      <c r="B569" s="779"/>
      <c r="C569" s="779"/>
      <c r="D569" s="779"/>
      <c r="E569" s="779"/>
      <c r="F569" s="779"/>
      <c r="G569" s="779"/>
      <c r="H569" s="779"/>
      <c r="I569" s="779"/>
      <c r="J569" s="779"/>
      <c r="K569" s="779"/>
      <c r="L569" s="779"/>
      <c r="M569" s="779"/>
      <c r="N569" s="779"/>
      <c r="O569" s="779"/>
      <c r="P569" s="779"/>
      <c r="Q569" s="779"/>
      <c r="R569" s="779"/>
      <c r="S569" s="779"/>
      <c r="T569" s="779"/>
      <c r="U569" s="779"/>
      <c r="V569" s="779"/>
      <c r="W569" s="779"/>
      <c r="X569" s="779"/>
      <c r="Y569" s="779"/>
      <c r="Z569" s="779"/>
      <c r="AA569" s="779"/>
      <c r="AB569" s="779"/>
      <c r="AC569" s="779"/>
      <c r="AD569" s="779"/>
      <c r="AE569" s="779"/>
      <c r="AF569" s="779"/>
      <c r="AG569" s="779"/>
      <c r="AH569" s="779"/>
      <c r="AI569" s="779"/>
      <c r="AJ569" s="779"/>
      <c r="AK569" s="779"/>
      <c r="AL569" s="779"/>
      <c r="AM569" s="779"/>
      <c r="AN569" s="779"/>
      <c r="AO569" s="779"/>
      <c r="AP569" s="779"/>
      <c r="AQ569" s="779"/>
      <c r="AR569" s="779"/>
      <c r="AS569" s="779"/>
      <c r="AT569" s="779"/>
      <c r="AU569" s="779"/>
      <c r="AV569" s="779"/>
      <c r="AW569" s="779"/>
      <c r="AX569" s="779"/>
      <c r="AY569" s="779"/>
      <c r="AZ569" s="779"/>
      <c r="BA569" s="779"/>
      <c r="BB569" s="779"/>
      <c r="BC569" s="779"/>
      <c r="BD569" s="779"/>
      <c r="BE569" s="779"/>
      <c r="BF569" s="779"/>
      <c r="BG569" s="779"/>
      <c r="BH569" s="779"/>
      <c r="BI569" s="779"/>
      <c r="BJ569" s="779"/>
      <c r="BK569" s="779"/>
      <c r="BL569" s="779"/>
      <c r="BM569" s="779"/>
      <c r="BN569" s="779"/>
      <c r="BO569" s="779"/>
      <c r="BP569" s="779"/>
      <c r="BQ569" s="779"/>
      <c r="BR569" s="779"/>
      <c r="BS569" s="779"/>
      <c r="BT569" s="779"/>
      <c r="BU569" s="779"/>
      <c r="BV569" s="779"/>
      <c r="BW569" s="779"/>
      <c r="BX569" s="779"/>
      <c r="BY569" s="779"/>
      <c r="BZ569" s="779"/>
      <c r="CA569" s="779"/>
      <c r="CB569" s="779"/>
      <c r="CC569" s="779"/>
    </row>
    <row r="570" spans="1:81">
      <c r="A570" s="779"/>
      <c r="B570" s="779"/>
      <c r="C570" s="779"/>
      <c r="D570" s="779"/>
      <c r="E570" s="779"/>
      <c r="F570" s="779"/>
      <c r="G570" s="779"/>
      <c r="H570" s="779"/>
      <c r="I570" s="779"/>
      <c r="J570" s="779"/>
      <c r="K570" s="779"/>
      <c r="L570" s="779"/>
      <c r="M570" s="779"/>
      <c r="N570" s="779"/>
      <c r="O570" s="779"/>
      <c r="P570" s="779"/>
      <c r="Q570" s="779"/>
      <c r="R570" s="779"/>
      <c r="S570" s="779"/>
      <c r="T570" s="779"/>
      <c r="U570" s="779"/>
      <c r="V570" s="779"/>
      <c r="W570" s="779"/>
      <c r="X570" s="779"/>
      <c r="Y570" s="779"/>
      <c r="Z570" s="779"/>
      <c r="AA570" s="779"/>
      <c r="AB570" s="779"/>
      <c r="AC570" s="779"/>
      <c r="AD570" s="779"/>
      <c r="AE570" s="779"/>
      <c r="AF570" s="779"/>
      <c r="AG570" s="779"/>
      <c r="AH570" s="779"/>
      <c r="AI570" s="779"/>
      <c r="AJ570" s="779"/>
      <c r="AK570" s="779"/>
      <c r="AL570" s="779"/>
      <c r="AM570" s="779"/>
      <c r="AN570" s="779"/>
      <c r="AO570" s="779"/>
      <c r="AP570" s="779"/>
      <c r="AQ570" s="779"/>
      <c r="AR570" s="779"/>
      <c r="AS570" s="779"/>
      <c r="AT570" s="779"/>
      <c r="AU570" s="779"/>
      <c r="AV570" s="779"/>
      <c r="AW570" s="779"/>
      <c r="AX570" s="779"/>
      <c r="AY570" s="779"/>
      <c r="AZ570" s="779"/>
      <c r="BA570" s="779"/>
      <c r="BB570" s="779"/>
      <c r="BC570" s="779"/>
      <c r="BD570" s="779"/>
      <c r="BE570" s="779"/>
      <c r="BF570" s="779"/>
      <c r="BG570" s="779"/>
      <c r="BH570" s="779"/>
      <c r="BI570" s="779"/>
      <c r="BJ570" s="779"/>
      <c r="BK570" s="779"/>
      <c r="BL570" s="779"/>
      <c r="BM570" s="779"/>
      <c r="BN570" s="779"/>
      <c r="BO570" s="779"/>
      <c r="BP570" s="779"/>
      <c r="BQ570" s="779"/>
      <c r="BR570" s="779"/>
      <c r="BS570" s="779"/>
      <c r="BT570" s="779"/>
      <c r="BU570" s="779"/>
      <c r="BV570" s="779"/>
      <c r="BW570" s="779"/>
      <c r="BX570" s="779"/>
      <c r="BY570" s="779"/>
      <c r="BZ570" s="779"/>
      <c r="CA570" s="779"/>
      <c r="CB570" s="779"/>
      <c r="CC570" s="779"/>
    </row>
    <row r="571" spans="1:81">
      <c r="A571" s="779"/>
      <c r="B571" s="779"/>
      <c r="C571" s="779"/>
      <c r="D571" s="779"/>
      <c r="E571" s="779"/>
      <c r="F571" s="779"/>
      <c r="G571" s="779"/>
      <c r="H571" s="779"/>
      <c r="I571" s="779"/>
      <c r="J571" s="779"/>
      <c r="K571" s="779"/>
      <c r="L571" s="779"/>
      <c r="M571" s="779"/>
      <c r="N571" s="779"/>
      <c r="O571" s="779"/>
      <c r="P571" s="779"/>
      <c r="Q571" s="779"/>
      <c r="R571" s="779"/>
      <c r="S571" s="779"/>
      <c r="T571" s="779"/>
      <c r="U571" s="779"/>
      <c r="V571" s="779"/>
      <c r="W571" s="779"/>
      <c r="X571" s="779"/>
      <c r="Y571" s="779"/>
      <c r="Z571" s="779"/>
      <c r="AA571" s="779"/>
      <c r="AB571" s="779"/>
      <c r="AC571" s="779"/>
      <c r="AD571" s="779"/>
      <c r="AE571" s="779"/>
      <c r="AF571" s="779"/>
      <c r="AG571" s="779"/>
      <c r="AH571" s="779"/>
      <c r="AI571" s="779"/>
      <c r="AJ571" s="779"/>
      <c r="AK571" s="779"/>
      <c r="AL571" s="779"/>
      <c r="AM571" s="779"/>
      <c r="AN571" s="779"/>
      <c r="AO571" s="779"/>
      <c r="AP571" s="779"/>
      <c r="AQ571" s="779"/>
      <c r="AR571" s="779"/>
      <c r="AS571" s="779"/>
      <c r="AT571" s="779"/>
      <c r="AU571" s="779"/>
      <c r="AV571" s="779"/>
      <c r="AW571" s="779"/>
      <c r="AX571" s="779"/>
      <c r="AY571" s="779"/>
      <c r="AZ571" s="779"/>
      <c r="BA571" s="779"/>
      <c r="BB571" s="779"/>
      <c r="BC571" s="779"/>
      <c r="BD571" s="779"/>
      <c r="BE571" s="779"/>
      <c r="BF571" s="779"/>
      <c r="BG571" s="779"/>
      <c r="BH571" s="779"/>
      <c r="BI571" s="779"/>
      <c r="BJ571" s="779"/>
      <c r="BK571" s="779"/>
      <c r="BL571" s="779"/>
      <c r="BM571" s="779"/>
      <c r="BN571" s="779"/>
      <c r="BO571" s="779"/>
      <c r="BP571" s="779"/>
      <c r="BQ571" s="779"/>
      <c r="BR571" s="779"/>
      <c r="BS571" s="779"/>
      <c r="BT571" s="779"/>
      <c r="BU571" s="779"/>
      <c r="BV571" s="779"/>
      <c r="BW571" s="779"/>
      <c r="BX571" s="779"/>
      <c r="BY571" s="779"/>
      <c r="BZ571" s="779"/>
      <c r="CA571" s="779"/>
      <c r="CB571" s="779"/>
      <c r="CC571" s="779"/>
    </row>
    <row r="572" spans="1:81">
      <c r="A572" s="779"/>
      <c r="B572" s="779"/>
      <c r="C572" s="779"/>
      <c r="D572" s="779"/>
      <c r="E572" s="779"/>
      <c r="F572" s="779"/>
      <c r="G572" s="779"/>
      <c r="H572" s="779"/>
      <c r="I572" s="779"/>
      <c r="J572" s="779"/>
      <c r="K572" s="779"/>
      <c r="L572" s="779"/>
      <c r="M572" s="779"/>
      <c r="N572" s="779"/>
      <c r="O572" s="779"/>
      <c r="P572" s="779"/>
      <c r="Q572" s="779"/>
      <c r="R572" s="779"/>
      <c r="S572" s="779"/>
      <c r="T572" s="779"/>
      <c r="U572" s="779"/>
      <c r="V572" s="779"/>
      <c r="W572" s="779"/>
      <c r="X572" s="779"/>
      <c r="Y572" s="779"/>
      <c r="Z572" s="779"/>
      <c r="AA572" s="779"/>
      <c r="AB572" s="779"/>
      <c r="AC572" s="779"/>
      <c r="AD572" s="779"/>
      <c r="AE572" s="779"/>
      <c r="AF572" s="779"/>
      <c r="AG572" s="779"/>
      <c r="AH572" s="779"/>
      <c r="AI572" s="779"/>
      <c r="AJ572" s="779"/>
      <c r="AK572" s="779"/>
      <c r="AL572" s="779"/>
      <c r="AM572" s="779"/>
      <c r="AN572" s="779"/>
      <c r="AO572" s="779"/>
      <c r="AP572" s="779"/>
      <c r="AQ572" s="779"/>
      <c r="AR572" s="779"/>
      <c r="AS572" s="779"/>
      <c r="AT572" s="779"/>
      <c r="AU572" s="779"/>
      <c r="AV572" s="779"/>
      <c r="AW572" s="779"/>
      <c r="AX572" s="779"/>
      <c r="AY572" s="779"/>
      <c r="AZ572" s="779"/>
      <c r="BA572" s="779"/>
      <c r="BB572" s="779"/>
      <c r="BC572" s="779"/>
      <c r="BD572" s="779"/>
      <c r="BE572" s="779"/>
      <c r="BF572" s="779"/>
      <c r="BG572" s="779"/>
      <c r="BH572" s="779"/>
      <c r="BI572" s="779"/>
      <c r="BJ572" s="779"/>
      <c r="BK572" s="779"/>
      <c r="BL572" s="779"/>
      <c r="BM572" s="779"/>
      <c r="BN572" s="779"/>
      <c r="BO572" s="779"/>
      <c r="BP572" s="779"/>
      <c r="BQ572" s="779"/>
      <c r="BR572" s="779"/>
      <c r="BS572" s="779"/>
      <c r="BT572" s="779"/>
      <c r="BU572" s="779"/>
      <c r="BV572" s="779"/>
      <c r="BW572" s="779"/>
      <c r="BX572" s="779"/>
      <c r="BY572" s="779"/>
      <c r="BZ572" s="779"/>
      <c r="CA572" s="779"/>
      <c r="CB572" s="779"/>
      <c r="CC572" s="779"/>
    </row>
    <row r="573" spans="1:81">
      <c r="A573" s="779"/>
      <c r="B573" s="779"/>
      <c r="C573" s="779"/>
      <c r="D573" s="779"/>
      <c r="E573" s="779"/>
      <c r="F573" s="779"/>
      <c r="G573" s="779"/>
      <c r="H573" s="779"/>
      <c r="I573" s="779"/>
      <c r="J573" s="779"/>
      <c r="K573" s="779"/>
      <c r="L573" s="779"/>
      <c r="M573" s="779"/>
      <c r="N573" s="779"/>
      <c r="O573" s="779"/>
      <c r="P573" s="779"/>
      <c r="Q573" s="779"/>
      <c r="R573" s="779"/>
      <c r="S573" s="779"/>
      <c r="T573" s="779"/>
      <c r="U573" s="779"/>
      <c r="V573" s="779"/>
      <c r="W573" s="779"/>
      <c r="X573" s="779"/>
      <c r="Y573" s="779"/>
      <c r="Z573" s="779"/>
      <c r="AA573" s="779"/>
      <c r="AB573" s="779"/>
      <c r="AC573" s="779"/>
      <c r="AD573" s="779"/>
      <c r="AE573" s="779"/>
      <c r="AF573" s="779"/>
      <c r="AG573" s="779"/>
      <c r="AH573" s="779"/>
      <c r="AI573" s="779"/>
      <c r="AJ573" s="779"/>
      <c r="AK573" s="779"/>
      <c r="AL573" s="779"/>
      <c r="AM573" s="779"/>
      <c r="AN573" s="779"/>
      <c r="AO573" s="779"/>
      <c r="AP573" s="779"/>
      <c r="AQ573" s="779"/>
      <c r="AR573" s="779"/>
      <c r="AS573" s="779"/>
      <c r="AT573" s="779"/>
      <c r="AU573" s="779"/>
      <c r="AV573" s="779"/>
      <c r="AW573" s="779"/>
      <c r="AX573" s="779"/>
      <c r="AY573" s="779"/>
      <c r="AZ573" s="779"/>
      <c r="BA573" s="779"/>
      <c r="BB573" s="779"/>
      <c r="BC573" s="779"/>
      <c r="BD573" s="779"/>
      <c r="BE573" s="779"/>
      <c r="BF573" s="779"/>
      <c r="BG573" s="779"/>
      <c r="BH573" s="779"/>
      <c r="BI573" s="779"/>
      <c r="BJ573" s="779"/>
      <c r="BK573" s="779"/>
      <c r="BL573" s="779"/>
      <c r="BM573" s="779"/>
      <c r="BN573" s="779"/>
      <c r="BO573" s="779"/>
      <c r="BP573" s="779"/>
      <c r="BQ573" s="779"/>
      <c r="BR573" s="779"/>
      <c r="BS573" s="779"/>
      <c r="BT573" s="779"/>
      <c r="BU573" s="779"/>
      <c r="BV573" s="779"/>
      <c r="BW573" s="779"/>
      <c r="BX573" s="779"/>
      <c r="BY573" s="779"/>
      <c r="BZ573" s="779"/>
      <c r="CA573" s="779"/>
      <c r="CB573" s="779"/>
      <c r="CC573" s="779"/>
    </row>
    <row r="574" spans="1:81">
      <c r="A574" s="779"/>
      <c r="B574" s="779"/>
      <c r="C574" s="779"/>
      <c r="D574" s="779"/>
      <c r="E574" s="779"/>
      <c r="F574" s="779"/>
      <c r="G574" s="779"/>
      <c r="H574" s="779"/>
      <c r="I574" s="779"/>
      <c r="J574" s="779"/>
      <c r="K574" s="779"/>
      <c r="L574" s="779"/>
      <c r="M574" s="779"/>
      <c r="N574" s="779"/>
      <c r="O574" s="779"/>
      <c r="P574" s="779"/>
      <c r="Q574" s="779"/>
      <c r="R574" s="779"/>
      <c r="S574" s="779"/>
      <c r="T574" s="779"/>
      <c r="U574" s="779"/>
      <c r="V574" s="779"/>
      <c r="W574" s="779"/>
      <c r="X574" s="779"/>
      <c r="Y574" s="779"/>
      <c r="Z574" s="779"/>
      <c r="AA574" s="779"/>
      <c r="AB574" s="779"/>
      <c r="AC574" s="779"/>
      <c r="AD574" s="779"/>
      <c r="AE574" s="779"/>
      <c r="AF574" s="779"/>
      <c r="AG574" s="779"/>
      <c r="AH574" s="779"/>
      <c r="AI574" s="779"/>
      <c r="AJ574" s="779"/>
      <c r="AK574" s="779"/>
      <c r="AL574" s="779"/>
      <c r="AM574" s="779"/>
      <c r="AN574" s="779"/>
      <c r="AO574" s="779"/>
      <c r="AP574" s="779"/>
      <c r="AQ574" s="779"/>
      <c r="AR574" s="779"/>
      <c r="AS574" s="779"/>
      <c r="AT574" s="779"/>
      <c r="AU574" s="779"/>
      <c r="AV574" s="779"/>
      <c r="AW574" s="779"/>
      <c r="AX574" s="779"/>
      <c r="AY574" s="779"/>
      <c r="AZ574" s="779"/>
      <c r="BA574" s="779"/>
      <c r="BB574" s="779"/>
      <c r="BC574" s="779"/>
      <c r="BD574" s="779"/>
      <c r="BE574" s="779"/>
      <c r="BF574" s="779"/>
      <c r="BG574" s="779"/>
      <c r="BH574" s="779"/>
      <c r="BI574" s="779"/>
      <c r="BJ574" s="779"/>
      <c r="BK574" s="779"/>
      <c r="BL574" s="779"/>
      <c r="BM574" s="779"/>
      <c r="BN574" s="779"/>
      <c r="BO574" s="779"/>
      <c r="BP574" s="779"/>
      <c r="BQ574" s="779"/>
      <c r="BR574" s="779"/>
      <c r="BS574" s="779"/>
      <c r="BT574" s="779"/>
      <c r="BU574" s="779"/>
      <c r="BV574" s="779"/>
      <c r="BW574" s="779"/>
      <c r="BX574" s="779"/>
      <c r="BY574" s="779"/>
      <c r="BZ574" s="779"/>
      <c r="CA574" s="779"/>
      <c r="CB574" s="779"/>
      <c r="CC574" s="779"/>
    </row>
    <row r="575" spans="1:81">
      <c r="A575" s="779"/>
      <c r="B575" s="779"/>
      <c r="C575" s="779"/>
      <c r="D575" s="779"/>
      <c r="E575" s="779"/>
      <c r="F575" s="779"/>
      <c r="G575" s="779"/>
      <c r="H575" s="779"/>
      <c r="I575" s="779"/>
      <c r="J575" s="779"/>
      <c r="K575" s="779"/>
      <c r="L575" s="779"/>
      <c r="M575" s="779"/>
      <c r="N575" s="779"/>
      <c r="O575" s="779"/>
      <c r="P575" s="779"/>
      <c r="Q575" s="779"/>
      <c r="R575" s="779"/>
      <c r="S575" s="779"/>
      <c r="T575" s="779"/>
      <c r="U575" s="779"/>
      <c r="V575" s="779"/>
      <c r="W575" s="779"/>
      <c r="X575" s="779"/>
      <c r="Y575" s="779"/>
      <c r="Z575" s="779"/>
      <c r="AA575" s="779"/>
      <c r="AB575" s="779"/>
      <c r="AC575" s="779"/>
      <c r="AD575" s="779"/>
      <c r="AE575" s="779"/>
      <c r="AF575" s="779"/>
      <c r="AG575" s="779"/>
      <c r="AH575" s="779"/>
      <c r="AI575" s="779"/>
      <c r="AJ575" s="779"/>
      <c r="AK575" s="779"/>
      <c r="AL575" s="779"/>
      <c r="AM575" s="779"/>
      <c r="AN575" s="779"/>
      <c r="AO575" s="779"/>
      <c r="AP575" s="779"/>
      <c r="AQ575" s="779"/>
      <c r="AR575" s="779"/>
      <c r="AS575" s="779"/>
      <c r="AT575" s="779"/>
      <c r="AU575" s="779"/>
      <c r="AV575" s="779"/>
      <c r="AW575" s="779"/>
      <c r="AX575" s="779"/>
      <c r="AY575" s="779"/>
      <c r="AZ575" s="779"/>
      <c r="BA575" s="779"/>
      <c r="BB575" s="779"/>
      <c r="BC575" s="779"/>
      <c r="BD575" s="779"/>
      <c r="BE575" s="779"/>
      <c r="BF575" s="779"/>
      <c r="BG575" s="779"/>
      <c r="BH575" s="779"/>
      <c r="BI575" s="779"/>
      <c r="BJ575" s="779"/>
      <c r="BK575" s="779"/>
      <c r="BL575" s="779"/>
      <c r="BM575" s="779"/>
      <c r="BN575" s="779"/>
      <c r="BO575" s="779"/>
      <c r="BP575" s="779"/>
      <c r="BQ575" s="779"/>
      <c r="BR575" s="779"/>
      <c r="BS575" s="779"/>
      <c r="BT575" s="779"/>
      <c r="BU575" s="779"/>
      <c r="BV575" s="779"/>
      <c r="BW575" s="779"/>
      <c r="BX575" s="779"/>
      <c r="BY575" s="779"/>
      <c r="BZ575" s="779"/>
      <c r="CA575" s="779"/>
      <c r="CB575" s="779"/>
      <c r="CC575" s="779"/>
    </row>
    <row r="576" spans="1:81">
      <c r="A576" s="779"/>
      <c r="B576" s="779"/>
      <c r="C576" s="779"/>
      <c r="D576" s="779"/>
      <c r="E576" s="779"/>
      <c r="F576" s="779"/>
      <c r="G576" s="779"/>
      <c r="H576" s="779"/>
      <c r="I576" s="779"/>
      <c r="J576" s="779"/>
      <c r="K576" s="779"/>
      <c r="L576" s="779"/>
      <c r="M576" s="779"/>
      <c r="N576" s="779"/>
      <c r="O576" s="779"/>
      <c r="P576" s="779"/>
      <c r="Q576" s="779"/>
      <c r="R576" s="779"/>
      <c r="S576" s="779"/>
      <c r="T576" s="779"/>
      <c r="U576" s="779"/>
      <c r="V576" s="779"/>
      <c r="W576" s="779"/>
      <c r="X576" s="779"/>
      <c r="Y576" s="779"/>
      <c r="Z576" s="779"/>
      <c r="AA576" s="779"/>
      <c r="AB576" s="779"/>
      <c r="AC576" s="779"/>
      <c r="AD576" s="779"/>
      <c r="AE576" s="779"/>
      <c r="AF576" s="779"/>
      <c r="AG576" s="779"/>
      <c r="AH576" s="779"/>
      <c r="AI576" s="779"/>
      <c r="AJ576" s="779"/>
      <c r="AK576" s="779"/>
      <c r="AL576" s="779"/>
      <c r="AM576" s="779"/>
      <c r="AN576" s="779"/>
      <c r="AO576" s="779"/>
      <c r="AP576" s="779"/>
      <c r="AQ576" s="779"/>
      <c r="AR576" s="779"/>
      <c r="AS576" s="779"/>
      <c r="AT576" s="779"/>
      <c r="AU576" s="779"/>
      <c r="AV576" s="779"/>
      <c r="AW576" s="779"/>
      <c r="AX576" s="779"/>
      <c r="AY576" s="779"/>
      <c r="AZ576" s="779"/>
      <c r="BA576" s="779"/>
      <c r="BB576" s="779"/>
      <c r="BC576" s="779"/>
      <c r="BD576" s="779"/>
      <c r="BE576" s="779"/>
      <c r="BF576" s="779"/>
      <c r="BG576" s="779"/>
      <c r="BH576" s="779"/>
      <c r="BI576" s="779"/>
      <c r="BJ576" s="779"/>
      <c r="BK576" s="779"/>
      <c r="BL576" s="779"/>
      <c r="BM576" s="779"/>
      <c r="BN576" s="779"/>
      <c r="BO576" s="779"/>
      <c r="BP576" s="779"/>
      <c r="BQ576" s="779"/>
      <c r="BR576" s="779"/>
      <c r="BS576" s="779"/>
      <c r="BT576" s="779"/>
      <c r="BU576" s="779"/>
      <c r="BV576" s="779"/>
      <c r="BW576" s="779"/>
      <c r="BX576" s="779"/>
      <c r="BY576" s="779"/>
      <c r="BZ576" s="779"/>
      <c r="CA576" s="779"/>
      <c r="CB576" s="779"/>
      <c r="CC576" s="779"/>
    </row>
    <row r="577" spans="1:81">
      <c r="A577" s="779"/>
      <c r="B577" s="779"/>
      <c r="C577" s="779"/>
      <c r="D577" s="779"/>
      <c r="E577" s="779"/>
      <c r="F577" s="779"/>
      <c r="G577" s="779"/>
      <c r="H577" s="779"/>
      <c r="I577" s="779"/>
      <c r="J577" s="779"/>
      <c r="K577" s="779"/>
      <c r="L577" s="779"/>
      <c r="M577" s="779"/>
      <c r="N577" s="779"/>
      <c r="O577" s="779"/>
      <c r="P577" s="779"/>
      <c r="Q577" s="779"/>
      <c r="R577" s="779"/>
      <c r="S577" s="779"/>
      <c r="T577" s="779"/>
      <c r="U577" s="779"/>
      <c r="V577" s="779"/>
      <c r="W577" s="779"/>
      <c r="X577" s="779"/>
      <c r="Y577" s="779"/>
      <c r="Z577" s="779"/>
      <c r="AA577" s="779"/>
      <c r="AB577" s="779"/>
      <c r="AC577" s="779"/>
      <c r="AD577" s="779"/>
      <c r="AE577" s="779"/>
      <c r="AF577" s="779"/>
      <c r="AG577" s="779"/>
      <c r="AH577" s="779"/>
      <c r="AI577" s="779"/>
      <c r="AJ577" s="779"/>
      <c r="AK577" s="779"/>
      <c r="AL577" s="779"/>
      <c r="AM577" s="779"/>
      <c r="AN577" s="779"/>
      <c r="AO577" s="779"/>
      <c r="AP577" s="779"/>
      <c r="AQ577" s="779"/>
      <c r="AR577" s="779"/>
      <c r="AS577" s="779"/>
      <c r="AT577" s="779"/>
      <c r="AU577" s="779"/>
      <c r="AV577" s="779"/>
      <c r="AW577" s="779"/>
      <c r="AX577" s="779"/>
      <c r="AY577" s="779"/>
      <c r="AZ577" s="779"/>
      <c r="BA577" s="779"/>
      <c r="BB577" s="779"/>
      <c r="BC577" s="779"/>
      <c r="BD577" s="779"/>
      <c r="BE577" s="779"/>
      <c r="BF577" s="779"/>
      <c r="BG577" s="779"/>
      <c r="BH577" s="779"/>
      <c r="BI577" s="779"/>
      <c r="BJ577" s="779"/>
      <c r="BK577" s="779"/>
      <c r="BL577" s="779"/>
      <c r="BM577" s="779"/>
      <c r="BN577" s="779"/>
      <c r="BO577" s="779"/>
      <c r="BP577" s="779"/>
      <c r="BQ577" s="779"/>
      <c r="BR577" s="779"/>
      <c r="BS577" s="779"/>
      <c r="BT577" s="779"/>
      <c r="BU577" s="779"/>
      <c r="BV577" s="779"/>
      <c r="BW577" s="779"/>
      <c r="BX577" s="779"/>
      <c r="BY577" s="779"/>
      <c r="BZ577" s="779"/>
      <c r="CA577" s="779"/>
      <c r="CB577" s="779"/>
      <c r="CC577" s="779"/>
    </row>
    <row r="578" spans="1:81">
      <c r="A578" s="779"/>
      <c r="B578" s="779"/>
      <c r="C578" s="779"/>
      <c r="D578" s="779"/>
      <c r="E578" s="779"/>
      <c r="F578" s="779"/>
      <c r="G578" s="779"/>
      <c r="H578" s="779"/>
      <c r="I578" s="779"/>
      <c r="J578" s="779"/>
      <c r="K578" s="779"/>
      <c r="L578" s="779"/>
      <c r="M578" s="779"/>
      <c r="N578" s="779"/>
      <c r="O578" s="779"/>
      <c r="P578" s="779"/>
      <c r="Q578" s="779"/>
      <c r="R578" s="779"/>
      <c r="S578" s="779"/>
      <c r="T578" s="779"/>
      <c r="U578" s="779"/>
      <c r="V578" s="779"/>
      <c r="W578" s="779"/>
      <c r="X578" s="779"/>
      <c r="Y578" s="779"/>
      <c r="Z578" s="779"/>
      <c r="AA578" s="779"/>
      <c r="AB578" s="779"/>
      <c r="AC578" s="779"/>
      <c r="AD578" s="779"/>
      <c r="AE578" s="779"/>
      <c r="AF578" s="779"/>
      <c r="AG578" s="779"/>
      <c r="AH578" s="779"/>
      <c r="AI578" s="779"/>
      <c r="AJ578" s="779"/>
      <c r="AK578" s="779"/>
      <c r="AL578" s="779"/>
      <c r="AM578" s="779"/>
      <c r="AN578" s="779"/>
      <c r="AO578" s="779"/>
      <c r="AP578" s="779"/>
      <c r="AQ578" s="779"/>
      <c r="AR578" s="779"/>
      <c r="AS578" s="779"/>
      <c r="AT578" s="779"/>
      <c r="AU578" s="779"/>
      <c r="AV578" s="779"/>
      <c r="AW578" s="779"/>
      <c r="AX578" s="779"/>
      <c r="AY578" s="779"/>
      <c r="AZ578" s="779"/>
      <c r="BA578" s="779"/>
      <c r="BB578" s="779"/>
      <c r="BC578" s="779"/>
      <c r="BD578" s="779"/>
      <c r="BE578" s="779"/>
      <c r="BF578" s="779"/>
      <c r="BG578" s="779"/>
      <c r="BH578" s="779"/>
      <c r="BI578" s="779"/>
      <c r="BJ578" s="779"/>
      <c r="BK578" s="779"/>
      <c r="BL578" s="779"/>
      <c r="BM578" s="779"/>
      <c r="BN578" s="779"/>
      <c r="BO578" s="779"/>
      <c r="BP578" s="779"/>
      <c r="BQ578" s="779"/>
      <c r="BR578" s="779"/>
      <c r="BS578" s="779"/>
      <c r="BT578" s="779"/>
      <c r="BU578" s="779"/>
      <c r="BV578" s="779"/>
      <c r="BW578" s="779"/>
      <c r="BX578" s="779"/>
      <c r="BY578" s="779"/>
      <c r="BZ578" s="779"/>
      <c r="CA578" s="779"/>
      <c r="CB578" s="779"/>
      <c r="CC578" s="779"/>
    </row>
    <row r="579" spans="1:81">
      <c r="A579" s="779"/>
      <c r="B579" s="779"/>
      <c r="C579" s="779"/>
      <c r="D579" s="779"/>
      <c r="E579" s="779"/>
      <c r="F579" s="779"/>
      <c r="G579" s="779"/>
      <c r="H579" s="779"/>
      <c r="I579" s="779"/>
      <c r="J579" s="779"/>
      <c r="K579" s="779"/>
      <c r="L579" s="779"/>
      <c r="M579" s="779"/>
      <c r="N579" s="779"/>
      <c r="O579" s="779"/>
      <c r="P579" s="779"/>
      <c r="Q579" s="779"/>
      <c r="R579" s="779"/>
      <c r="S579" s="779"/>
      <c r="T579" s="779"/>
      <c r="U579" s="779"/>
      <c r="V579" s="779"/>
      <c r="W579" s="779"/>
      <c r="X579" s="779"/>
      <c r="Y579" s="779"/>
      <c r="Z579" s="779"/>
      <c r="AA579" s="779"/>
      <c r="AB579" s="779"/>
      <c r="AC579" s="779"/>
      <c r="AD579" s="779"/>
      <c r="AE579" s="779"/>
      <c r="AF579" s="779"/>
      <c r="AG579" s="779"/>
      <c r="AH579" s="779"/>
      <c r="AI579" s="779"/>
      <c r="AJ579" s="779"/>
      <c r="AK579" s="779"/>
      <c r="AL579" s="779"/>
      <c r="AM579" s="779"/>
      <c r="AN579" s="779"/>
      <c r="AO579" s="779"/>
      <c r="AP579" s="779"/>
      <c r="AQ579" s="779"/>
      <c r="AR579" s="779"/>
      <c r="AS579" s="779"/>
      <c r="AT579" s="779"/>
      <c r="AU579" s="779"/>
      <c r="AV579" s="779"/>
      <c r="AW579" s="779"/>
      <c r="AX579" s="779"/>
      <c r="AY579" s="779"/>
      <c r="AZ579" s="779"/>
      <c r="BA579" s="779"/>
      <c r="BB579" s="779"/>
      <c r="BC579" s="779"/>
      <c r="BD579" s="779"/>
      <c r="BE579" s="779"/>
      <c r="BF579" s="779"/>
      <c r="BG579" s="779"/>
      <c r="BH579" s="779"/>
      <c r="BI579" s="779"/>
      <c r="BJ579" s="779"/>
      <c r="BK579" s="779"/>
      <c r="BL579" s="779"/>
      <c r="BM579" s="779"/>
      <c r="BN579" s="779"/>
      <c r="BO579" s="779"/>
      <c r="BP579" s="779"/>
      <c r="BQ579" s="779"/>
      <c r="BR579" s="779"/>
      <c r="BS579" s="779"/>
      <c r="BT579" s="779"/>
      <c r="BU579" s="779"/>
      <c r="BV579" s="779"/>
      <c r="BW579" s="779"/>
      <c r="BX579" s="779"/>
      <c r="BY579" s="779"/>
      <c r="BZ579" s="779"/>
      <c r="CA579" s="779"/>
      <c r="CB579" s="779"/>
      <c r="CC579" s="779"/>
    </row>
    <row r="580" spans="1:81">
      <c r="A580" s="779"/>
      <c r="B580" s="779"/>
      <c r="C580" s="779"/>
      <c r="D580" s="779"/>
      <c r="E580" s="779"/>
      <c r="F580" s="779"/>
      <c r="G580" s="779"/>
      <c r="H580" s="779"/>
      <c r="I580" s="779"/>
      <c r="J580" s="779"/>
      <c r="K580" s="779"/>
      <c r="L580" s="779"/>
      <c r="M580" s="779"/>
      <c r="N580" s="779"/>
      <c r="O580" s="779"/>
      <c r="P580" s="779"/>
      <c r="Q580" s="779"/>
      <c r="R580" s="779"/>
      <c r="S580" s="779"/>
      <c r="T580" s="779"/>
      <c r="U580" s="779"/>
      <c r="V580" s="779"/>
      <c r="W580" s="779"/>
      <c r="X580" s="779"/>
      <c r="Y580" s="779"/>
      <c r="Z580" s="779"/>
      <c r="AA580" s="779"/>
      <c r="AB580" s="779"/>
      <c r="AC580" s="779"/>
      <c r="AD580" s="779"/>
      <c r="AE580" s="779"/>
      <c r="AF580" s="779"/>
      <c r="AG580" s="779"/>
      <c r="AH580" s="779"/>
      <c r="AI580" s="779"/>
      <c r="AJ580" s="779"/>
      <c r="AK580" s="779"/>
      <c r="AL580" s="779"/>
      <c r="AM580" s="779"/>
      <c r="AN580" s="779"/>
      <c r="AO580" s="779"/>
      <c r="AP580" s="779"/>
      <c r="AQ580" s="779"/>
      <c r="AR580" s="779"/>
      <c r="AS580" s="779"/>
      <c r="AT580" s="779"/>
      <c r="AU580" s="779"/>
      <c r="AV580" s="779"/>
      <c r="AW580" s="779"/>
      <c r="AX580" s="779"/>
      <c r="AY580" s="779"/>
      <c r="AZ580" s="779"/>
      <c r="BA580" s="779"/>
      <c r="BB580" s="779"/>
      <c r="BC580" s="779"/>
      <c r="BD580" s="779"/>
      <c r="BE580" s="779"/>
      <c r="BF580" s="779"/>
      <c r="BG580" s="779"/>
      <c r="BH580" s="779"/>
      <c r="BI580" s="779"/>
      <c r="BJ580" s="779"/>
      <c r="BK580" s="779"/>
      <c r="BL580" s="779"/>
      <c r="BM580" s="779"/>
      <c r="BN580" s="779"/>
      <c r="BO580" s="779"/>
      <c r="BP580" s="779"/>
      <c r="BQ580" s="779"/>
      <c r="BR580" s="779"/>
      <c r="BS580" s="779"/>
      <c r="BT580" s="779"/>
      <c r="BU580" s="779"/>
      <c r="BV580" s="779"/>
      <c r="BW580" s="779"/>
      <c r="BX580" s="779"/>
      <c r="BY580" s="779"/>
      <c r="BZ580" s="779"/>
      <c r="CA580" s="779"/>
      <c r="CB580" s="779"/>
      <c r="CC580" s="779"/>
    </row>
    <row r="581" spans="1:81">
      <c r="A581" s="779"/>
      <c r="B581" s="779"/>
      <c r="C581" s="779"/>
      <c r="D581" s="779"/>
      <c r="E581" s="779"/>
      <c r="F581" s="779"/>
      <c r="G581" s="779"/>
      <c r="H581" s="779"/>
      <c r="I581" s="779"/>
      <c r="J581" s="779"/>
      <c r="K581" s="779"/>
      <c r="L581" s="779"/>
      <c r="M581" s="779"/>
      <c r="N581" s="779"/>
      <c r="O581" s="779"/>
      <c r="P581" s="779"/>
      <c r="Q581" s="779"/>
      <c r="R581" s="779"/>
      <c r="S581" s="779"/>
      <c r="T581" s="779"/>
      <c r="U581" s="779"/>
      <c r="V581" s="779"/>
      <c r="W581" s="779"/>
      <c r="X581" s="779"/>
      <c r="Y581" s="779"/>
      <c r="Z581" s="779"/>
      <c r="AA581" s="779"/>
      <c r="AB581" s="779"/>
      <c r="AC581" s="779"/>
      <c r="AD581" s="779"/>
      <c r="AE581" s="779"/>
      <c r="AF581" s="779"/>
      <c r="AG581" s="779"/>
      <c r="AH581" s="779"/>
      <c r="AI581" s="779"/>
      <c r="AJ581" s="779"/>
      <c r="AK581" s="779"/>
      <c r="AL581" s="779"/>
      <c r="AM581" s="779"/>
      <c r="AN581" s="779"/>
      <c r="AO581" s="779"/>
      <c r="AP581" s="779"/>
      <c r="AQ581" s="779"/>
      <c r="AR581" s="779"/>
      <c r="AS581" s="779"/>
      <c r="AT581" s="779"/>
      <c r="AU581" s="779"/>
      <c r="AV581" s="779"/>
      <c r="AW581" s="779"/>
      <c r="AX581" s="779"/>
      <c r="AY581" s="779"/>
      <c r="AZ581" s="779"/>
      <c r="BA581" s="779"/>
      <c r="BB581" s="779"/>
      <c r="BC581" s="779"/>
      <c r="BD581" s="779"/>
      <c r="BE581" s="779"/>
      <c r="BF581" s="779"/>
      <c r="BG581" s="779"/>
      <c r="BH581" s="779"/>
      <c r="BI581" s="779"/>
      <c r="BJ581" s="779"/>
      <c r="BK581" s="779"/>
      <c r="BL581" s="779"/>
      <c r="BM581" s="779"/>
      <c r="BN581" s="779"/>
      <c r="BO581" s="779"/>
      <c r="BP581" s="779"/>
      <c r="BQ581" s="779"/>
      <c r="BR581" s="779"/>
      <c r="BS581" s="779"/>
      <c r="BT581" s="779"/>
      <c r="BU581" s="779"/>
      <c r="BV581" s="779"/>
      <c r="BW581" s="779"/>
      <c r="BX581" s="779"/>
      <c r="BY581" s="779"/>
      <c r="BZ581" s="779"/>
      <c r="CA581" s="779"/>
      <c r="CB581" s="779"/>
      <c r="CC581" s="779"/>
    </row>
    <row r="582" spans="1:81">
      <c r="A582" s="779"/>
      <c r="B582" s="779"/>
      <c r="C582" s="779"/>
      <c r="D582" s="779"/>
      <c r="E582" s="779"/>
      <c r="F582" s="779"/>
      <c r="G582" s="779"/>
      <c r="H582" s="779"/>
      <c r="I582" s="779"/>
      <c r="J582" s="779"/>
      <c r="K582" s="779"/>
      <c r="L582" s="779"/>
      <c r="M582" s="779"/>
      <c r="N582" s="779"/>
      <c r="O582" s="779"/>
      <c r="P582" s="779"/>
      <c r="Q582" s="779"/>
      <c r="R582" s="779"/>
      <c r="S582" s="779"/>
      <c r="T582" s="779"/>
      <c r="U582" s="779"/>
      <c r="V582" s="779"/>
      <c r="W582" s="779"/>
      <c r="X582" s="779"/>
      <c r="Y582" s="779"/>
      <c r="Z582" s="779"/>
      <c r="AA582" s="779"/>
      <c r="AB582" s="779"/>
      <c r="AC582" s="779"/>
      <c r="AD582" s="779"/>
      <c r="AE582" s="779"/>
      <c r="AF582" s="779"/>
      <c r="AG582" s="779"/>
      <c r="AH582" s="779"/>
      <c r="AI582" s="779"/>
      <c r="AJ582" s="779"/>
      <c r="AK582" s="779"/>
      <c r="AL582" s="779"/>
      <c r="AM582" s="779"/>
      <c r="AN582" s="779"/>
      <c r="AO582" s="779"/>
      <c r="AP582" s="779"/>
      <c r="AQ582" s="779"/>
      <c r="AR582" s="779"/>
      <c r="AS582" s="779"/>
      <c r="AT582" s="779"/>
      <c r="AU582" s="779"/>
      <c r="AV582" s="779"/>
      <c r="AW582" s="779"/>
      <c r="AX582" s="779"/>
      <c r="AY582" s="779"/>
      <c r="AZ582" s="779"/>
      <c r="BA582" s="779"/>
      <c r="BB582" s="779"/>
      <c r="BC582" s="779"/>
      <c r="BD582" s="779"/>
      <c r="BE582" s="779"/>
      <c r="BF582" s="779"/>
      <c r="BG582" s="779"/>
      <c r="BH582" s="779"/>
      <c r="BI582" s="779"/>
      <c r="BJ582" s="779"/>
      <c r="BK582" s="779"/>
      <c r="BL582" s="779"/>
      <c r="BM582" s="779"/>
      <c r="BN582" s="779"/>
      <c r="BO582" s="779"/>
      <c r="BP582" s="779"/>
      <c r="BQ582" s="779"/>
      <c r="BR582" s="779"/>
      <c r="BS582" s="779"/>
      <c r="BT582" s="779"/>
      <c r="BU582" s="779"/>
      <c r="BV582" s="779"/>
      <c r="BW582" s="779"/>
      <c r="BX582" s="779"/>
      <c r="BY582" s="779"/>
      <c r="BZ582" s="779"/>
      <c r="CA582" s="779"/>
      <c r="CB582" s="779"/>
      <c r="CC582" s="779"/>
    </row>
    <row r="583" spans="1:81">
      <c r="A583" s="779"/>
      <c r="B583" s="779"/>
      <c r="C583" s="779"/>
      <c r="D583" s="779"/>
      <c r="E583" s="779"/>
      <c r="F583" s="779"/>
      <c r="G583" s="779"/>
      <c r="H583" s="779"/>
      <c r="I583" s="779"/>
      <c r="J583" s="779"/>
      <c r="K583" s="779"/>
      <c r="L583" s="779"/>
      <c r="M583" s="779"/>
      <c r="N583" s="779"/>
      <c r="O583" s="779"/>
      <c r="P583" s="779"/>
      <c r="Q583" s="779"/>
      <c r="R583" s="779"/>
      <c r="S583" s="779"/>
      <c r="T583" s="779"/>
      <c r="U583" s="779"/>
      <c r="V583" s="779"/>
      <c r="W583" s="779"/>
      <c r="X583" s="779"/>
      <c r="Y583" s="779"/>
      <c r="Z583" s="779"/>
      <c r="AA583" s="779"/>
      <c r="AB583" s="779"/>
      <c r="AC583" s="779"/>
      <c r="AD583" s="779"/>
      <c r="AE583" s="779"/>
      <c r="AF583" s="779"/>
      <c r="AG583" s="779"/>
      <c r="AH583" s="779"/>
      <c r="AI583" s="779"/>
      <c r="AJ583" s="779"/>
      <c r="AK583" s="779"/>
      <c r="AL583" s="779"/>
      <c r="AM583" s="779"/>
      <c r="AN583" s="779"/>
      <c r="AO583" s="779"/>
      <c r="AP583" s="779"/>
      <c r="AQ583" s="779"/>
      <c r="AR583" s="779"/>
      <c r="AS583" s="779"/>
      <c r="AT583" s="779"/>
      <c r="AU583" s="779"/>
      <c r="AV583" s="779"/>
      <c r="AW583" s="779"/>
      <c r="AX583" s="779"/>
      <c r="AY583" s="779"/>
      <c r="AZ583" s="779"/>
      <c r="BA583" s="779"/>
      <c r="BB583" s="779"/>
      <c r="BC583" s="779"/>
      <c r="BD583" s="779"/>
      <c r="BE583" s="779"/>
      <c r="BF583" s="779"/>
      <c r="BG583" s="779"/>
      <c r="BH583" s="779"/>
      <c r="BI583" s="779"/>
      <c r="BJ583" s="779"/>
      <c r="BK583" s="779"/>
      <c r="BL583" s="779"/>
      <c r="BM583" s="779"/>
      <c r="BN583" s="779"/>
      <c r="BO583" s="779"/>
      <c r="BP583" s="779"/>
      <c r="BQ583" s="779"/>
      <c r="BR583" s="779"/>
      <c r="BS583" s="779"/>
      <c r="BT583" s="779"/>
      <c r="BU583" s="779"/>
      <c r="BV583" s="779"/>
      <c r="BW583" s="779"/>
      <c r="BX583" s="779"/>
      <c r="BY583" s="779"/>
      <c r="BZ583" s="779"/>
      <c r="CA583" s="779"/>
      <c r="CB583" s="779"/>
      <c r="CC583" s="779"/>
    </row>
    <row r="584" spans="1:81">
      <c r="A584" s="779"/>
      <c r="B584" s="779"/>
      <c r="C584" s="779"/>
      <c r="D584" s="779"/>
      <c r="E584" s="779"/>
      <c r="F584" s="779"/>
      <c r="G584" s="779"/>
      <c r="H584" s="779"/>
      <c r="I584" s="779"/>
      <c r="J584" s="779"/>
      <c r="K584" s="779"/>
      <c r="L584" s="779"/>
      <c r="M584" s="779"/>
      <c r="N584" s="779"/>
      <c r="O584" s="779"/>
      <c r="P584" s="779"/>
      <c r="Q584" s="779"/>
      <c r="R584" s="779"/>
      <c r="S584" s="779"/>
      <c r="T584" s="779"/>
      <c r="U584" s="779"/>
      <c r="V584" s="779"/>
      <c r="W584" s="779"/>
      <c r="X584" s="779"/>
      <c r="Y584" s="779"/>
      <c r="Z584" s="779"/>
      <c r="AA584" s="779"/>
      <c r="AB584" s="779"/>
      <c r="AC584" s="779"/>
      <c r="AD584" s="779"/>
      <c r="AE584" s="779"/>
      <c r="AF584" s="779"/>
      <c r="AG584" s="779"/>
      <c r="AH584" s="779"/>
      <c r="AI584" s="779"/>
      <c r="AJ584" s="779"/>
      <c r="AK584" s="779"/>
      <c r="AL584" s="779"/>
      <c r="AM584" s="779"/>
      <c r="AN584" s="779"/>
      <c r="AO584" s="779"/>
      <c r="AP584" s="779"/>
      <c r="AQ584" s="779"/>
      <c r="AR584" s="779"/>
      <c r="AS584" s="779"/>
      <c r="AT584" s="779"/>
      <c r="AU584" s="779"/>
      <c r="AV584" s="779"/>
      <c r="AW584" s="779"/>
      <c r="AX584" s="779"/>
      <c r="AY584" s="779"/>
      <c r="AZ584" s="779"/>
      <c r="BA584" s="779"/>
      <c r="BB584" s="779"/>
      <c r="BC584" s="779"/>
      <c r="BD584" s="779"/>
      <c r="BE584" s="779"/>
      <c r="BF584" s="779"/>
      <c r="BG584" s="779"/>
      <c r="BH584" s="779"/>
      <c r="BI584" s="779"/>
      <c r="BJ584" s="779"/>
      <c r="BK584" s="779"/>
      <c r="BL584" s="779"/>
      <c r="BM584" s="779"/>
      <c r="BN584" s="779"/>
      <c r="BO584" s="779"/>
      <c r="BP584" s="779"/>
      <c r="BQ584" s="779"/>
      <c r="BR584" s="779"/>
      <c r="BS584" s="779"/>
      <c r="BT584" s="779"/>
      <c r="BU584" s="779"/>
      <c r="BV584" s="779"/>
      <c r="BW584" s="779"/>
      <c r="BX584" s="779"/>
      <c r="BY584" s="779"/>
      <c r="BZ584" s="779"/>
      <c r="CA584" s="779"/>
      <c r="CB584" s="779"/>
      <c r="CC584" s="779"/>
    </row>
    <row r="585" spans="1:81">
      <c r="A585" s="779"/>
      <c r="B585" s="779"/>
      <c r="C585" s="779"/>
      <c r="D585" s="779"/>
      <c r="E585" s="779"/>
      <c r="F585" s="779"/>
      <c r="G585" s="779"/>
      <c r="H585" s="779"/>
      <c r="I585" s="779"/>
      <c r="J585" s="779"/>
      <c r="K585" s="779"/>
      <c r="L585" s="779"/>
      <c r="M585" s="779"/>
      <c r="N585" s="779"/>
      <c r="O585" s="779"/>
      <c r="P585" s="779"/>
      <c r="Q585" s="779"/>
      <c r="R585" s="779"/>
      <c r="S585" s="779"/>
      <c r="T585" s="779"/>
      <c r="U585" s="779"/>
      <c r="V585" s="779"/>
      <c r="W585" s="779"/>
      <c r="X585" s="779"/>
      <c r="Y585" s="779"/>
      <c r="Z585" s="779"/>
      <c r="AA585" s="779"/>
      <c r="AB585" s="779"/>
      <c r="AC585" s="779"/>
      <c r="AD585" s="779"/>
      <c r="AE585" s="779"/>
      <c r="AF585" s="779"/>
      <c r="AG585" s="779"/>
      <c r="AH585" s="779"/>
      <c r="AI585" s="779"/>
      <c r="AJ585" s="779"/>
      <c r="AK585" s="779"/>
      <c r="AL585" s="779"/>
      <c r="AM585" s="779"/>
      <c r="AN585" s="779"/>
      <c r="AO585" s="779"/>
      <c r="AP585" s="779"/>
      <c r="AQ585" s="779"/>
      <c r="AR585" s="779"/>
      <c r="AS585" s="779"/>
      <c r="AT585" s="779"/>
      <c r="AU585" s="779"/>
      <c r="AV585" s="779"/>
      <c r="AW585" s="779"/>
      <c r="AX585" s="779"/>
      <c r="AY585" s="779"/>
      <c r="AZ585" s="779"/>
      <c r="BA585" s="779"/>
      <c r="BB585" s="779"/>
      <c r="BC585" s="779"/>
      <c r="BD585" s="779"/>
      <c r="BE585" s="779"/>
      <c r="BF585" s="779"/>
      <c r="BG585" s="779"/>
      <c r="BH585" s="779"/>
      <c r="BI585" s="779"/>
      <c r="BJ585" s="779"/>
      <c r="BK585" s="779"/>
      <c r="BL585" s="779"/>
      <c r="BM585" s="779"/>
      <c r="BN585" s="779"/>
      <c r="BO585" s="779"/>
      <c r="BP585" s="779"/>
      <c r="BQ585" s="779"/>
      <c r="BR585" s="779"/>
      <c r="BS585" s="779"/>
      <c r="BT585" s="779"/>
      <c r="BU585" s="779"/>
      <c r="BV585" s="779"/>
      <c r="BW585" s="779"/>
      <c r="BX585" s="779"/>
      <c r="BY585" s="779"/>
      <c r="BZ585" s="779"/>
      <c r="CA585" s="779"/>
      <c r="CB585" s="779"/>
      <c r="CC585" s="779"/>
    </row>
    <row r="586" spans="1:81">
      <c r="A586" s="779"/>
      <c r="B586" s="779"/>
      <c r="C586" s="779"/>
      <c r="D586" s="779"/>
      <c r="E586" s="779"/>
      <c r="F586" s="779"/>
      <c r="G586" s="779"/>
      <c r="H586" s="779"/>
      <c r="I586" s="779"/>
      <c r="J586" s="779"/>
      <c r="K586" s="779"/>
      <c r="L586" s="779"/>
      <c r="M586" s="779"/>
      <c r="N586" s="779"/>
      <c r="O586" s="779"/>
      <c r="P586" s="779"/>
      <c r="Q586" s="779"/>
      <c r="R586" s="779"/>
      <c r="S586" s="779"/>
      <c r="T586" s="779"/>
      <c r="U586" s="779"/>
      <c r="V586" s="779"/>
      <c r="W586" s="779"/>
      <c r="X586" s="779"/>
      <c r="Y586" s="779"/>
      <c r="Z586" s="779"/>
      <c r="AA586" s="779"/>
      <c r="AB586" s="779"/>
      <c r="AC586" s="779"/>
      <c r="AD586" s="779"/>
      <c r="AE586" s="779"/>
      <c r="AF586" s="779"/>
      <c r="AG586" s="779"/>
      <c r="AH586" s="779"/>
      <c r="AI586" s="779"/>
      <c r="AJ586" s="779"/>
      <c r="AK586" s="779"/>
      <c r="AL586" s="779"/>
      <c r="AM586" s="779"/>
      <c r="AN586" s="779"/>
      <c r="AO586" s="779"/>
      <c r="AP586" s="779"/>
      <c r="AQ586" s="779"/>
      <c r="AR586" s="779"/>
      <c r="AS586" s="779"/>
      <c r="AT586" s="779"/>
      <c r="AU586" s="779"/>
      <c r="AV586" s="779"/>
      <c r="AW586" s="779"/>
      <c r="AX586" s="779"/>
      <c r="AY586" s="779"/>
      <c r="AZ586" s="779"/>
      <c r="BA586" s="779"/>
      <c r="BB586" s="779"/>
      <c r="BC586" s="779"/>
      <c r="BD586" s="779"/>
      <c r="BE586" s="779"/>
      <c r="BF586" s="779"/>
      <c r="BG586" s="779"/>
      <c r="BH586" s="779"/>
      <c r="BI586" s="779"/>
      <c r="BJ586" s="779"/>
      <c r="BK586" s="779"/>
      <c r="BL586" s="779"/>
      <c r="BM586" s="779"/>
      <c r="BN586" s="779"/>
      <c r="BO586" s="779"/>
      <c r="BP586" s="779"/>
      <c r="BQ586" s="779"/>
      <c r="BR586" s="779"/>
      <c r="BS586" s="779"/>
      <c r="BT586" s="779"/>
      <c r="BU586" s="779"/>
      <c r="BV586" s="779"/>
      <c r="BW586" s="779"/>
      <c r="BX586" s="779"/>
      <c r="BY586" s="779"/>
      <c r="BZ586" s="779"/>
      <c r="CA586" s="779"/>
      <c r="CB586" s="779"/>
      <c r="CC586" s="779"/>
    </row>
    <row r="587" spans="1:81">
      <c r="A587" s="779"/>
      <c r="B587" s="779"/>
      <c r="C587" s="779"/>
      <c r="D587" s="779"/>
      <c r="E587" s="779"/>
      <c r="F587" s="779"/>
      <c r="G587" s="779"/>
      <c r="H587" s="779"/>
      <c r="I587" s="779"/>
      <c r="J587" s="779"/>
      <c r="K587" s="779"/>
      <c r="L587" s="779"/>
      <c r="M587" s="779"/>
      <c r="N587" s="779"/>
      <c r="O587" s="779"/>
      <c r="P587" s="779"/>
      <c r="Q587" s="779"/>
      <c r="R587" s="779"/>
      <c r="S587" s="779"/>
      <c r="T587" s="779"/>
      <c r="U587" s="779"/>
      <c r="V587" s="779"/>
      <c r="W587" s="779"/>
      <c r="X587" s="779"/>
      <c r="Y587" s="779"/>
      <c r="Z587" s="779"/>
      <c r="AA587" s="779"/>
      <c r="AB587" s="779"/>
      <c r="AC587" s="779"/>
      <c r="AD587" s="779"/>
      <c r="AE587" s="779"/>
      <c r="AF587" s="779"/>
      <c r="AG587" s="779"/>
      <c r="AH587" s="779"/>
      <c r="AI587" s="779"/>
      <c r="AJ587" s="779"/>
      <c r="AK587" s="779"/>
      <c r="AL587" s="779"/>
      <c r="AM587" s="779"/>
      <c r="AN587" s="779"/>
      <c r="AO587" s="779"/>
      <c r="AP587" s="779"/>
      <c r="AQ587" s="779"/>
      <c r="AR587" s="779"/>
      <c r="AS587" s="779"/>
      <c r="AT587" s="779"/>
      <c r="AU587" s="779"/>
      <c r="AV587" s="779"/>
      <c r="AW587" s="779"/>
      <c r="AX587" s="779"/>
      <c r="AY587" s="779"/>
      <c r="AZ587" s="779"/>
      <c r="BA587" s="779"/>
      <c r="BB587" s="779"/>
      <c r="BC587" s="779"/>
      <c r="BD587" s="779"/>
      <c r="BE587" s="779"/>
      <c r="BF587" s="779"/>
      <c r="BG587" s="779"/>
      <c r="BH587" s="779"/>
      <c r="BI587" s="779"/>
      <c r="BJ587" s="779"/>
      <c r="BK587" s="779"/>
      <c r="BL587" s="779"/>
      <c r="BM587" s="779"/>
      <c r="BN587" s="779"/>
      <c r="BO587" s="779"/>
      <c r="BP587" s="779"/>
      <c r="BQ587" s="779"/>
      <c r="BR587" s="779"/>
      <c r="BS587" s="779"/>
      <c r="BT587" s="779"/>
      <c r="BU587" s="779"/>
      <c r="BV587" s="779"/>
      <c r="BW587" s="779"/>
      <c r="BX587" s="779"/>
      <c r="BY587" s="779"/>
      <c r="BZ587" s="779"/>
      <c r="CA587" s="779"/>
      <c r="CB587" s="779"/>
      <c r="CC587" s="779"/>
    </row>
    <row r="588" spans="1:81">
      <c r="A588" s="779"/>
      <c r="B588" s="779"/>
      <c r="C588" s="779"/>
      <c r="D588" s="779"/>
      <c r="E588" s="779"/>
      <c r="F588" s="779"/>
      <c r="G588" s="779"/>
      <c r="H588" s="779"/>
      <c r="I588" s="779"/>
      <c r="J588" s="779"/>
      <c r="K588" s="779"/>
      <c r="L588" s="779"/>
      <c r="M588" s="779"/>
      <c r="N588" s="779"/>
      <c r="O588" s="779"/>
      <c r="P588" s="779"/>
      <c r="Q588" s="779"/>
      <c r="R588" s="779"/>
      <c r="S588" s="779"/>
      <c r="T588" s="779"/>
      <c r="U588" s="779"/>
      <c r="V588" s="779"/>
      <c r="W588" s="779"/>
      <c r="X588" s="779"/>
      <c r="Y588" s="779"/>
      <c r="Z588" s="779"/>
      <c r="AA588" s="779"/>
      <c r="AB588" s="779"/>
      <c r="AC588" s="779"/>
      <c r="AD588" s="779"/>
      <c r="AE588" s="779"/>
      <c r="AF588" s="779"/>
      <c r="AG588" s="779"/>
      <c r="AH588" s="779"/>
      <c r="AI588" s="779"/>
      <c r="AJ588" s="779"/>
      <c r="AK588" s="779"/>
      <c r="AL588" s="779"/>
      <c r="AM588" s="779"/>
      <c r="AN588" s="779"/>
      <c r="AO588" s="779"/>
      <c r="AP588" s="779"/>
      <c r="AQ588" s="779"/>
      <c r="AR588" s="779"/>
      <c r="AS588" s="779"/>
      <c r="AT588" s="779"/>
      <c r="AU588" s="779"/>
      <c r="AV588" s="779"/>
      <c r="AW588" s="779"/>
      <c r="AX588" s="779"/>
      <c r="AY588" s="779"/>
      <c r="AZ588" s="779"/>
      <c r="BA588" s="779"/>
      <c r="BB588" s="779"/>
      <c r="BC588" s="779"/>
      <c r="BD588" s="779"/>
      <c r="BE588" s="779"/>
      <c r="BF588" s="779"/>
      <c r="BG588" s="779"/>
      <c r="BH588" s="779"/>
      <c r="BI588" s="779"/>
      <c r="BJ588" s="779"/>
      <c r="BK588" s="779"/>
      <c r="BL588" s="779"/>
      <c r="BM588" s="779"/>
      <c r="BN588" s="779"/>
      <c r="BO588" s="779"/>
      <c r="BP588" s="779"/>
      <c r="BQ588" s="779"/>
      <c r="BR588" s="779"/>
      <c r="BS588" s="779"/>
      <c r="BT588" s="779"/>
      <c r="BU588" s="779"/>
      <c r="BV588" s="779"/>
      <c r="BW588" s="779"/>
      <c r="BX588" s="779"/>
      <c r="BY588" s="779"/>
      <c r="BZ588" s="779"/>
      <c r="CA588" s="779"/>
      <c r="CB588" s="779"/>
      <c r="CC588" s="779"/>
    </row>
    <row r="589" spans="1:81">
      <c r="A589" s="779"/>
      <c r="B589" s="779"/>
      <c r="C589" s="779"/>
      <c r="D589" s="779"/>
      <c r="E589" s="779"/>
      <c r="F589" s="779"/>
      <c r="G589" s="779"/>
      <c r="H589" s="779"/>
      <c r="I589" s="779"/>
      <c r="J589" s="779"/>
      <c r="K589" s="779"/>
      <c r="L589" s="779"/>
      <c r="M589" s="779"/>
      <c r="N589" s="779"/>
      <c r="O589" s="779"/>
      <c r="P589" s="779"/>
      <c r="Q589" s="779"/>
      <c r="R589" s="779"/>
      <c r="S589" s="779"/>
      <c r="T589" s="779"/>
      <c r="U589" s="779"/>
      <c r="V589" s="779"/>
      <c r="W589" s="779"/>
      <c r="X589" s="779"/>
      <c r="Y589" s="779"/>
      <c r="Z589" s="779"/>
      <c r="AA589" s="779"/>
      <c r="AB589" s="779"/>
      <c r="AC589" s="779"/>
      <c r="AD589" s="779"/>
      <c r="AE589" s="779"/>
      <c r="AF589" s="779"/>
      <c r="AG589" s="779"/>
      <c r="AH589" s="779"/>
      <c r="AI589" s="779"/>
      <c r="AJ589" s="779"/>
      <c r="AK589" s="779"/>
      <c r="AL589" s="779"/>
      <c r="AM589" s="779"/>
      <c r="AN589" s="779"/>
      <c r="AO589" s="779"/>
      <c r="AP589" s="779"/>
      <c r="AQ589" s="779"/>
      <c r="AR589" s="779"/>
      <c r="AS589" s="779"/>
      <c r="AT589" s="779"/>
      <c r="AU589" s="779"/>
      <c r="AV589" s="779"/>
      <c r="AW589" s="779"/>
      <c r="AX589" s="779"/>
      <c r="AY589" s="779"/>
      <c r="AZ589" s="779"/>
      <c r="BA589" s="779"/>
      <c r="BB589" s="779"/>
      <c r="BC589" s="779"/>
      <c r="BD589" s="779"/>
      <c r="BE589" s="779"/>
      <c r="BF589" s="779"/>
      <c r="BG589" s="779"/>
      <c r="BH589" s="779"/>
      <c r="BI589" s="779"/>
      <c r="BJ589" s="779"/>
      <c r="BK589" s="779"/>
      <c r="BL589" s="779"/>
      <c r="BM589" s="779"/>
      <c r="BN589" s="779"/>
      <c r="BO589" s="779"/>
      <c r="BP589" s="779"/>
      <c r="BQ589" s="779"/>
      <c r="BR589" s="779"/>
      <c r="BS589" s="779"/>
      <c r="BT589" s="779"/>
      <c r="BU589" s="779"/>
      <c r="BV589" s="779"/>
      <c r="BW589" s="779"/>
      <c r="BX589" s="779"/>
      <c r="BY589" s="779"/>
      <c r="BZ589" s="779"/>
      <c r="CA589" s="779"/>
      <c r="CB589" s="779"/>
      <c r="CC589" s="779"/>
    </row>
    <row r="590" spans="1:81">
      <c r="A590" s="779"/>
      <c r="B590" s="779"/>
      <c r="C590" s="779"/>
      <c r="D590" s="779"/>
      <c r="E590" s="779"/>
      <c r="F590" s="779"/>
      <c r="G590" s="779"/>
      <c r="H590" s="779"/>
      <c r="I590" s="779"/>
      <c r="J590" s="779"/>
      <c r="K590" s="779"/>
      <c r="L590" s="779"/>
      <c r="M590" s="779"/>
      <c r="N590" s="779"/>
      <c r="O590" s="779"/>
      <c r="P590" s="779"/>
      <c r="Q590" s="779"/>
      <c r="R590" s="779"/>
      <c r="S590" s="779"/>
      <c r="T590" s="779"/>
      <c r="U590" s="779"/>
      <c r="V590" s="779"/>
      <c r="W590" s="779"/>
      <c r="X590" s="779"/>
      <c r="Y590" s="779"/>
      <c r="Z590" s="779"/>
      <c r="AA590" s="779"/>
      <c r="AB590" s="779"/>
      <c r="AC590" s="779"/>
      <c r="AD590" s="779"/>
      <c r="AE590" s="779"/>
      <c r="AF590" s="779"/>
      <c r="AG590" s="779"/>
      <c r="AH590" s="779"/>
      <c r="AI590" s="779"/>
      <c r="AJ590" s="779"/>
      <c r="AK590" s="779"/>
      <c r="AL590" s="779"/>
      <c r="AM590" s="779"/>
      <c r="AN590" s="779"/>
      <c r="AO590" s="779"/>
      <c r="AP590" s="779"/>
      <c r="AQ590" s="779"/>
      <c r="AR590" s="779"/>
      <c r="AS590" s="779"/>
      <c r="AT590" s="779"/>
      <c r="AU590" s="779"/>
      <c r="AV590" s="779"/>
      <c r="AW590" s="779"/>
      <c r="AX590" s="779"/>
      <c r="AY590" s="779"/>
      <c r="AZ590" s="779"/>
      <c r="BA590" s="779"/>
      <c r="BB590" s="779"/>
      <c r="BC590" s="779"/>
      <c r="BD590" s="779"/>
      <c r="BE590" s="779"/>
      <c r="BF590" s="779"/>
      <c r="BG590" s="779"/>
      <c r="BH590" s="779"/>
      <c r="BI590" s="779"/>
      <c r="BJ590" s="779"/>
      <c r="BK590" s="779"/>
      <c r="BL590" s="779"/>
      <c r="BM590" s="779"/>
      <c r="BN590" s="779"/>
      <c r="BO590" s="779"/>
      <c r="BP590" s="779"/>
      <c r="BQ590" s="779"/>
      <c r="BR590" s="779"/>
      <c r="BS590" s="779"/>
      <c r="BT590" s="779"/>
      <c r="BU590" s="779"/>
      <c r="BV590" s="779"/>
      <c r="BW590" s="779"/>
      <c r="BX590" s="779"/>
      <c r="BY590" s="779"/>
      <c r="BZ590" s="779"/>
      <c r="CA590" s="779"/>
      <c r="CB590" s="779"/>
      <c r="CC590" s="779"/>
    </row>
    <row r="591" spans="1:81">
      <c r="A591" s="779"/>
      <c r="B591" s="779"/>
      <c r="C591" s="779"/>
      <c r="D591" s="779"/>
      <c r="E591" s="779"/>
      <c r="F591" s="779"/>
      <c r="G591" s="779"/>
      <c r="H591" s="779"/>
      <c r="I591" s="779"/>
      <c r="J591" s="779"/>
      <c r="K591" s="779"/>
      <c r="L591" s="779"/>
      <c r="M591" s="779"/>
      <c r="N591" s="779"/>
      <c r="O591" s="779"/>
      <c r="P591" s="779"/>
      <c r="Q591" s="779"/>
      <c r="R591" s="779"/>
      <c r="S591" s="779"/>
      <c r="T591" s="779"/>
      <c r="U591" s="779"/>
      <c r="V591" s="779"/>
      <c r="W591" s="779"/>
      <c r="X591" s="779"/>
      <c r="Y591" s="779"/>
      <c r="Z591" s="779"/>
      <c r="AA591" s="779"/>
      <c r="AB591" s="779"/>
      <c r="AC591" s="779"/>
      <c r="AD591" s="779"/>
      <c r="AE591" s="779"/>
      <c r="AF591" s="779"/>
      <c r="AG591" s="779"/>
      <c r="AH591" s="779"/>
      <c r="AI591" s="779"/>
      <c r="AJ591" s="779"/>
      <c r="AK591" s="779"/>
      <c r="AL591" s="779"/>
      <c r="AM591" s="779"/>
      <c r="AN591" s="779"/>
      <c r="AO591" s="779"/>
      <c r="AP591" s="779"/>
      <c r="AQ591" s="779"/>
      <c r="AR591" s="779"/>
      <c r="AS591" s="779"/>
      <c r="AT591" s="779"/>
      <c r="AU591" s="779"/>
      <c r="AV591" s="779"/>
      <c r="AW591" s="779"/>
      <c r="AX591" s="779"/>
      <c r="AY591" s="779"/>
      <c r="AZ591" s="779"/>
      <c r="BA591" s="779"/>
      <c r="BB591" s="779"/>
      <c r="BC591" s="779"/>
      <c r="BD591" s="779"/>
      <c r="BE591" s="779"/>
      <c r="BF591" s="779"/>
      <c r="BG591" s="779"/>
      <c r="BH591" s="779"/>
      <c r="BI591" s="779"/>
      <c r="BJ591" s="779"/>
      <c r="BK591" s="779"/>
      <c r="BL591" s="779"/>
      <c r="BM591" s="779"/>
      <c r="BN591" s="779"/>
      <c r="BO591" s="779"/>
      <c r="BP591" s="779"/>
      <c r="BQ591" s="779"/>
      <c r="BR591" s="779"/>
      <c r="BS591" s="779"/>
      <c r="BT591" s="779"/>
      <c r="BU591" s="779"/>
      <c r="BV591" s="779"/>
      <c r="BW591" s="779"/>
      <c r="BX591" s="779"/>
      <c r="BY591" s="779"/>
      <c r="BZ591" s="779"/>
      <c r="CA591" s="779"/>
      <c r="CB591" s="779"/>
      <c r="CC591" s="779"/>
    </row>
    <row r="592" spans="1:81">
      <c r="A592" s="779"/>
      <c r="B592" s="779"/>
      <c r="C592" s="779"/>
      <c r="D592" s="779"/>
      <c r="E592" s="779"/>
      <c r="F592" s="779"/>
      <c r="G592" s="779"/>
      <c r="H592" s="779"/>
      <c r="I592" s="779"/>
      <c r="J592" s="779"/>
      <c r="K592" s="779"/>
      <c r="L592" s="779"/>
      <c r="M592" s="779"/>
      <c r="N592" s="779"/>
      <c r="O592" s="779"/>
      <c r="P592" s="779"/>
      <c r="Q592" s="779"/>
      <c r="R592" s="779"/>
      <c r="S592" s="779"/>
      <c r="T592" s="779"/>
      <c r="U592" s="779"/>
      <c r="V592" s="779"/>
      <c r="W592" s="779"/>
      <c r="X592" s="779"/>
      <c r="Y592" s="779"/>
      <c r="Z592" s="779"/>
      <c r="AA592" s="779"/>
      <c r="AB592" s="779"/>
      <c r="AC592" s="779"/>
      <c r="AD592" s="779"/>
      <c r="AE592" s="779"/>
      <c r="AF592" s="779"/>
      <c r="AG592" s="779"/>
      <c r="AH592" s="779"/>
      <c r="AI592" s="779"/>
      <c r="AJ592" s="779"/>
      <c r="AK592" s="779"/>
      <c r="AL592" s="779"/>
      <c r="AM592" s="779"/>
      <c r="AN592" s="779"/>
      <c r="AO592" s="779"/>
      <c r="AP592" s="779"/>
      <c r="AQ592" s="779"/>
      <c r="AR592" s="779"/>
      <c r="AS592" s="779"/>
      <c r="AT592" s="779"/>
      <c r="AU592" s="779"/>
      <c r="AV592" s="779"/>
      <c r="AW592" s="779"/>
      <c r="AX592" s="779"/>
      <c r="AY592" s="779"/>
      <c r="AZ592" s="779"/>
      <c r="BA592" s="779"/>
      <c r="BB592" s="779"/>
      <c r="BC592" s="779"/>
      <c r="BD592" s="779"/>
      <c r="BE592" s="779"/>
      <c r="BF592" s="779"/>
      <c r="BG592" s="779"/>
      <c r="BH592" s="779"/>
      <c r="BI592" s="779"/>
      <c r="BJ592" s="779"/>
      <c r="BK592" s="779"/>
      <c r="BL592" s="779"/>
      <c r="BM592" s="779"/>
      <c r="BN592" s="779"/>
      <c r="BO592" s="779"/>
      <c r="BP592" s="779"/>
      <c r="BQ592" s="779"/>
      <c r="BR592" s="779"/>
      <c r="BS592" s="779"/>
      <c r="BT592" s="779"/>
      <c r="BU592" s="779"/>
      <c r="BV592" s="779"/>
      <c r="BW592" s="779"/>
      <c r="BX592" s="779"/>
      <c r="BY592" s="779"/>
      <c r="BZ592" s="779"/>
      <c r="CA592" s="779"/>
      <c r="CB592" s="779"/>
      <c r="CC592" s="779"/>
    </row>
    <row r="593" spans="1:81">
      <c r="A593" s="779"/>
      <c r="B593" s="779"/>
      <c r="C593" s="779"/>
      <c r="D593" s="779"/>
      <c r="E593" s="779"/>
      <c r="F593" s="779"/>
      <c r="G593" s="779"/>
      <c r="H593" s="779"/>
      <c r="I593" s="779"/>
      <c r="J593" s="779"/>
      <c r="K593" s="779"/>
      <c r="L593" s="779"/>
      <c r="M593" s="779"/>
      <c r="N593" s="779"/>
      <c r="O593" s="779"/>
      <c r="P593" s="779"/>
      <c r="Q593" s="779"/>
      <c r="R593" s="779"/>
      <c r="S593" s="779"/>
      <c r="T593" s="779"/>
      <c r="U593" s="779"/>
      <c r="V593" s="779"/>
      <c r="W593" s="779"/>
      <c r="X593" s="779"/>
      <c r="Y593" s="779"/>
      <c r="Z593" s="779"/>
      <c r="AA593" s="779"/>
      <c r="AB593" s="779"/>
      <c r="AC593" s="779"/>
      <c r="AD593" s="779"/>
      <c r="AE593" s="779"/>
      <c r="AF593" s="779"/>
      <c r="AG593" s="779"/>
      <c r="AH593" s="779"/>
      <c r="AI593" s="779"/>
      <c r="AJ593" s="779"/>
      <c r="AK593" s="779"/>
      <c r="AL593" s="779"/>
      <c r="AM593" s="779"/>
      <c r="AN593" s="779"/>
      <c r="AO593" s="779"/>
      <c r="AP593" s="779"/>
      <c r="AQ593" s="779"/>
      <c r="AR593" s="779"/>
      <c r="AS593" s="779"/>
      <c r="AT593" s="779"/>
      <c r="AU593" s="779"/>
      <c r="AV593" s="779"/>
      <c r="AW593" s="779"/>
      <c r="AX593" s="779"/>
      <c r="AY593" s="779"/>
      <c r="AZ593" s="779"/>
      <c r="BA593" s="779"/>
      <c r="BB593" s="779"/>
      <c r="BC593" s="779"/>
      <c r="BD593" s="779"/>
      <c r="BE593" s="779"/>
      <c r="BF593" s="779"/>
      <c r="BG593" s="779"/>
      <c r="BH593" s="779"/>
      <c r="BI593" s="779"/>
      <c r="BJ593" s="779"/>
      <c r="BK593" s="779"/>
      <c r="BL593" s="779"/>
      <c r="BM593" s="779"/>
      <c r="BN593" s="779"/>
      <c r="BO593" s="779"/>
      <c r="BP593" s="779"/>
      <c r="BQ593" s="779"/>
      <c r="BR593" s="779"/>
      <c r="BS593" s="779"/>
      <c r="BT593" s="779"/>
      <c r="BU593" s="779"/>
      <c r="BV593" s="779"/>
      <c r="BW593" s="779"/>
      <c r="BX593" s="779"/>
      <c r="BY593" s="779"/>
      <c r="BZ593" s="779"/>
      <c r="CA593" s="779"/>
      <c r="CB593" s="779"/>
      <c r="CC593" s="779"/>
    </row>
    <row r="594" spans="1:81">
      <c r="A594" s="779"/>
      <c r="B594" s="779"/>
      <c r="C594" s="779"/>
      <c r="D594" s="779"/>
      <c r="E594" s="779"/>
      <c r="F594" s="779"/>
      <c r="G594" s="779"/>
      <c r="H594" s="779"/>
      <c r="I594" s="779"/>
      <c r="J594" s="779"/>
      <c r="K594" s="779"/>
      <c r="L594" s="779"/>
      <c r="M594" s="779"/>
      <c r="N594" s="779"/>
      <c r="O594" s="779"/>
      <c r="P594" s="779"/>
      <c r="Q594" s="779"/>
      <c r="R594" s="779"/>
      <c r="S594" s="779"/>
      <c r="T594" s="779"/>
      <c r="U594" s="779"/>
      <c r="V594" s="779"/>
      <c r="W594" s="779"/>
      <c r="X594" s="779"/>
      <c r="Y594" s="779"/>
      <c r="Z594" s="779"/>
      <c r="AA594" s="779"/>
      <c r="AB594" s="779"/>
      <c r="AC594" s="779"/>
      <c r="AD594" s="779"/>
      <c r="AE594" s="779"/>
      <c r="AF594" s="779"/>
      <c r="AG594" s="779"/>
      <c r="AH594" s="779"/>
      <c r="AI594" s="779"/>
      <c r="AJ594" s="779"/>
      <c r="AK594" s="779"/>
      <c r="AL594" s="779"/>
      <c r="AM594" s="779"/>
      <c r="AN594" s="779"/>
      <c r="AO594" s="779"/>
      <c r="AP594" s="779"/>
      <c r="AQ594" s="779"/>
      <c r="AR594" s="779"/>
      <c r="AS594" s="779"/>
      <c r="AT594" s="779"/>
      <c r="AU594" s="779"/>
      <c r="AV594" s="779"/>
      <c r="AW594" s="779"/>
      <c r="AX594" s="779"/>
      <c r="AY594" s="779"/>
      <c r="AZ594" s="779"/>
      <c r="BA594" s="779"/>
      <c r="BB594" s="779"/>
      <c r="BC594" s="779"/>
      <c r="BD594" s="779"/>
      <c r="BE594" s="779"/>
      <c r="BF594" s="779"/>
      <c r="BG594" s="779"/>
      <c r="BH594" s="779"/>
      <c r="BI594" s="779"/>
      <c r="BJ594" s="779"/>
      <c r="BK594" s="779"/>
      <c r="BL594" s="779"/>
      <c r="BM594" s="779"/>
      <c r="BN594" s="779"/>
      <c r="BO594" s="779"/>
      <c r="BP594" s="779"/>
      <c r="BQ594" s="779"/>
      <c r="BR594" s="779"/>
      <c r="BS594" s="779"/>
      <c r="BT594" s="779"/>
      <c r="BU594" s="779"/>
      <c r="BV594" s="779"/>
      <c r="BW594" s="779"/>
      <c r="BX594" s="779"/>
      <c r="BY594" s="779"/>
      <c r="BZ594" s="779"/>
      <c r="CA594" s="779"/>
      <c r="CB594" s="779"/>
      <c r="CC594" s="779"/>
    </row>
    <row r="595" spans="1:81">
      <c r="A595" s="779"/>
      <c r="B595" s="779"/>
      <c r="C595" s="779"/>
      <c r="D595" s="779"/>
      <c r="E595" s="779"/>
      <c r="F595" s="779"/>
      <c r="G595" s="779"/>
      <c r="H595" s="779"/>
      <c r="I595" s="779"/>
      <c r="J595" s="779"/>
      <c r="K595" s="779"/>
      <c r="L595" s="779"/>
      <c r="M595" s="779"/>
      <c r="N595" s="779"/>
      <c r="O595" s="779"/>
      <c r="P595" s="779"/>
      <c r="Q595" s="779"/>
      <c r="R595" s="779"/>
      <c r="S595" s="779"/>
      <c r="T595" s="779"/>
      <c r="U595" s="779"/>
      <c r="V595" s="779"/>
      <c r="W595" s="779"/>
      <c r="X595" s="779"/>
      <c r="Y595" s="779"/>
      <c r="Z595" s="779"/>
      <c r="AA595" s="779"/>
      <c r="AB595" s="779"/>
      <c r="AC595" s="779"/>
      <c r="AD595" s="779"/>
      <c r="AE595" s="779"/>
      <c r="AF595" s="779"/>
      <c r="AG595" s="779"/>
      <c r="AH595" s="779"/>
      <c r="AI595" s="779"/>
      <c r="AJ595" s="779"/>
      <c r="AK595" s="779"/>
      <c r="AL595" s="779"/>
      <c r="AM595" s="779"/>
      <c r="AN595" s="779"/>
      <c r="AO595" s="779"/>
      <c r="AP595" s="779"/>
      <c r="AQ595" s="779"/>
      <c r="AR595" s="779"/>
      <c r="AS595" s="779"/>
      <c r="AT595" s="779"/>
      <c r="AU595" s="779"/>
      <c r="AV595" s="779"/>
      <c r="AW595" s="779"/>
      <c r="AX595" s="779"/>
      <c r="AY595" s="779"/>
      <c r="AZ595" s="779"/>
      <c r="BA595" s="779"/>
      <c r="BB595" s="779"/>
      <c r="BC595" s="779"/>
      <c r="BD595" s="779"/>
      <c r="BE595" s="779"/>
      <c r="BF595" s="779"/>
      <c r="BG595" s="779"/>
      <c r="BH595" s="779"/>
      <c r="BI595" s="779"/>
      <c r="BJ595" s="779"/>
      <c r="BK595" s="779"/>
      <c r="BL595" s="779"/>
      <c r="BM595" s="779"/>
      <c r="BN595" s="779"/>
      <c r="BO595" s="779"/>
      <c r="BP595" s="779"/>
      <c r="BQ595" s="779"/>
      <c r="BR595" s="779"/>
      <c r="BS595" s="779"/>
      <c r="BT595" s="779"/>
      <c r="BU595" s="779"/>
      <c r="BV595" s="779"/>
      <c r="BW595" s="779"/>
      <c r="BX595" s="779"/>
      <c r="BY595" s="779"/>
      <c r="BZ595" s="779"/>
      <c r="CA595" s="779"/>
      <c r="CB595" s="779"/>
      <c r="CC595" s="779"/>
    </row>
    <row r="596" spans="1:81">
      <c r="A596" s="779"/>
      <c r="B596" s="779"/>
      <c r="C596" s="779"/>
      <c r="D596" s="779"/>
      <c r="E596" s="779"/>
      <c r="F596" s="779"/>
      <c r="G596" s="779"/>
      <c r="H596" s="779"/>
      <c r="I596" s="779"/>
      <c r="J596" s="779"/>
      <c r="K596" s="779"/>
      <c r="L596" s="779"/>
      <c r="M596" s="779"/>
      <c r="N596" s="779"/>
      <c r="O596" s="779"/>
      <c r="P596" s="779"/>
      <c r="Q596" s="779"/>
      <c r="R596" s="779"/>
      <c r="S596" s="779"/>
      <c r="T596" s="779"/>
      <c r="U596" s="779"/>
      <c r="V596" s="779"/>
      <c r="W596" s="779"/>
      <c r="X596" s="779"/>
      <c r="Y596" s="779"/>
      <c r="Z596" s="779"/>
      <c r="AA596" s="779"/>
      <c r="AB596" s="779"/>
      <c r="AC596" s="779"/>
      <c r="AD596" s="779"/>
      <c r="AE596" s="779"/>
      <c r="AF596" s="779"/>
      <c r="AG596" s="779"/>
      <c r="AH596" s="779"/>
      <c r="AI596" s="779"/>
      <c r="AJ596" s="779"/>
      <c r="AK596" s="779"/>
      <c r="AL596" s="779"/>
      <c r="AM596" s="779"/>
      <c r="AN596" s="779"/>
      <c r="AO596" s="779"/>
      <c r="AP596" s="779"/>
      <c r="AQ596" s="779"/>
      <c r="AR596" s="779"/>
      <c r="AS596" s="779"/>
      <c r="AT596" s="779"/>
      <c r="AU596" s="779"/>
      <c r="AV596" s="779"/>
      <c r="AW596" s="779"/>
      <c r="AX596" s="779"/>
      <c r="AY596" s="779"/>
      <c r="AZ596" s="779"/>
      <c r="BA596" s="779"/>
      <c r="BB596" s="779"/>
      <c r="BC596" s="779"/>
      <c r="BD596" s="779"/>
      <c r="BE596" s="779"/>
      <c r="BF596" s="779"/>
      <c r="BG596" s="779"/>
      <c r="BH596" s="779"/>
      <c r="BI596" s="779"/>
      <c r="BJ596" s="779"/>
      <c r="BK596" s="779"/>
      <c r="BL596" s="779"/>
      <c r="BM596" s="779"/>
      <c r="BN596" s="779"/>
      <c r="BO596" s="779"/>
      <c r="BP596" s="779"/>
      <c r="BQ596" s="779"/>
      <c r="BR596" s="779"/>
      <c r="BS596" s="779"/>
      <c r="BT596" s="779"/>
      <c r="BU596" s="779"/>
      <c r="BV596" s="779"/>
      <c r="BW596" s="779"/>
      <c r="BX596" s="779"/>
      <c r="BY596" s="779"/>
      <c r="BZ596" s="779"/>
      <c r="CA596" s="779"/>
      <c r="CB596" s="779"/>
      <c r="CC596" s="779"/>
    </row>
    <row r="597" spans="1:81">
      <c r="A597" s="779"/>
      <c r="B597" s="779"/>
      <c r="C597" s="779"/>
      <c r="D597" s="779"/>
      <c r="E597" s="779"/>
      <c r="F597" s="779"/>
      <c r="G597" s="779"/>
      <c r="H597" s="779"/>
      <c r="I597" s="779"/>
      <c r="J597" s="779"/>
      <c r="K597" s="779"/>
      <c r="L597" s="779"/>
      <c r="M597" s="779"/>
      <c r="N597" s="779"/>
      <c r="O597" s="779"/>
      <c r="P597" s="779"/>
      <c r="Q597" s="779"/>
      <c r="R597" s="779"/>
      <c r="S597" s="779"/>
      <c r="T597" s="779"/>
      <c r="U597" s="779"/>
      <c r="V597" s="779"/>
      <c r="W597" s="779"/>
      <c r="X597" s="779"/>
      <c r="Y597" s="779"/>
      <c r="Z597" s="779"/>
      <c r="AA597" s="779"/>
      <c r="AB597" s="779"/>
      <c r="AC597" s="779"/>
      <c r="AD597" s="779"/>
      <c r="AE597" s="779"/>
      <c r="AF597" s="779"/>
      <c r="AG597" s="779"/>
      <c r="AH597" s="779"/>
      <c r="AI597" s="779"/>
      <c r="AJ597" s="779"/>
      <c r="AK597" s="779"/>
      <c r="AL597" s="779"/>
      <c r="AM597" s="779"/>
      <c r="AN597" s="779"/>
      <c r="AO597" s="779"/>
      <c r="AP597" s="779"/>
      <c r="AQ597" s="779"/>
      <c r="AR597" s="779"/>
      <c r="AS597" s="779"/>
      <c r="AT597" s="779"/>
      <c r="AU597" s="779"/>
      <c r="AV597" s="779"/>
      <c r="AW597" s="779"/>
      <c r="AX597" s="779"/>
      <c r="AY597" s="779"/>
      <c r="AZ597" s="779"/>
      <c r="BA597" s="779"/>
      <c r="BB597" s="779"/>
      <c r="BC597" s="779"/>
      <c r="BD597" s="779"/>
      <c r="BE597" s="779"/>
      <c r="BF597" s="779"/>
      <c r="BG597" s="779"/>
      <c r="BH597" s="779"/>
      <c r="BI597" s="779"/>
      <c r="BJ597" s="779"/>
      <c r="BK597" s="779"/>
      <c r="BL597" s="779"/>
      <c r="BM597" s="779"/>
      <c r="BN597" s="779"/>
      <c r="BO597" s="779"/>
      <c r="BP597" s="779"/>
      <c r="BQ597" s="779"/>
      <c r="BR597" s="779"/>
      <c r="BS597" s="779"/>
      <c r="BT597" s="779"/>
      <c r="BU597" s="779"/>
      <c r="BV597" s="779"/>
      <c r="BW597" s="779"/>
      <c r="BX597" s="779"/>
      <c r="BY597" s="779"/>
      <c r="BZ597" s="779"/>
      <c r="CA597" s="779"/>
      <c r="CB597" s="779"/>
      <c r="CC597" s="779"/>
    </row>
    <row r="598" spans="1:81">
      <c r="A598" s="779"/>
      <c r="B598" s="779"/>
      <c r="C598" s="779"/>
      <c r="D598" s="779"/>
      <c r="E598" s="779"/>
      <c r="F598" s="779"/>
      <c r="G598" s="779"/>
      <c r="H598" s="779"/>
      <c r="I598" s="779"/>
      <c r="J598" s="779"/>
      <c r="K598" s="779"/>
      <c r="L598" s="779"/>
      <c r="M598" s="779"/>
      <c r="N598" s="779"/>
      <c r="O598" s="779"/>
      <c r="P598" s="779"/>
      <c r="Q598" s="779"/>
      <c r="R598" s="779"/>
      <c r="S598" s="779"/>
      <c r="T598" s="779"/>
      <c r="U598" s="779"/>
      <c r="V598" s="779"/>
      <c r="W598" s="779"/>
      <c r="X598" s="779"/>
      <c r="Y598" s="779"/>
      <c r="Z598" s="779"/>
      <c r="AA598" s="779"/>
      <c r="AB598" s="779"/>
      <c r="AC598" s="779"/>
      <c r="AD598" s="779"/>
      <c r="AE598" s="779"/>
      <c r="AF598" s="779"/>
      <c r="AG598" s="779"/>
      <c r="AH598" s="779"/>
      <c r="AI598" s="779"/>
      <c r="AJ598" s="779"/>
      <c r="AK598" s="779"/>
      <c r="AL598" s="779"/>
      <c r="AM598" s="779"/>
      <c r="AN598" s="779"/>
      <c r="AO598" s="779"/>
      <c r="AP598" s="779"/>
      <c r="AQ598" s="779"/>
      <c r="AR598" s="779"/>
      <c r="AS598" s="779"/>
      <c r="AT598" s="779"/>
      <c r="AU598" s="779"/>
      <c r="AV598" s="779"/>
      <c r="AW598" s="779"/>
      <c r="AX598" s="779"/>
      <c r="AY598" s="779"/>
      <c r="AZ598" s="779"/>
      <c r="BA598" s="779"/>
      <c r="BB598" s="779"/>
      <c r="BC598" s="779"/>
      <c r="BD598" s="779"/>
      <c r="BE598" s="779"/>
      <c r="BF598" s="779"/>
      <c r="BG598" s="779"/>
      <c r="BH598" s="779"/>
      <c r="BI598" s="779"/>
      <c r="BJ598" s="779"/>
      <c r="BK598" s="779"/>
      <c r="BL598" s="779"/>
      <c r="BM598" s="779"/>
      <c r="BN598" s="779"/>
      <c r="BO598" s="779"/>
      <c r="BP598" s="779"/>
      <c r="BQ598" s="779"/>
      <c r="BR598" s="779"/>
      <c r="BS598" s="779"/>
      <c r="BT598" s="779"/>
      <c r="BU598" s="779"/>
      <c r="BV598" s="779"/>
      <c r="BW598" s="779"/>
      <c r="BX598" s="779"/>
      <c r="BY598" s="779"/>
      <c r="BZ598" s="779"/>
      <c r="CA598" s="779"/>
      <c r="CB598" s="779"/>
      <c r="CC598" s="779"/>
    </row>
    <row r="599" spans="1:81">
      <c r="A599" s="779"/>
      <c r="B599" s="779"/>
      <c r="C599" s="779"/>
      <c r="D599" s="779"/>
      <c r="E599" s="779"/>
      <c r="F599" s="779"/>
      <c r="G599" s="779"/>
      <c r="H599" s="779"/>
      <c r="I599" s="779"/>
      <c r="J599" s="779"/>
      <c r="K599" s="779"/>
      <c r="L599" s="779"/>
      <c r="M599" s="779"/>
      <c r="N599" s="779"/>
      <c r="O599" s="779"/>
      <c r="P599" s="779"/>
      <c r="Q599" s="779"/>
      <c r="R599" s="779"/>
      <c r="S599" s="779"/>
      <c r="T599" s="779"/>
      <c r="U599" s="779"/>
      <c r="V599" s="779"/>
      <c r="W599" s="779"/>
      <c r="X599" s="779"/>
      <c r="Y599" s="779"/>
      <c r="Z599" s="779"/>
      <c r="AA599" s="779"/>
      <c r="AB599" s="779"/>
      <c r="AC599" s="779"/>
      <c r="AD599" s="779"/>
      <c r="AE599" s="779"/>
      <c r="AF599" s="779"/>
      <c r="AG599" s="779"/>
      <c r="AH599" s="779"/>
      <c r="AI599" s="779"/>
      <c r="AJ599" s="779"/>
      <c r="AK599" s="779"/>
      <c r="AL599" s="779"/>
      <c r="AM599" s="779"/>
      <c r="AN599" s="779"/>
      <c r="AO599" s="779"/>
      <c r="AP599" s="779"/>
      <c r="AQ599" s="779"/>
      <c r="AR599" s="779"/>
      <c r="AS599" s="779"/>
      <c r="AT599" s="779"/>
      <c r="AU599" s="779"/>
      <c r="AV599" s="779"/>
      <c r="AW599" s="779"/>
      <c r="AX599" s="779"/>
      <c r="AY599" s="779"/>
      <c r="AZ599" s="779"/>
      <c r="BA599" s="779"/>
      <c r="BB599" s="779"/>
      <c r="BC599" s="779"/>
      <c r="BD599" s="779"/>
      <c r="BE599" s="779"/>
      <c r="BF599" s="779"/>
      <c r="BG599" s="779"/>
      <c r="BH599" s="779"/>
      <c r="BI599" s="779"/>
      <c r="BJ599" s="779"/>
      <c r="BK599" s="779"/>
      <c r="BL599" s="779"/>
      <c r="BM599" s="779"/>
      <c r="BN599" s="779"/>
      <c r="BO599" s="779"/>
      <c r="BP599" s="779"/>
      <c r="BQ599" s="779"/>
      <c r="BR599" s="779"/>
      <c r="BS599" s="779"/>
      <c r="BT599" s="779"/>
      <c r="BU599" s="779"/>
      <c r="BV599" s="779"/>
      <c r="BW599" s="779"/>
      <c r="BX599" s="779"/>
      <c r="BY599" s="779"/>
      <c r="BZ599" s="779"/>
      <c r="CA599" s="779"/>
      <c r="CB599" s="779"/>
      <c r="CC599" s="779"/>
    </row>
    <row r="600" spans="1:81">
      <c r="A600" s="779"/>
      <c r="B600" s="779"/>
      <c r="C600" s="779"/>
      <c r="D600" s="779"/>
      <c r="E600" s="779"/>
      <c r="F600" s="779"/>
      <c r="G600" s="779"/>
      <c r="H600" s="779"/>
      <c r="I600" s="779"/>
      <c r="J600" s="779"/>
      <c r="K600" s="779"/>
      <c r="L600" s="779"/>
      <c r="M600" s="779"/>
      <c r="N600" s="779"/>
      <c r="O600" s="779"/>
      <c r="P600" s="779"/>
      <c r="Q600" s="779"/>
      <c r="R600" s="779"/>
      <c r="S600" s="779"/>
      <c r="T600" s="779"/>
      <c r="U600" s="779"/>
      <c r="V600" s="779"/>
      <c r="W600" s="779"/>
      <c r="X600" s="779"/>
      <c r="Y600" s="779"/>
      <c r="Z600" s="779"/>
      <c r="AA600" s="779"/>
      <c r="AB600" s="779"/>
      <c r="AC600" s="779"/>
      <c r="AD600" s="779"/>
      <c r="AE600" s="779"/>
      <c r="AF600" s="779"/>
      <c r="AG600" s="779"/>
      <c r="AH600" s="779"/>
      <c r="AI600" s="779"/>
      <c r="AJ600" s="779"/>
      <c r="AK600" s="779"/>
      <c r="AL600" s="779"/>
      <c r="AM600" s="779"/>
      <c r="AN600" s="779"/>
      <c r="AO600" s="779"/>
      <c r="AP600" s="779"/>
      <c r="AQ600" s="779"/>
      <c r="AR600" s="779"/>
      <c r="AS600" s="779"/>
      <c r="AT600" s="779"/>
      <c r="AU600" s="779"/>
      <c r="AV600" s="779"/>
      <c r="AW600" s="779"/>
      <c r="AX600" s="779"/>
      <c r="AY600" s="779"/>
      <c r="AZ600" s="779"/>
      <c r="BA600" s="779"/>
      <c r="BB600" s="779"/>
      <c r="BC600" s="779"/>
      <c r="BD600" s="779"/>
      <c r="BE600" s="779"/>
      <c r="BF600" s="779"/>
      <c r="BG600" s="779"/>
      <c r="BH600" s="779"/>
      <c r="BI600" s="779"/>
      <c r="BJ600" s="779"/>
      <c r="BK600" s="779"/>
      <c r="BL600" s="779"/>
      <c r="BM600" s="779"/>
      <c r="BN600" s="779"/>
      <c r="BO600" s="779"/>
      <c r="BP600" s="779"/>
      <c r="BQ600" s="779"/>
      <c r="BR600" s="779"/>
      <c r="BS600" s="779"/>
      <c r="BT600" s="779"/>
      <c r="BU600" s="779"/>
      <c r="BV600" s="779"/>
      <c r="BW600" s="779"/>
      <c r="BX600" s="779"/>
      <c r="BY600" s="779"/>
      <c r="BZ600" s="779"/>
      <c r="CA600" s="779"/>
      <c r="CB600" s="779"/>
      <c r="CC600" s="779"/>
    </row>
    <row r="601" spans="1:81">
      <c r="A601" s="779"/>
      <c r="B601" s="779"/>
      <c r="C601" s="779"/>
      <c r="D601" s="779"/>
      <c r="E601" s="779"/>
      <c r="F601" s="779"/>
      <c r="G601" s="779"/>
      <c r="H601" s="779"/>
      <c r="I601" s="779"/>
      <c r="J601" s="779"/>
      <c r="K601" s="779"/>
      <c r="L601" s="779"/>
      <c r="M601" s="779"/>
      <c r="N601" s="779"/>
      <c r="O601" s="779"/>
      <c r="P601" s="779"/>
      <c r="Q601" s="779"/>
      <c r="R601" s="779"/>
      <c r="S601" s="779"/>
      <c r="T601" s="779"/>
      <c r="U601" s="779"/>
      <c r="V601" s="779"/>
      <c r="W601" s="779"/>
      <c r="X601" s="779"/>
      <c r="Y601" s="779"/>
      <c r="Z601" s="779"/>
      <c r="AA601" s="779"/>
      <c r="AB601" s="779"/>
      <c r="AC601" s="779"/>
      <c r="AD601" s="779"/>
      <c r="AE601" s="779"/>
      <c r="AF601" s="779"/>
      <c r="AG601" s="779"/>
      <c r="AH601" s="779"/>
      <c r="AI601" s="779"/>
      <c r="AJ601" s="779"/>
      <c r="AK601" s="779"/>
      <c r="AL601" s="779"/>
      <c r="AM601" s="779"/>
      <c r="AN601" s="779"/>
      <c r="AO601" s="779"/>
      <c r="AP601" s="779"/>
      <c r="AQ601" s="779"/>
      <c r="AR601" s="779"/>
      <c r="AS601" s="779"/>
      <c r="AT601" s="779"/>
      <c r="AU601" s="779"/>
      <c r="AV601" s="779"/>
      <c r="AW601" s="779"/>
      <c r="AX601" s="779"/>
      <c r="AY601" s="779"/>
      <c r="AZ601" s="779"/>
      <c r="BA601" s="779"/>
      <c r="BB601" s="779"/>
      <c r="BC601" s="779"/>
      <c r="BD601" s="779"/>
      <c r="BE601" s="779"/>
      <c r="BF601" s="779"/>
      <c r="BG601" s="779"/>
      <c r="BH601" s="779"/>
      <c r="BI601" s="779"/>
      <c r="BJ601" s="779"/>
      <c r="BK601" s="779"/>
      <c r="BL601" s="779"/>
      <c r="BM601" s="779"/>
      <c r="BN601" s="779"/>
      <c r="BO601" s="779"/>
      <c r="BP601" s="779"/>
      <c r="BQ601" s="779"/>
      <c r="BR601" s="779"/>
      <c r="BS601" s="779"/>
      <c r="BT601" s="779"/>
      <c r="BU601" s="779"/>
      <c r="BV601" s="779"/>
      <c r="BW601" s="779"/>
      <c r="BX601" s="779"/>
      <c r="BY601" s="779"/>
      <c r="BZ601" s="779"/>
      <c r="CA601" s="779"/>
      <c r="CB601" s="779"/>
      <c r="CC601" s="779"/>
    </row>
    <row r="602" spans="1:81">
      <c r="A602" s="779"/>
      <c r="B602" s="779"/>
      <c r="C602" s="779"/>
      <c r="D602" s="779"/>
      <c r="E602" s="779"/>
      <c r="F602" s="779"/>
      <c r="G602" s="779"/>
      <c r="H602" s="779"/>
      <c r="I602" s="779"/>
      <c r="J602" s="779"/>
      <c r="K602" s="779"/>
      <c r="L602" s="779"/>
      <c r="M602" s="779"/>
      <c r="N602" s="779"/>
      <c r="O602" s="779"/>
      <c r="P602" s="779"/>
      <c r="Q602" s="779"/>
      <c r="R602" s="779"/>
      <c r="S602" s="779"/>
      <c r="T602" s="779"/>
      <c r="U602" s="779"/>
      <c r="V602" s="779"/>
      <c r="W602" s="779"/>
      <c r="X602" s="779"/>
      <c r="Y602" s="779"/>
      <c r="Z602" s="779"/>
      <c r="AA602" s="779"/>
      <c r="AB602" s="779"/>
      <c r="AC602" s="779"/>
      <c r="AD602" s="779"/>
      <c r="AE602" s="779"/>
      <c r="AF602" s="779"/>
      <c r="AG602" s="779"/>
      <c r="AH602" s="779"/>
      <c r="AI602" s="779"/>
      <c r="AJ602" s="779"/>
      <c r="AK602" s="779"/>
      <c r="AL602" s="779"/>
      <c r="AM602" s="779"/>
      <c r="AN602" s="779"/>
      <c r="AO602" s="779"/>
      <c r="AP602" s="779"/>
      <c r="AQ602" s="779"/>
      <c r="AR602" s="779"/>
      <c r="AS602" s="779"/>
      <c r="AT602" s="779"/>
      <c r="AU602" s="779"/>
      <c r="AV602" s="779"/>
      <c r="AW602" s="779"/>
      <c r="AX602" s="779"/>
      <c r="AY602" s="779"/>
      <c r="AZ602" s="779"/>
      <c r="BA602" s="779"/>
      <c r="BB602" s="779"/>
      <c r="BC602" s="779"/>
      <c r="BD602" s="779"/>
      <c r="BE602" s="779"/>
      <c r="BF602" s="779"/>
      <c r="BG602" s="779"/>
      <c r="BH602" s="779"/>
      <c r="BI602" s="779"/>
      <c r="BJ602" s="779"/>
      <c r="BK602" s="779"/>
      <c r="BL602" s="779"/>
      <c r="BM602" s="779"/>
      <c r="BN602" s="779"/>
      <c r="BO602" s="779"/>
      <c r="BP602" s="779"/>
      <c r="BQ602" s="779"/>
      <c r="BR602" s="779"/>
      <c r="BS602" s="779"/>
      <c r="BT602" s="779"/>
      <c r="BU602" s="779"/>
      <c r="BV602" s="779"/>
      <c r="BW602" s="779"/>
      <c r="BX602" s="779"/>
      <c r="BY602" s="779"/>
      <c r="BZ602" s="779"/>
      <c r="CA602" s="779"/>
      <c r="CB602" s="779"/>
      <c r="CC602" s="779"/>
    </row>
    <row r="603" spans="1:81">
      <c r="A603" s="779"/>
      <c r="B603" s="779"/>
      <c r="C603" s="779"/>
      <c r="D603" s="779"/>
      <c r="E603" s="779"/>
      <c r="F603" s="779"/>
      <c r="G603" s="779"/>
      <c r="H603" s="779"/>
      <c r="I603" s="779"/>
      <c r="J603" s="779"/>
      <c r="K603" s="779"/>
      <c r="L603" s="779"/>
      <c r="M603" s="779"/>
      <c r="N603" s="779"/>
      <c r="O603" s="779"/>
      <c r="P603" s="779"/>
      <c r="Q603" s="779"/>
      <c r="R603" s="779"/>
      <c r="S603" s="779"/>
      <c r="T603" s="779"/>
      <c r="U603" s="779"/>
      <c r="V603" s="779"/>
      <c r="W603" s="779"/>
      <c r="X603" s="779"/>
      <c r="Y603" s="779"/>
      <c r="Z603" s="779"/>
      <c r="AA603" s="779"/>
      <c r="AB603" s="779"/>
      <c r="AC603" s="779"/>
      <c r="AD603" s="779"/>
      <c r="AE603" s="779"/>
      <c r="AF603" s="779"/>
      <c r="AG603" s="779"/>
      <c r="AH603" s="779"/>
      <c r="AI603" s="779"/>
      <c r="AJ603" s="779"/>
      <c r="AK603" s="779"/>
      <c r="AL603" s="779"/>
      <c r="AM603" s="779"/>
      <c r="AN603" s="779"/>
      <c r="AO603" s="779"/>
      <c r="AP603" s="779"/>
      <c r="AQ603" s="779"/>
      <c r="AR603" s="779"/>
      <c r="AS603" s="779"/>
      <c r="AT603" s="779"/>
      <c r="AU603" s="779"/>
      <c r="AV603" s="779"/>
      <c r="AW603" s="779"/>
      <c r="AX603" s="779"/>
      <c r="AY603" s="779"/>
      <c r="AZ603" s="779"/>
      <c r="BA603" s="779"/>
      <c r="BB603" s="779"/>
      <c r="BC603" s="779"/>
      <c r="BD603" s="779"/>
      <c r="BE603" s="779"/>
      <c r="BF603" s="779"/>
      <c r="BG603" s="779"/>
      <c r="BH603" s="779"/>
      <c r="BI603" s="779"/>
      <c r="BJ603" s="779"/>
      <c r="BK603" s="779"/>
      <c r="BL603" s="779"/>
      <c r="BM603" s="779"/>
      <c r="BN603" s="779"/>
      <c r="BO603" s="779"/>
      <c r="BP603" s="779"/>
      <c r="BQ603" s="779"/>
      <c r="BR603" s="779"/>
      <c r="BS603" s="779"/>
      <c r="BT603" s="779"/>
      <c r="BU603" s="779"/>
      <c r="BV603" s="779"/>
      <c r="BW603" s="779"/>
      <c r="BX603" s="779"/>
      <c r="BY603" s="779"/>
      <c r="BZ603" s="779"/>
      <c r="CA603" s="779"/>
      <c r="CB603" s="779"/>
      <c r="CC603" s="779"/>
    </row>
    <row r="604" spans="1:81">
      <c r="A604" s="779"/>
      <c r="B604" s="779"/>
      <c r="C604" s="779"/>
      <c r="D604" s="779"/>
      <c r="E604" s="779"/>
      <c r="F604" s="779"/>
      <c r="G604" s="779"/>
      <c r="H604" s="779"/>
      <c r="I604" s="779"/>
      <c r="J604" s="779"/>
      <c r="K604" s="779"/>
      <c r="L604" s="779"/>
      <c r="M604" s="779"/>
      <c r="N604" s="779"/>
      <c r="O604" s="779"/>
      <c r="P604" s="779"/>
      <c r="Q604" s="779"/>
      <c r="R604" s="779"/>
      <c r="S604" s="779"/>
      <c r="T604" s="779"/>
      <c r="U604" s="779"/>
      <c r="V604" s="779"/>
      <c r="W604" s="779"/>
      <c r="X604" s="779"/>
      <c r="Y604" s="779"/>
      <c r="Z604" s="779"/>
      <c r="AA604" s="779"/>
      <c r="AB604" s="779"/>
      <c r="AC604" s="779"/>
      <c r="AD604" s="779"/>
      <c r="AE604" s="779"/>
      <c r="AF604" s="779"/>
      <c r="AG604" s="779"/>
      <c r="AH604" s="779"/>
      <c r="AI604" s="779"/>
      <c r="AJ604" s="779"/>
      <c r="AK604" s="779"/>
      <c r="AL604" s="779"/>
      <c r="AM604" s="779"/>
      <c r="AN604" s="779"/>
      <c r="AO604" s="779"/>
      <c r="AP604" s="779"/>
      <c r="AQ604" s="779"/>
      <c r="AR604" s="779"/>
      <c r="AS604" s="779"/>
      <c r="AT604" s="779"/>
      <c r="AU604" s="779"/>
      <c r="AV604" s="779"/>
      <c r="AW604" s="779"/>
      <c r="AX604" s="779"/>
      <c r="AY604" s="779"/>
      <c r="AZ604" s="779"/>
      <c r="BA604" s="779"/>
      <c r="BB604" s="779"/>
      <c r="BC604" s="779"/>
      <c r="BD604" s="779"/>
      <c r="BE604" s="779"/>
      <c r="BF604" s="779"/>
      <c r="BG604" s="779"/>
      <c r="BH604" s="779"/>
      <c r="BI604" s="779"/>
      <c r="BJ604" s="779"/>
      <c r="BK604" s="779"/>
      <c r="BL604" s="779"/>
      <c r="BM604" s="779"/>
      <c r="BN604" s="779"/>
      <c r="BO604" s="779"/>
      <c r="BP604" s="779"/>
      <c r="BQ604" s="779"/>
      <c r="BR604" s="779"/>
      <c r="BS604" s="779"/>
      <c r="BT604" s="779"/>
      <c r="BU604" s="779"/>
      <c r="BV604" s="779"/>
      <c r="BW604" s="779"/>
      <c r="BX604" s="779"/>
      <c r="BY604" s="779"/>
      <c r="BZ604" s="779"/>
      <c r="CA604" s="779"/>
      <c r="CB604" s="779"/>
      <c r="CC604" s="779"/>
    </row>
    <row r="605" spans="1:81">
      <c r="A605" s="779"/>
      <c r="B605" s="779"/>
      <c r="C605" s="779"/>
      <c r="D605" s="779"/>
      <c r="E605" s="779"/>
      <c r="F605" s="779"/>
      <c r="G605" s="779"/>
      <c r="H605" s="779"/>
      <c r="I605" s="779"/>
      <c r="J605" s="779"/>
      <c r="K605" s="779"/>
      <c r="L605" s="779"/>
      <c r="M605" s="779"/>
      <c r="N605" s="779"/>
      <c r="O605" s="779"/>
      <c r="P605" s="779"/>
      <c r="Q605" s="779"/>
      <c r="R605" s="779"/>
      <c r="S605" s="779"/>
      <c r="T605" s="779"/>
      <c r="U605" s="779"/>
      <c r="V605" s="779"/>
      <c r="W605" s="779"/>
      <c r="X605" s="779"/>
      <c r="Y605" s="779"/>
      <c r="Z605" s="779"/>
      <c r="AA605" s="779"/>
      <c r="AB605" s="779"/>
      <c r="AC605" s="779"/>
      <c r="AD605" s="779"/>
      <c r="AE605" s="779"/>
      <c r="AF605" s="779"/>
      <c r="AG605" s="779"/>
      <c r="AH605" s="779"/>
      <c r="AI605" s="779"/>
      <c r="AJ605" s="779"/>
      <c r="AK605" s="779"/>
      <c r="AL605" s="779"/>
      <c r="AM605" s="779"/>
      <c r="AN605" s="779"/>
      <c r="AO605" s="779"/>
      <c r="AP605" s="779"/>
      <c r="AQ605" s="779"/>
      <c r="AR605" s="779"/>
      <c r="AS605" s="779"/>
      <c r="AT605" s="779"/>
      <c r="AU605" s="779"/>
      <c r="AV605" s="779"/>
      <c r="AW605" s="779"/>
      <c r="AX605" s="779"/>
      <c r="AY605" s="779"/>
      <c r="AZ605" s="779"/>
      <c r="BA605" s="779"/>
      <c r="BB605" s="779"/>
      <c r="BC605" s="779"/>
      <c r="BD605" s="779"/>
      <c r="BE605" s="779"/>
      <c r="BF605" s="779"/>
      <c r="BG605" s="779"/>
      <c r="BH605" s="779"/>
      <c r="BI605" s="779"/>
      <c r="BJ605" s="779"/>
      <c r="BK605" s="779"/>
      <c r="BL605" s="779"/>
      <c r="BM605" s="779"/>
      <c r="BN605" s="779"/>
      <c r="BO605" s="779"/>
      <c r="BP605" s="779"/>
      <c r="BQ605" s="779"/>
      <c r="BR605" s="779"/>
      <c r="BS605" s="779"/>
      <c r="BT605" s="779"/>
      <c r="BU605" s="779"/>
      <c r="BV605" s="779"/>
      <c r="BW605" s="779"/>
      <c r="BX605" s="779"/>
      <c r="BY605" s="779"/>
      <c r="BZ605" s="779"/>
      <c r="CA605" s="779"/>
      <c r="CB605" s="779"/>
      <c r="CC605" s="779"/>
    </row>
    <row r="606" spans="1:81">
      <c r="A606" s="779"/>
      <c r="B606" s="779"/>
      <c r="C606" s="779"/>
      <c r="D606" s="779"/>
      <c r="E606" s="779"/>
      <c r="F606" s="779"/>
      <c r="G606" s="779"/>
      <c r="H606" s="779"/>
      <c r="I606" s="779"/>
      <c r="J606" s="779"/>
      <c r="K606" s="779"/>
      <c r="L606" s="779"/>
      <c r="M606" s="779"/>
      <c r="N606" s="779"/>
      <c r="O606" s="779"/>
      <c r="P606" s="779"/>
      <c r="Q606" s="779"/>
      <c r="R606" s="779"/>
      <c r="S606" s="779"/>
      <c r="T606" s="779"/>
      <c r="U606" s="779"/>
      <c r="V606" s="779"/>
      <c r="W606" s="779"/>
      <c r="X606" s="779"/>
      <c r="Y606" s="779"/>
      <c r="Z606" s="779"/>
      <c r="AA606" s="779"/>
      <c r="AB606" s="779"/>
      <c r="AC606" s="779"/>
      <c r="AD606" s="779"/>
      <c r="AE606" s="779"/>
      <c r="AF606" s="779"/>
      <c r="AG606" s="779"/>
      <c r="AH606" s="779"/>
      <c r="AI606" s="779"/>
      <c r="AJ606" s="779"/>
      <c r="AK606" s="779"/>
      <c r="AL606" s="779"/>
      <c r="AM606" s="779"/>
      <c r="AN606" s="779"/>
      <c r="AO606" s="779"/>
      <c r="AP606" s="779"/>
      <c r="AQ606" s="779"/>
      <c r="AR606" s="779"/>
      <c r="AS606" s="779"/>
      <c r="AT606" s="779"/>
      <c r="AU606" s="779"/>
      <c r="AV606" s="779"/>
      <c r="AW606" s="779"/>
      <c r="AX606" s="779"/>
      <c r="AY606" s="779"/>
      <c r="AZ606" s="779"/>
      <c r="BA606" s="779"/>
      <c r="BB606" s="779"/>
      <c r="BC606" s="779"/>
      <c r="BD606" s="779"/>
      <c r="BE606" s="779"/>
      <c r="BF606" s="779"/>
      <c r="BG606" s="779"/>
      <c r="BH606" s="779"/>
      <c r="BI606" s="779"/>
      <c r="BJ606" s="779"/>
      <c r="BK606" s="779"/>
      <c r="BL606" s="779"/>
      <c r="BM606" s="779"/>
      <c r="BN606" s="779"/>
      <c r="BO606" s="779"/>
      <c r="BP606" s="779"/>
      <c r="BQ606" s="779"/>
      <c r="BR606" s="779"/>
      <c r="BS606" s="779"/>
      <c r="BT606" s="779"/>
      <c r="BU606" s="779"/>
      <c r="BV606" s="779"/>
      <c r="BW606" s="779"/>
      <c r="BX606" s="779"/>
      <c r="BY606" s="779"/>
      <c r="BZ606" s="779"/>
      <c r="CA606" s="779"/>
      <c r="CB606" s="779"/>
      <c r="CC606" s="779"/>
    </row>
    <row r="607" spans="1:81">
      <c r="A607" s="779"/>
      <c r="B607" s="779"/>
      <c r="C607" s="779"/>
      <c r="D607" s="779"/>
      <c r="E607" s="779"/>
      <c r="F607" s="779"/>
      <c r="G607" s="779"/>
      <c r="H607" s="779"/>
      <c r="I607" s="779"/>
      <c r="J607" s="779"/>
      <c r="K607" s="779"/>
      <c r="L607" s="779"/>
      <c r="M607" s="779"/>
      <c r="N607" s="779"/>
      <c r="O607" s="779"/>
      <c r="P607" s="779"/>
      <c r="Q607" s="779"/>
      <c r="R607" s="779"/>
      <c r="S607" s="779"/>
      <c r="T607" s="779"/>
      <c r="U607" s="779"/>
      <c r="V607" s="779"/>
      <c r="W607" s="779"/>
      <c r="X607" s="779"/>
      <c r="Y607" s="779"/>
      <c r="Z607" s="779"/>
      <c r="AA607" s="779"/>
      <c r="AB607" s="779"/>
      <c r="AC607" s="779"/>
      <c r="AD607" s="779"/>
      <c r="AE607" s="779"/>
      <c r="AF607" s="779"/>
      <c r="AG607" s="779"/>
      <c r="AH607" s="779"/>
      <c r="AI607" s="779"/>
      <c r="AJ607" s="779"/>
      <c r="AK607" s="779"/>
      <c r="AL607" s="779"/>
      <c r="AM607" s="779"/>
      <c r="AN607" s="779"/>
      <c r="AO607" s="779"/>
      <c r="AP607" s="779"/>
      <c r="AQ607" s="779"/>
      <c r="AR607" s="779"/>
      <c r="AS607" s="779"/>
      <c r="AT607" s="779"/>
      <c r="AU607" s="779"/>
      <c r="AV607" s="779"/>
      <c r="AW607" s="779"/>
      <c r="AX607" s="779"/>
      <c r="AY607" s="779"/>
      <c r="AZ607" s="779"/>
      <c r="BA607" s="779"/>
      <c r="BB607" s="779"/>
      <c r="BC607" s="779"/>
      <c r="BD607" s="779"/>
      <c r="BE607" s="779"/>
      <c r="BF607" s="779"/>
      <c r="BG607" s="779"/>
      <c r="BH607" s="779"/>
      <c r="BI607" s="779"/>
      <c r="BJ607" s="779"/>
      <c r="BK607" s="779"/>
      <c r="BL607" s="779"/>
      <c r="BM607" s="779"/>
      <c r="BN607" s="779"/>
      <c r="BO607" s="779"/>
      <c r="BP607" s="779"/>
      <c r="BQ607" s="779"/>
      <c r="BR607" s="779"/>
      <c r="BS607" s="779"/>
      <c r="BT607" s="779"/>
      <c r="BU607" s="779"/>
      <c r="BV607" s="779"/>
      <c r="BW607" s="779"/>
      <c r="BX607" s="779"/>
      <c r="BY607" s="779"/>
      <c r="BZ607" s="779"/>
      <c r="CA607" s="779"/>
      <c r="CB607" s="779"/>
      <c r="CC607" s="779"/>
    </row>
    <row r="608" spans="1:81">
      <c r="A608" s="779"/>
      <c r="B608" s="779"/>
      <c r="C608" s="779"/>
      <c r="D608" s="779"/>
      <c r="E608" s="779"/>
      <c r="F608" s="779"/>
      <c r="G608" s="779"/>
      <c r="H608" s="779"/>
      <c r="I608" s="779"/>
      <c r="J608" s="779"/>
      <c r="K608" s="779"/>
      <c r="L608" s="779"/>
      <c r="M608" s="779"/>
      <c r="N608" s="779"/>
      <c r="O608" s="779"/>
      <c r="P608" s="779"/>
      <c r="Q608" s="779"/>
      <c r="R608" s="779"/>
      <c r="S608" s="779"/>
      <c r="T608" s="779"/>
      <c r="U608" s="779"/>
      <c r="V608" s="779"/>
      <c r="W608" s="779"/>
      <c r="X608" s="779"/>
      <c r="Y608" s="779"/>
      <c r="Z608" s="779"/>
      <c r="AA608" s="779"/>
      <c r="AB608" s="779"/>
      <c r="AC608" s="779"/>
      <c r="AD608" s="779"/>
      <c r="AE608" s="779"/>
      <c r="AF608" s="779"/>
      <c r="AG608" s="779"/>
      <c r="AH608" s="779"/>
      <c r="AI608" s="779"/>
      <c r="AJ608" s="779"/>
      <c r="AK608" s="779"/>
      <c r="AL608" s="779"/>
      <c r="AM608" s="779"/>
      <c r="AN608" s="779"/>
      <c r="AO608" s="779"/>
      <c r="AP608" s="779"/>
      <c r="AQ608" s="779"/>
      <c r="AR608" s="779"/>
      <c r="AS608" s="779"/>
      <c r="AT608" s="779"/>
      <c r="AU608" s="779"/>
      <c r="AV608" s="779"/>
      <c r="AW608" s="779"/>
      <c r="AX608" s="779"/>
      <c r="AY608" s="779"/>
      <c r="AZ608" s="779"/>
      <c r="BA608" s="779"/>
      <c r="BB608" s="779"/>
      <c r="BC608" s="779"/>
      <c r="BD608" s="779"/>
      <c r="BE608" s="779"/>
      <c r="BF608" s="779"/>
      <c r="BG608" s="779"/>
      <c r="BH608" s="779"/>
      <c r="BI608" s="779"/>
      <c r="BJ608" s="779"/>
      <c r="BK608" s="779"/>
      <c r="BL608" s="779"/>
      <c r="BM608" s="779"/>
      <c r="BN608" s="779"/>
      <c r="BO608" s="779"/>
      <c r="BP608" s="779"/>
      <c r="BQ608" s="779"/>
      <c r="BR608" s="779"/>
      <c r="BS608" s="779"/>
      <c r="BT608" s="779"/>
      <c r="BU608" s="779"/>
      <c r="BV608" s="779"/>
      <c r="BW608" s="779"/>
      <c r="BX608" s="779"/>
      <c r="BY608" s="779"/>
      <c r="BZ608" s="779"/>
      <c r="CA608" s="779"/>
      <c r="CB608" s="779"/>
      <c r="CC608" s="779"/>
    </row>
    <row r="609" spans="1:81">
      <c r="A609" s="779"/>
      <c r="B609" s="779"/>
      <c r="C609" s="779"/>
      <c r="D609" s="779"/>
      <c r="E609" s="779"/>
      <c r="F609" s="779"/>
      <c r="G609" s="779"/>
      <c r="H609" s="779"/>
      <c r="I609" s="779"/>
      <c r="J609" s="779"/>
      <c r="K609" s="779"/>
      <c r="L609" s="779"/>
      <c r="M609" s="779"/>
      <c r="N609" s="779"/>
      <c r="O609" s="779"/>
      <c r="P609" s="779"/>
      <c r="Q609" s="779"/>
      <c r="R609" s="779"/>
      <c r="S609" s="779"/>
      <c r="T609" s="779"/>
      <c r="U609" s="779"/>
      <c r="V609" s="779"/>
      <c r="W609" s="779"/>
      <c r="X609" s="779"/>
      <c r="Y609" s="779"/>
      <c r="Z609" s="779"/>
      <c r="AA609" s="779"/>
      <c r="AB609" s="779"/>
      <c r="AC609" s="779"/>
      <c r="AD609" s="779"/>
      <c r="AE609" s="779"/>
      <c r="AF609" s="779"/>
      <c r="AG609" s="779"/>
      <c r="AH609" s="779"/>
      <c r="AI609" s="779"/>
      <c r="AJ609" s="779"/>
      <c r="AK609" s="779"/>
      <c r="AL609" s="779"/>
      <c r="AM609" s="779"/>
      <c r="AN609" s="779"/>
      <c r="AO609" s="779"/>
      <c r="AP609" s="779"/>
      <c r="AQ609" s="779"/>
      <c r="AR609" s="779"/>
      <c r="AS609" s="779"/>
      <c r="AT609" s="779"/>
      <c r="AU609" s="779"/>
      <c r="AV609" s="779"/>
      <c r="AW609" s="779"/>
      <c r="AX609" s="779"/>
      <c r="AY609" s="779"/>
      <c r="AZ609" s="779"/>
      <c r="BA609" s="779"/>
      <c r="BB609" s="779"/>
      <c r="BC609" s="779"/>
      <c r="BD609" s="779"/>
      <c r="BE609" s="779"/>
      <c r="BF609" s="779"/>
      <c r="BG609" s="779"/>
      <c r="BH609" s="779"/>
      <c r="BI609" s="779"/>
      <c r="BJ609" s="779"/>
      <c r="BK609" s="779"/>
      <c r="BL609" s="779"/>
      <c r="BM609" s="779"/>
      <c r="BN609" s="779"/>
      <c r="BO609" s="779"/>
      <c r="BP609" s="779"/>
      <c r="BQ609" s="779"/>
      <c r="BR609" s="779"/>
      <c r="BS609" s="779"/>
      <c r="BT609" s="779"/>
      <c r="BU609" s="779"/>
      <c r="BV609" s="779"/>
      <c r="BW609" s="779"/>
      <c r="BX609" s="779"/>
      <c r="BY609" s="779"/>
      <c r="BZ609" s="779"/>
      <c r="CA609" s="779"/>
      <c r="CB609" s="779"/>
      <c r="CC609" s="779"/>
    </row>
    <row r="610" spans="1:81">
      <c r="A610" s="779"/>
      <c r="B610" s="779"/>
      <c r="C610" s="779"/>
      <c r="D610" s="779"/>
      <c r="E610" s="779"/>
      <c r="F610" s="779"/>
      <c r="G610" s="779"/>
      <c r="H610" s="779"/>
      <c r="I610" s="779"/>
      <c r="J610" s="779"/>
      <c r="K610" s="779"/>
      <c r="L610" s="779"/>
      <c r="M610" s="779"/>
      <c r="N610" s="779"/>
      <c r="O610" s="779"/>
      <c r="P610" s="779"/>
      <c r="Q610" s="779"/>
      <c r="R610" s="779"/>
      <c r="S610" s="779"/>
      <c r="T610" s="779"/>
      <c r="U610" s="779"/>
      <c r="V610" s="779"/>
      <c r="W610" s="779"/>
      <c r="X610" s="779"/>
      <c r="Y610" s="779"/>
      <c r="Z610" s="779"/>
      <c r="AA610" s="779"/>
      <c r="AB610" s="779"/>
      <c r="AC610" s="779"/>
      <c r="AD610" s="779"/>
      <c r="AE610" s="779"/>
      <c r="AF610" s="779"/>
      <c r="AG610" s="779"/>
      <c r="AH610" s="779"/>
      <c r="AI610" s="779"/>
      <c r="AJ610" s="779"/>
      <c r="AK610" s="779"/>
      <c r="AL610" s="779"/>
      <c r="AM610" s="779"/>
      <c r="AN610" s="779"/>
      <c r="AO610" s="779"/>
      <c r="AP610" s="779"/>
      <c r="AQ610" s="779"/>
      <c r="AR610" s="779"/>
      <c r="AS610" s="779"/>
      <c r="AT610" s="779"/>
      <c r="AU610" s="779"/>
      <c r="AV610" s="779"/>
      <c r="AW610" s="779"/>
      <c r="AX610" s="779"/>
      <c r="AY610" s="779"/>
      <c r="AZ610" s="779"/>
      <c r="BA610" s="779"/>
      <c r="BB610" s="779"/>
      <c r="BC610" s="779"/>
      <c r="BD610" s="779"/>
      <c r="BE610" s="779"/>
      <c r="BF610" s="779"/>
      <c r="BG610" s="779"/>
      <c r="BH610" s="779"/>
      <c r="BI610" s="779"/>
      <c r="BJ610" s="779"/>
      <c r="BK610" s="779"/>
      <c r="BL610" s="779"/>
      <c r="BM610" s="779"/>
      <c r="BN610" s="779"/>
      <c r="BO610" s="779"/>
      <c r="BP610" s="779"/>
      <c r="BQ610" s="779"/>
      <c r="BR610" s="779"/>
      <c r="BS610" s="779"/>
      <c r="BT610" s="779"/>
      <c r="BU610" s="779"/>
      <c r="BV610" s="779"/>
      <c r="BW610" s="779"/>
      <c r="BX610" s="779"/>
      <c r="BY610" s="779"/>
      <c r="BZ610" s="779"/>
      <c r="CA610" s="779"/>
      <c r="CB610" s="779"/>
      <c r="CC610" s="779"/>
    </row>
    <row r="611" spans="1:81">
      <c r="A611" s="779"/>
      <c r="B611" s="779"/>
      <c r="C611" s="779"/>
      <c r="D611" s="779"/>
      <c r="E611" s="779"/>
      <c r="F611" s="779"/>
      <c r="G611" s="779"/>
      <c r="H611" s="779"/>
      <c r="I611" s="779"/>
      <c r="J611" s="779"/>
      <c r="K611" s="779"/>
      <c r="L611" s="779"/>
      <c r="M611" s="779"/>
      <c r="N611" s="779"/>
      <c r="O611" s="779"/>
      <c r="P611" s="779"/>
      <c r="Q611" s="779"/>
      <c r="R611" s="779"/>
      <c r="S611" s="779"/>
      <c r="T611" s="779"/>
      <c r="U611" s="779"/>
      <c r="V611" s="779"/>
      <c r="W611" s="779"/>
      <c r="X611" s="779"/>
      <c r="Y611" s="779"/>
      <c r="Z611" s="779"/>
      <c r="AA611" s="779"/>
      <c r="AB611" s="779"/>
      <c r="AC611" s="779"/>
      <c r="AD611" s="779"/>
      <c r="AE611" s="779"/>
      <c r="AF611" s="779"/>
      <c r="AG611" s="779"/>
      <c r="AH611" s="779"/>
      <c r="AI611" s="779"/>
      <c r="AJ611" s="779"/>
      <c r="AK611" s="779"/>
      <c r="AL611" s="779"/>
      <c r="AM611" s="779"/>
      <c r="AN611" s="779"/>
      <c r="AO611" s="779"/>
      <c r="AP611" s="779"/>
      <c r="AQ611" s="779"/>
      <c r="AR611" s="779"/>
      <c r="AS611" s="779"/>
      <c r="AT611" s="779"/>
      <c r="AU611" s="779"/>
      <c r="AV611" s="779"/>
      <c r="AW611" s="779"/>
      <c r="AX611" s="779"/>
      <c r="AY611" s="779"/>
      <c r="AZ611" s="779"/>
      <c r="BA611" s="779"/>
      <c r="BB611" s="779"/>
      <c r="BC611" s="779"/>
      <c r="BD611" s="779"/>
      <c r="BE611" s="779"/>
      <c r="BF611" s="779"/>
      <c r="BG611" s="779"/>
      <c r="BH611" s="779"/>
      <c r="BI611" s="779"/>
      <c r="BJ611" s="779"/>
      <c r="BK611" s="779"/>
      <c r="BL611" s="779"/>
      <c r="BM611" s="779"/>
      <c r="BN611" s="779"/>
      <c r="BO611" s="779"/>
      <c r="BP611" s="779"/>
      <c r="BQ611" s="779"/>
      <c r="BR611" s="779"/>
      <c r="BS611" s="779"/>
      <c r="BT611" s="779"/>
      <c r="BU611" s="779"/>
      <c r="BV611" s="779"/>
      <c r="BW611" s="779"/>
      <c r="BX611" s="779"/>
      <c r="BY611" s="779"/>
      <c r="BZ611" s="779"/>
      <c r="CA611" s="779"/>
      <c r="CB611" s="779"/>
      <c r="CC611" s="779"/>
    </row>
    <row r="612" spans="1:81">
      <c r="A612" s="779"/>
      <c r="B612" s="779"/>
      <c r="C612" s="779"/>
      <c r="D612" s="779"/>
      <c r="E612" s="779"/>
      <c r="F612" s="779"/>
      <c r="G612" s="779"/>
      <c r="H612" s="779"/>
      <c r="I612" s="779"/>
      <c r="J612" s="779"/>
      <c r="K612" s="779"/>
      <c r="L612" s="779"/>
      <c r="M612" s="779"/>
      <c r="N612" s="779"/>
      <c r="O612" s="779"/>
      <c r="P612" s="779"/>
      <c r="Q612" s="779"/>
      <c r="R612" s="779"/>
      <c r="S612" s="779"/>
      <c r="T612" s="779"/>
      <c r="U612" s="779"/>
      <c r="V612" s="779"/>
      <c r="W612" s="779"/>
      <c r="X612" s="779"/>
      <c r="Y612" s="779"/>
      <c r="Z612" s="779"/>
      <c r="AA612" s="779"/>
      <c r="AB612" s="779"/>
      <c r="AC612" s="779"/>
      <c r="AD612" s="779"/>
      <c r="AE612" s="779"/>
      <c r="AF612" s="779"/>
      <c r="AG612" s="779"/>
      <c r="AH612" s="779"/>
      <c r="AI612" s="779"/>
      <c r="AJ612" s="779"/>
      <c r="AK612" s="779"/>
      <c r="AL612" s="779"/>
      <c r="AM612" s="779"/>
      <c r="AN612" s="779"/>
      <c r="AO612" s="779"/>
      <c r="AP612" s="779"/>
      <c r="AQ612" s="779"/>
      <c r="AR612" s="779"/>
      <c r="AS612" s="779"/>
      <c r="AT612" s="779"/>
      <c r="AU612" s="779"/>
      <c r="AV612" s="779"/>
      <c r="AW612" s="779"/>
      <c r="AX612" s="779"/>
      <c r="AY612" s="779"/>
      <c r="AZ612" s="779"/>
      <c r="BA612" s="779"/>
      <c r="BB612" s="779"/>
      <c r="BC612" s="779"/>
      <c r="BD612" s="779"/>
      <c r="BE612" s="779"/>
      <c r="BF612" s="779"/>
      <c r="BG612" s="779"/>
      <c r="BH612" s="779"/>
      <c r="BI612" s="779"/>
      <c r="BJ612" s="779"/>
      <c r="BK612" s="779"/>
      <c r="BL612" s="779"/>
      <c r="BM612" s="779"/>
      <c r="BN612" s="779"/>
      <c r="BO612" s="779"/>
      <c r="BP612" s="779"/>
      <c r="BQ612" s="779"/>
      <c r="BR612" s="779"/>
      <c r="BS612" s="779"/>
      <c r="BT612" s="779"/>
      <c r="BU612" s="779"/>
      <c r="BV612" s="779"/>
      <c r="BW612" s="779"/>
      <c r="BX612" s="779"/>
      <c r="BY612" s="779"/>
      <c r="BZ612" s="779"/>
      <c r="CA612" s="779"/>
      <c r="CB612" s="779"/>
      <c r="CC612" s="779"/>
    </row>
    <row r="613" spans="1:81">
      <c r="A613" s="779"/>
      <c r="B613" s="779"/>
      <c r="C613" s="779"/>
      <c r="D613" s="779"/>
      <c r="E613" s="779"/>
      <c r="F613" s="779"/>
      <c r="G613" s="779"/>
      <c r="H613" s="779"/>
      <c r="I613" s="779"/>
      <c r="J613" s="779"/>
      <c r="K613" s="779"/>
      <c r="L613" s="779"/>
      <c r="M613" s="779"/>
      <c r="N613" s="779"/>
      <c r="O613" s="779"/>
      <c r="P613" s="779"/>
      <c r="Q613" s="779"/>
      <c r="R613" s="779"/>
      <c r="S613" s="779"/>
      <c r="T613" s="779"/>
      <c r="U613" s="779"/>
      <c r="V613" s="779"/>
      <c r="W613" s="779"/>
      <c r="X613" s="779"/>
      <c r="Y613" s="779"/>
      <c r="Z613" s="779"/>
      <c r="AA613" s="779"/>
      <c r="AB613" s="779"/>
      <c r="AC613" s="779"/>
      <c r="AD613" s="779"/>
      <c r="AE613" s="779"/>
      <c r="AF613" s="779"/>
      <c r="AG613" s="779"/>
      <c r="AH613" s="779"/>
      <c r="AI613" s="779"/>
      <c r="AJ613" s="779"/>
      <c r="AK613" s="779"/>
      <c r="AL613" s="779"/>
      <c r="AM613" s="779"/>
      <c r="AN613" s="779"/>
      <c r="AO613" s="779"/>
      <c r="AP613" s="779"/>
      <c r="AQ613" s="779"/>
      <c r="AR613" s="779"/>
      <c r="AS613" s="779"/>
      <c r="AT613" s="779"/>
      <c r="AU613" s="779"/>
      <c r="AV613" s="779"/>
      <c r="AW613" s="779"/>
      <c r="AX613" s="779"/>
      <c r="AY613" s="779"/>
      <c r="AZ613" s="779"/>
      <c r="BA613" s="779"/>
      <c r="BB613" s="779"/>
      <c r="BC613" s="779"/>
      <c r="BD613" s="779"/>
      <c r="BE613" s="779"/>
      <c r="BF613" s="779"/>
      <c r="BG613" s="779"/>
      <c r="BH613" s="779"/>
      <c r="BI613" s="779"/>
      <c r="BJ613" s="779"/>
      <c r="BK613" s="779"/>
      <c r="BL613" s="779"/>
      <c r="BM613" s="779"/>
      <c r="BN613" s="779"/>
      <c r="BO613" s="779"/>
      <c r="BP613" s="779"/>
      <c r="BQ613" s="779"/>
      <c r="BR613" s="779"/>
      <c r="BS613" s="779"/>
      <c r="BT613" s="779"/>
      <c r="BU613" s="779"/>
      <c r="BV613" s="779"/>
      <c r="BW613" s="779"/>
      <c r="BX613" s="779"/>
      <c r="BY613" s="779"/>
      <c r="BZ613" s="779"/>
      <c r="CA613" s="779"/>
      <c r="CB613" s="779"/>
      <c r="CC613" s="779"/>
    </row>
    <row r="614" spans="1:81">
      <c r="A614" s="779"/>
      <c r="B614" s="779"/>
      <c r="C614" s="779"/>
      <c r="D614" s="779"/>
      <c r="E614" s="779"/>
      <c r="F614" s="779"/>
      <c r="G614" s="779"/>
      <c r="H614" s="779"/>
      <c r="I614" s="779"/>
      <c r="J614" s="779"/>
      <c r="K614" s="779"/>
      <c r="L614" s="779"/>
      <c r="M614" s="779"/>
      <c r="N614" s="779"/>
      <c r="O614" s="779"/>
      <c r="P614" s="779"/>
      <c r="Q614" s="779"/>
      <c r="R614" s="779"/>
      <c r="S614" s="779"/>
      <c r="T614" s="779"/>
      <c r="U614" s="779"/>
      <c r="V614" s="779"/>
      <c r="W614" s="779"/>
      <c r="X614" s="779"/>
      <c r="Y614" s="779"/>
      <c r="Z614" s="779"/>
      <c r="AA614" s="779"/>
      <c r="AB614" s="779"/>
      <c r="AC614" s="779"/>
      <c r="AD614" s="779"/>
      <c r="AE614" s="779"/>
      <c r="AF614" s="779"/>
      <c r="AG614" s="779"/>
      <c r="AH614" s="779"/>
      <c r="AI614" s="779"/>
      <c r="AJ614" s="779"/>
      <c r="AK614" s="779"/>
      <c r="AL614" s="779"/>
      <c r="AM614" s="779"/>
      <c r="AN614" s="779"/>
      <c r="AO614" s="779"/>
      <c r="AP614" s="779"/>
      <c r="AQ614" s="779"/>
      <c r="AR614" s="779"/>
      <c r="AS614" s="779"/>
      <c r="AT614" s="779"/>
      <c r="AU614" s="779"/>
      <c r="AV614" s="779"/>
      <c r="AW614" s="779"/>
      <c r="AX614" s="779"/>
      <c r="AY614" s="779"/>
      <c r="AZ614" s="779"/>
      <c r="BA614" s="779"/>
      <c r="BB614" s="779"/>
      <c r="BC614" s="779"/>
      <c r="BD614" s="779"/>
      <c r="BE614" s="779"/>
      <c r="BF614" s="779"/>
      <c r="BG614" s="779"/>
      <c r="BH614" s="779"/>
      <c r="BI614" s="779"/>
      <c r="BJ614" s="779"/>
      <c r="BK614" s="779"/>
      <c r="BL614" s="779"/>
      <c r="BM614" s="779"/>
      <c r="BN614" s="779"/>
      <c r="BO614" s="779"/>
      <c r="BP614" s="779"/>
      <c r="BQ614" s="779"/>
      <c r="BR614" s="779"/>
      <c r="BS614" s="779"/>
      <c r="BT614" s="779"/>
      <c r="BU614" s="779"/>
      <c r="BV614" s="779"/>
      <c r="BW614" s="779"/>
      <c r="BX614" s="779"/>
      <c r="BY614" s="779"/>
      <c r="BZ614" s="779"/>
      <c r="CA614" s="779"/>
      <c r="CB614" s="779"/>
      <c r="CC614" s="779"/>
    </row>
    <row r="615" spans="1:81">
      <c r="A615" s="779"/>
      <c r="B615" s="779"/>
      <c r="C615" s="779"/>
      <c r="D615" s="779"/>
      <c r="E615" s="779"/>
      <c r="F615" s="779"/>
      <c r="G615" s="779"/>
      <c r="H615" s="779"/>
      <c r="I615" s="779"/>
      <c r="J615" s="779"/>
      <c r="K615" s="779"/>
      <c r="L615" s="779"/>
      <c r="M615" s="779"/>
      <c r="N615" s="779"/>
      <c r="O615" s="779"/>
      <c r="P615" s="779"/>
      <c r="Q615" s="779"/>
      <c r="R615" s="779"/>
      <c r="S615" s="779"/>
      <c r="T615" s="779"/>
      <c r="U615" s="779"/>
      <c r="V615" s="779"/>
      <c r="W615" s="779"/>
      <c r="X615" s="779"/>
      <c r="Y615" s="779"/>
      <c r="Z615" s="779"/>
      <c r="AA615" s="779"/>
      <c r="AB615" s="779"/>
      <c r="AC615" s="779"/>
      <c r="AD615" s="779"/>
      <c r="AE615" s="779"/>
      <c r="AF615" s="779"/>
      <c r="AG615" s="779"/>
      <c r="AH615" s="779"/>
      <c r="AI615" s="779"/>
      <c r="AJ615" s="779"/>
      <c r="AK615" s="779"/>
      <c r="AL615" s="779"/>
      <c r="AM615" s="779"/>
      <c r="AN615" s="779"/>
      <c r="AO615" s="779"/>
      <c r="AP615" s="779"/>
      <c r="AQ615" s="779"/>
      <c r="AR615" s="779"/>
      <c r="AS615" s="779"/>
      <c r="AT615" s="779"/>
      <c r="AU615" s="779"/>
      <c r="AV615" s="779"/>
      <c r="AW615" s="779"/>
      <c r="AX615" s="779"/>
      <c r="AY615" s="779"/>
      <c r="AZ615" s="779"/>
      <c r="BA615" s="779"/>
      <c r="BB615" s="779"/>
      <c r="BC615" s="779"/>
      <c r="BD615" s="779"/>
      <c r="BE615" s="779"/>
      <c r="BF615" s="779"/>
      <c r="BG615" s="779"/>
      <c r="BH615" s="779"/>
      <c r="BI615" s="779"/>
      <c r="BJ615" s="779"/>
      <c r="BK615" s="779"/>
      <c r="BL615" s="779"/>
      <c r="BM615" s="779"/>
      <c r="BN615" s="779"/>
      <c r="BO615" s="779"/>
      <c r="BP615" s="779"/>
      <c r="BQ615" s="779"/>
      <c r="BR615" s="779"/>
      <c r="BS615" s="779"/>
      <c r="BT615" s="779"/>
      <c r="BU615" s="779"/>
      <c r="BV615" s="779"/>
      <c r="BW615" s="779"/>
      <c r="BX615" s="779"/>
      <c r="BY615" s="779"/>
      <c r="BZ615" s="779"/>
      <c r="CA615" s="779"/>
      <c r="CB615" s="779"/>
      <c r="CC615" s="779"/>
    </row>
    <row r="616" spans="1:81">
      <c r="A616" s="779"/>
      <c r="B616" s="779"/>
      <c r="C616" s="779"/>
      <c r="D616" s="779"/>
      <c r="E616" s="779"/>
      <c r="F616" s="779"/>
      <c r="G616" s="779"/>
      <c r="H616" s="779"/>
      <c r="I616" s="779"/>
      <c r="J616" s="779"/>
      <c r="K616" s="779"/>
      <c r="L616" s="779"/>
      <c r="M616" s="779"/>
      <c r="N616" s="779"/>
      <c r="O616" s="779"/>
      <c r="P616" s="779"/>
      <c r="Q616" s="779"/>
      <c r="R616" s="779"/>
      <c r="S616" s="779"/>
      <c r="T616" s="779"/>
      <c r="U616" s="779"/>
      <c r="V616" s="779"/>
      <c r="W616" s="779"/>
      <c r="X616" s="779"/>
      <c r="Y616" s="779"/>
      <c r="Z616" s="779"/>
      <c r="AA616" s="779"/>
      <c r="AB616" s="779"/>
      <c r="AC616" s="779"/>
      <c r="AD616" s="779"/>
      <c r="AE616" s="779"/>
      <c r="AF616" s="779"/>
      <c r="AG616" s="779"/>
      <c r="AH616" s="779"/>
      <c r="AI616" s="779"/>
      <c r="AJ616" s="779"/>
      <c r="AK616" s="779"/>
      <c r="AL616" s="779"/>
      <c r="AM616" s="779"/>
      <c r="AN616" s="779"/>
      <c r="AO616" s="779"/>
      <c r="AP616" s="779"/>
      <c r="AQ616" s="779"/>
      <c r="AR616" s="779"/>
      <c r="AS616" s="779"/>
      <c r="AT616" s="779"/>
      <c r="AU616" s="779"/>
      <c r="AV616" s="779"/>
      <c r="AW616" s="779"/>
      <c r="AX616" s="779"/>
      <c r="AY616" s="779"/>
      <c r="AZ616" s="779"/>
      <c r="BA616" s="779"/>
      <c r="BB616" s="779"/>
      <c r="BC616" s="779"/>
      <c r="BD616" s="779"/>
      <c r="BE616" s="779"/>
      <c r="BF616" s="779"/>
      <c r="BG616" s="779"/>
      <c r="BH616" s="779"/>
      <c r="BI616" s="779"/>
      <c r="BJ616" s="779"/>
      <c r="BK616" s="779"/>
      <c r="BL616" s="779"/>
      <c r="BM616" s="779"/>
      <c r="BN616" s="779"/>
      <c r="BO616" s="779"/>
      <c r="BP616" s="779"/>
      <c r="BQ616" s="779"/>
      <c r="BR616" s="779"/>
      <c r="BS616" s="779"/>
      <c r="BT616" s="779"/>
      <c r="BU616" s="779"/>
      <c r="BV616" s="779"/>
      <c r="BW616" s="779"/>
      <c r="BX616" s="779"/>
      <c r="BY616" s="779"/>
      <c r="BZ616" s="779"/>
      <c r="CA616" s="779"/>
      <c r="CB616" s="779"/>
      <c r="CC616" s="779"/>
    </row>
    <row r="617" spans="1:81">
      <c r="A617" s="779"/>
      <c r="B617" s="779"/>
      <c r="C617" s="779"/>
      <c r="D617" s="779"/>
      <c r="E617" s="779"/>
      <c r="F617" s="779"/>
      <c r="G617" s="779"/>
      <c r="H617" s="779"/>
      <c r="I617" s="779"/>
      <c r="J617" s="779"/>
      <c r="K617" s="779"/>
      <c r="L617" s="779"/>
      <c r="M617" s="779"/>
      <c r="N617" s="779"/>
      <c r="O617" s="779"/>
      <c r="P617" s="779"/>
      <c r="Q617" s="779"/>
      <c r="R617" s="779"/>
      <c r="S617" s="779"/>
      <c r="T617" s="779"/>
      <c r="U617" s="779"/>
      <c r="V617" s="779"/>
      <c r="W617" s="779"/>
      <c r="X617" s="779"/>
      <c r="Y617" s="779"/>
      <c r="Z617" s="779"/>
      <c r="AA617" s="779"/>
      <c r="AB617" s="779"/>
      <c r="AC617" s="779"/>
      <c r="AD617" s="779"/>
      <c r="AE617" s="779"/>
      <c r="AF617" s="779"/>
      <c r="AG617" s="779"/>
      <c r="AH617" s="779"/>
      <c r="AI617" s="779"/>
      <c r="AJ617" s="779"/>
      <c r="AK617" s="779"/>
      <c r="AL617" s="779"/>
      <c r="AM617" s="779"/>
      <c r="AN617" s="779"/>
      <c r="AO617" s="779"/>
      <c r="AP617" s="779"/>
      <c r="AQ617" s="779"/>
      <c r="AR617" s="779"/>
      <c r="AS617" s="779"/>
      <c r="AT617" s="779"/>
      <c r="AU617" s="779"/>
      <c r="AV617" s="779"/>
      <c r="AW617" s="779"/>
      <c r="AX617" s="779"/>
      <c r="AY617" s="779"/>
      <c r="AZ617" s="779"/>
      <c r="BA617" s="779"/>
      <c r="BB617" s="779"/>
      <c r="BC617" s="779"/>
      <c r="BD617" s="779"/>
      <c r="BE617" s="779"/>
      <c r="BF617" s="779"/>
      <c r="BG617" s="779"/>
      <c r="BH617" s="779"/>
      <c r="BI617" s="779"/>
      <c r="BJ617" s="779"/>
      <c r="BK617" s="779"/>
      <c r="BL617" s="779"/>
      <c r="BM617" s="779"/>
      <c r="BN617" s="779"/>
      <c r="BO617" s="779"/>
      <c r="BP617" s="779"/>
      <c r="BQ617" s="779"/>
      <c r="BR617" s="779"/>
      <c r="BS617" s="779"/>
      <c r="BT617" s="779"/>
      <c r="BU617" s="779"/>
      <c r="BV617" s="779"/>
      <c r="BW617" s="779"/>
      <c r="BX617" s="779"/>
      <c r="BY617" s="779"/>
      <c r="BZ617" s="779"/>
      <c r="CA617" s="779"/>
      <c r="CB617" s="779"/>
      <c r="CC617" s="779"/>
    </row>
    <row r="618" spans="1:81">
      <c r="A618" s="779"/>
      <c r="B618" s="779"/>
      <c r="C618" s="779"/>
      <c r="D618" s="779"/>
      <c r="E618" s="779"/>
      <c r="F618" s="779"/>
      <c r="G618" s="779"/>
      <c r="H618" s="779"/>
      <c r="I618" s="779"/>
      <c r="J618" s="779"/>
      <c r="K618" s="779"/>
      <c r="L618" s="779"/>
      <c r="M618" s="779"/>
      <c r="N618" s="779"/>
      <c r="O618" s="779"/>
      <c r="P618" s="779"/>
      <c r="Q618" s="779"/>
      <c r="R618" s="779"/>
      <c r="S618" s="779"/>
      <c r="T618" s="779"/>
      <c r="U618" s="779"/>
      <c r="V618" s="779"/>
      <c r="W618" s="779"/>
      <c r="X618" s="779"/>
      <c r="Y618" s="779"/>
      <c r="Z618" s="779"/>
      <c r="AA618" s="779"/>
      <c r="AB618" s="779"/>
      <c r="AC618" s="779"/>
      <c r="AD618" s="779"/>
      <c r="AE618" s="779"/>
      <c r="AF618" s="779"/>
      <c r="AG618" s="779"/>
      <c r="AH618" s="779"/>
      <c r="AI618" s="779"/>
      <c r="AJ618" s="779"/>
      <c r="AK618" s="779"/>
      <c r="AL618" s="779"/>
      <c r="AM618" s="779"/>
      <c r="AN618" s="779"/>
      <c r="AO618" s="779"/>
      <c r="AP618" s="779"/>
      <c r="AQ618" s="779"/>
      <c r="AR618" s="779"/>
      <c r="AS618" s="779"/>
      <c r="AT618" s="779"/>
      <c r="AU618" s="779"/>
      <c r="AV618" s="779"/>
      <c r="AW618" s="779"/>
      <c r="AX618" s="779"/>
      <c r="AY618" s="779"/>
      <c r="AZ618" s="779"/>
      <c r="BA618" s="779"/>
      <c r="BB618" s="779"/>
      <c r="BC618" s="779"/>
      <c r="BD618" s="779"/>
      <c r="BE618" s="779"/>
      <c r="BF618" s="779"/>
      <c r="BG618" s="779"/>
      <c r="BH618" s="779"/>
      <c r="BI618" s="779"/>
      <c r="BJ618" s="779"/>
      <c r="BK618" s="779"/>
      <c r="BL618" s="779"/>
      <c r="BM618" s="779"/>
      <c r="BN618" s="779"/>
      <c r="BO618" s="779"/>
      <c r="BP618" s="779"/>
      <c r="BQ618" s="779"/>
      <c r="BR618" s="779"/>
      <c r="BS618" s="779"/>
      <c r="BT618" s="779"/>
      <c r="BU618" s="779"/>
      <c r="BV618" s="779"/>
      <c r="BW618" s="779"/>
      <c r="BX618" s="779"/>
      <c r="BY618" s="779"/>
      <c r="BZ618" s="779"/>
      <c r="CA618" s="779"/>
      <c r="CB618" s="779"/>
      <c r="CC618" s="779"/>
    </row>
    <row r="619" spans="1:81">
      <c r="A619" s="779"/>
      <c r="B619" s="779"/>
      <c r="C619" s="779"/>
      <c r="D619" s="779"/>
      <c r="E619" s="779"/>
      <c r="F619" s="779"/>
      <c r="G619" s="779"/>
      <c r="H619" s="779"/>
      <c r="I619" s="779"/>
      <c r="J619" s="779"/>
      <c r="K619" s="779"/>
      <c r="L619" s="779"/>
      <c r="M619" s="779"/>
      <c r="N619" s="779"/>
      <c r="O619" s="779"/>
      <c r="P619" s="779"/>
      <c r="Q619" s="779"/>
      <c r="R619" s="779"/>
      <c r="S619" s="779"/>
      <c r="T619" s="779"/>
      <c r="U619" s="779"/>
      <c r="V619" s="779"/>
      <c r="W619" s="779"/>
      <c r="X619" s="779"/>
      <c r="Y619" s="779"/>
      <c r="Z619" s="779"/>
      <c r="AA619" s="779"/>
      <c r="AB619" s="779"/>
      <c r="AC619" s="779"/>
      <c r="AD619" s="779"/>
      <c r="AE619" s="779"/>
      <c r="AF619" s="779"/>
      <c r="AG619" s="779"/>
      <c r="AH619" s="779"/>
      <c r="AI619" s="779"/>
      <c r="AJ619" s="779"/>
      <c r="AK619" s="779"/>
      <c r="AL619" s="779"/>
      <c r="AM619" s="779"/>
      <c r="AN619" s="779"/>
      <c r="AO619" s="779"/>
      <c r="AP619" s="779"/>
      <c r="AQ619" s="779"/>
      <c r="AR619" s="779"/>
      <c r="AS619" s="779"/>
      <c r="AT619" s="779"/>
      <c r="AU619" s="779"/>
      <c r="AV619" s="779"/>
      <c r="AW619" s="779"/>
      <c r="AX619" s="779"/>
      <c r="AY619" s="779"/>
      <c r="AZ619" s="779"/>
      <c r="BA619" s="779"/>
      <c r="BB619" s="779"/>
      <c r="BC619" s="779"/>
      <c r="BD619" s="779"/>
      <c r="BE619" s="779"/>
      <c r="BF619" s="779"/>
      <c r="BG619" s="779"/>
      <c r="BH619" s="779"/>
      <c r="BI619" s="779"/>
      <c r="BJ619" s="779"/>
      <c r="BK619" s="779"/>
      <c r="BL619" s="779"/>
      <c r="BM619" s="779"/>
      <c r="BN619" s="779"/>
      <c r="BO619" s="779"/>
      <c r="BP619" s="779"/>
      <c r="BQ619" s="779"/>
      <c r="BR619" s="779"/>
      <c r="BS619" s="779"/>
      <c r="BT619" s="779"/>
      <c r="BU619" s="779"/>
      <c r="BV619" s="779"/>
      <c r="BW619" s="779"/>
      <c r="BX619" s="779"/>
      <c r="BY619" s="779"/>
      <c r="BZ619" s="779"/>
      <c r="CA619" s="779"/>
      <c r="CB619" s="779"/>
      <c r="CC619" s="779"/>
    </row>
    <row r="620" spans="1:81">
      <c r="A620" s="779"/>
      <c r="B620" s="779"/>
      <c r="C620" s="779"/>
      <c r="D620" s="779"/>
      <c r="E620" s="779"/>
      <c r="F620" s="779"/>
      <c r="G620" s="779"/>
      <c r="H620" s="779"/>
      <c r="I620" s="779"/>
      <c r="J620" s="779"/>
      <c r="K620" s="779"/>
      <c r="L620" s="779"/>
      <c r="M620" s="779"/>
      <c r="N620" s="779"/>
      <c r="O620" s="779"/>
      <c r="P620" s="779"/>
      <c r="Q620" s="779"/>
      <c r="R620" s="779"/>
      <c r="S620" s="779"/>
      <c r="T620" s="779"/>
      <c r="U620" s="779"/>
      <c r="V620" s="779"/>
      <c r="W620" s="779"/>
      <c r="X620" s="779"/>
      <c r="Y620" s="779"/>
      <c r="Z620" s="779"/>
      <c r="AA620" s="779"/>
      <c r="AB620" s="779"/>
      <c r="AC620" s="779"/>
      <c r="AD620" s="779"/>
      <c r="AE620" s="779"/>
      <c r="AF620" s="779"/>
      <c r="AG620" s="779"/>
      <c r="AH620" s="779"/>
      <c r="AI620" s="779"/>
      <c r="AJ620" s="779"/>
      <c r="AK620" s="779"/>
      <c r="AL620" s="779"/>
      <c r="AM620" s="779"/>
      <c r="AN620" s="779"/>
      <c r="AO620" s="779"/>
      <c r="AP620" s="779"/>
      <c r="AQ620" s="779"/>
      <c r="AR620" s="779"/>
      <c r="AS620" s="779"/>
      <c r="AT620" s="779"/>
      <c r="AU620" s="779"/>
      <c r="AV620" s="779"/>
      <c r="AW620" s="779"/>
      <c r="AX620" s="779"/>
      <c r="AY620" s="779"/>
      <c r="AZ620" s="779"/>
      <c r="BA620" s="779"/>
      <c r="BB620" s="779"/>
      <c r="BC620" s="779"/>
      <c r="BD620" s="779"/>
      <c r="BE620" s="779"/>
      <c r="BF620" s="779"/>
      <c r="BG620" s="779"/>
      <c r="BH620" s="779"/>
      <c r="BI620" s="779"/>
      <c r="BJ620" s="779"/>
      <c r="BK620" s="779"/>
      <c r="BL620" s="779"/>
      <c r="BM620" s="779"/>
      <c r="BN620" s="779"/>
      <c r="BO620" s="779"/>
      <c r="BP620" s="779"/>
      <c r="BQ620" s="779"/>
      <c r="BR620" s="779"/>
      <c r="BS620" s="779"/>
      <c r="BT620" s="779"/>
      <c r="BU620" s="779"/>
      <c r="BV620" s="779"/>
      <c r="BW620" s="779"/>
      <c r="BX620" s="779"/>
      <c r="BY620" s="779"/>
      <c r="BZ620" s="779"/>
      <c r="CA620" s="779"/>
      <c r="CB620" s="779"/>
      <c r="CC620" s="779"/>
    </row>
    <row r="621" spans="1:81">
      <c r="A621" s="779"/>
      <c r="B621" s="779"/>
      <c r="C621" s="779"/>
      <c r="D621" s="779"/>
      <c r="E621" s="779"/>
      <c r="F621" s="779"/>
      <c r="G621" s="779"/>
      <c r="H621" s="779"/>
      <c r="I621" s="779"/>
      <c r="J621" s="779"/>
      <c r="K621" s="779"/>
      <c r="L621" s="779"/>
      <c r="M621" s="779"/>
      <c r="N621" s="779"/>
      <c r="O621" s="779"/>
      <c r="P621" s="779"/>
      <c r="Q621" s="779"/>
      <c r="R621" s="779"/>
      <c r="S621" s="779"/>
      <c r="T621" s="779"/>
      <c r="U621" s="779"/>
      <c r="V621" s="779"/>
      <c r="W621" s="779"/>
      <c r="X621" s="779"/>
      <c r="Y621" s="779"/>
      <c r="Z621" s="779"/>
      <c r="AA621" s="779"/>
      <c r="AB621" s="779"/>
      <c r="AC621" s="779"/>
      <c r="AD621" s="779"/>
      <c r="AE621" s="779"/>
      <c r="AF621" s="779"/>
      <c r="AG621" s="779"/>
      <c r="AH621" s="779"/>
      <c r="AI621" s="779"/>
      <c r="AJ621" s="779"/>
      <c r="AK621" s="779"/>
      <c r="AL621" s="779"/>
      <c r="AM621" s="779"/>
      <c r="AN621" s="779"/>
      <c r="AO621" s="779"/>
      <c r="AP621" s="779"/>
      <c r="AQ621" s="779"/>
      <c r="AR621" s="779"/>
      <c r="AS621" s="779"/>
      <c r="AT621" s="779"/>
      <c r="AU621" s="779"/>
      <c r="AV621" s="779"/>
      <c r="AW621" s="779"/>
      <c r="AX621" s="779"/>
      <c r="AY621" s="779"/>
      <c r="AZ621" s="779"/>
      <c r="BA621" s="779"/>
      <c r="BB621" s="779"/>
      <c r="BC621" s="779"/>
      <c r="BD621" s="779"/>
      <c r="BE621" s="779"/>
      <c r="BF621" s="779"/>
      <c r="BG621" s="779"/>
      <c r="BH621" s="779"/>
      <c r="BI621" s="779"/>
      <c r="BJ621" s="779"/>
      <c r="BK621" s="779"/>
      <c r="BL621" s="779"/>
      <c r="BM621" s="779"/>
      <c r="BN621" s="779"/>
      <c r="BO621" s="779"/>
      <c r="BP621" s="779"/>
      <c r="BQ621" s="779"/>
      <c r="BR621" s="779"/>
      <c r="BS621" s="779"/>
      <c r="BT621" s="779"/>
      <c r="BU621" s="779"/>
      <c r="BV621" s="779"/>
      <c r="BW621" s="779"/>
      <c r="BX621" s="779"/>
      <c r="BY621" s="779"/>
      <c r="BZ621" s="779"/>
      <c r="CA621" s="779"/>
      <c r="CB621" s="779"/>
      <c r="CC621" s="779"/>
    </row>
    <row r="622" spans="1:81">
      <c r="A622" s="779"/>
      <c r="B622" s="779"/>
      <c r="C622" s="779"/>
      <c r="D622" s="779"/>
      <c r="E622" s="779"/>
      <c r="F622" s="779"/>
      <c r="G622" s="779"/>
      <c r="H622" s="779"/>
      <c r="I622" s="779"/>
      <c r="J622" s="779"/>
      <c r="K622" s="779"/>
      <c r="L622" s="779"/>
      <c r="M622" s="779"/>
      <c r="N622" s="779"/>
      <c r="O622" s="779"/>
      <c r="P622" s="779"/>
      <c r="Q622" s="779"/>
      <c r="R622" s="779"/>
      <c r="S622" s="779"/>
      <c r="T622" s="779"/>
      <c r="U622" s="779"/>
      <c r="V622" s="779"/>
      <c r="W622" s="779"/>
      <c r="X622" s="779"/>
      <c r="Y622" s="779"/>
      <c r="Z622" s="779"/>
      <c r="AA622" s="779"/>
      <c r="AB622" s="779"/>
      <c r="AC622" s="779"/>
      <c r="AD622" s="779"/>
      <c r="AE622" s="779"/>
      <c r="AF622" s="779"/>
      <c r="AG622" s="779"/>
      <c r="AH622" s="779"/>
      <c r="AI622" s="779"/>
      <c r="AJ622" s="779"/>
      <c r="AK622" s="779"/>
      <c r="AL622" s="779"/>
      <c r="AM622" s="779"/>
      <c r="AN622" s="779"/>
      <c r="AO622" s="779"/>
      <c r="AP622" s="779"/>
      <c r="AQ622" s="779"/>
      <c r="AR622" s="779"/>
      <c r="AS622" s="779"/>
      <c r="AT622" s="779"/>
      <c r="AU622" s="779"/>
      <c r="AV622" s="779"/>
      <c r="AW622" s="779"/>
      <c r="AX622" s="779"/>
      <c r="AY622" s="779"/>
      <c r="AZ622" s="779"/>
      <c r="BA622" s="779"/>
      <c r="BB622" s="779"/>
      <c r="BC622" s="779"/>
      <c r="BD622" s="779"/>
      <c r="BE622" s="779"/>
      <c r="BF622" s="779"/>
      <c r="BG622" s="779"/>
      <c r="BH622" s="779"/>
      <c r="BI622" s="779"/>
      <c r="BJ622" s="779"/>
      <c r="BK622" s="779"/>
      <c r="BL622" s="779"/>
      <c r="BM622" s="779"/>
      <c r="BN622" s="779"/>
      <c r="BO622" s="779"/>
      <c r="BP622" s="779"/>
      <c r="BQ622" s="779"/>
      <c r="BR622" s="779"/>
      <c r="BS622" s="779"/>
      <c r="BT622" s="779"/>
      <c r="BU622" s="779"/>
      <c r="BV622" s="779"/>
      <c r="BW622" s="779"/>
      <c r="BX622" s="779"/>
      <c r="BY622" s="779"/>
      <c r="BZ622" s="779"/>
      <c r="CA622" s="779"/>
      <c r="CB622" s="779"/>
      <c r="CC622" s="779"/>
    </row>
    <row r="623" spans="1:81">
      <c r="A623" s="779"/>
      <c r="B623" s="779"/>
      <c r="C623" s="779"/>
      <c r="D623" s="779"/>
      <c r="E623" s="779"/>
      <c r="F623" s="779"/>
      <c r="G623" s="779"/>
      <c r="H623" s="779"/>
      <c r="I623" s="779"/>
      <c r="J623" s="779"/>
      <c r="K623" s="779"/>
      <c r="L623" s="779"/>
      <c r="M623" s="779"/>
      <c r="N623" s="779"/>
      <c r="O623" s="779"/>
      <c r="P623" s="779"/>
      <c r="Q623" s="779"/>
      <c r="R623" s="779"/>
      <c r="S623" s="779"/>
      <c r="T623" s="779"/>
      <c r="U623" s="779"/>
      <c r="V623" s="779"/>
      <c r="W623" s="779"/>
      <c r="X623" s="779"/>
      <c r="Y623" s="779"/>
      <c r="Z623" s="779"/>
      <c r="AA623" s="779"/>
      <c r="AB623" s="779"/>
      <c r="AC623" s="779"/>
      <c r="AD623" s="779"/>
      <c r="AE623" s="779"/>
      <c r="AF623" s="779"/>
      <c r="AG623" s="779"/>
      <c r="AH623" s="779"/>
      <c r="AI623" s="779"/>
      <c r="AJ623" s="779"/>
      <c r="AK623" s="779"/>
      <c r="AL623" s="779"/>
      <c r="AM623" s="779"/>
      <c r="AN623" s="779"/>
      <c r="AO623" s="779"/>
      <c r="AP623" s="779"/>
      <c r="AQ623" s="779"/>
      <c r="AR623" s="779"/>
      <c r="AS623" s="779"/>
      <c r="AT623" s="779"/>
      <c r="AU623" s="779"/>
      <c r="AV623" s="779"/>
      <c r="AW623" s="779"/>
      <c r="AX623" s="779"/>
      <c r="AY623" s="779"/>
      <c r="AZ623" s="779"/>
      <c r="BA623" s="779"/>
      <c r="BB623" s="779"/>
      <c r="BC623" s="779"/>
      <c r="BD623" s="779"/>
      <c r="BE623" s="779"/>
      <c r="BF623" s="779"/>
      <c r="BG623" s="779"/>
      <c r="BH623" s="779"/>
      <c r="BI623" s="779"/>
      <c r="BJ623" s="779"/>
      <c r="BK623" s="779"/>
      <c r="BL623" s="779"/>
      <c r="BM623" s="779"/>
      <c r="BN623" s="779"/>
      <c r="BO623" s="779"/>
      <c r="BP623" s="779"/>
      <c r="BQ623" s="779"/>
      <c r="BR623" s="779"/>
      <c r="BS623" s="779"/>
      <c r="BT623" s="779"/>
      <c r="BU623" s="779"/>
      <c r="BV623" s="779"/>
      <c r="BW623" s="779"/>
      <c r="BX623" s="779"/>
      <c r="BY623" s="779"/>
      <c r="BZ623" s="779"/>
      <c r="CA623" s="779"/>
      <c r="CB623" s="779"/>
      <c r="CC623" s="779"/>
    </row>
    <row r="624" spans="1:81">
      <c r="A624" s="779"/>
      <c r="B624" s="779"/>
      <c r="C624" s="779"/>
      <c r="D624" s="779"/>
      <c r="E624" s="779"/>
      <c r="F624" s="779"/>
      <c r="G624" s="779"/>
      <c r="H624" s="779"/>
      <c r="I624" s="779"/>
      <c r="J624" s="779"/>
      <c r="K624" s="779"/>
      <c r="L624" s="779"/>
      <c r="M624" s="779"/>
      <c r="N624" s="779"/>
      <c r="O624" s="779"/>
      <c r="P624" s="779"/>
      <c r="Q624" s="779"/>
      <c r="R624" s="779"/>
      <c r="S624" s="779"/>
      <c r="T624" s="779"/>
      <c r="U624" s="779"/>
      <c r="V624" s="779"/>
      <c r="W624" s="779"/>
      <c r="X624" s="779"/>
      <c r="Y624" s="779"/>
      <c r="Z624" s="779"/>
      <c r="AA624" s="779"/>
      <c r="AB624" s="779"/>
      <c r="AC624" s="779"/>
      <c r="AD624" s="779"/>
      <c r="AE624" s="779"/>
      <c r="AF624" s="779"/>
      <c r="AG624" s="779"/>
      <c r="AH624" s="779"/>
      <c r="AI624" s="779"/>
      <c r="AJ624" s="779"/>
      <c r="AK624" s="779"/>
      <c r="AL624" s="779"/>
      <c r="AM624" s="779"/>
      <c r="AN624" s="779"/>
      <c r="AO624" s="779"/>
      <c r="AP624" s="779"/>
      <c r="AQ624" s="779"/>
      <c r="AR624" s="779"/>
      <c r="AS624" s="779"/>
      <c r="AT624" s="779"/>
      <c r="AU624" s="779"/>
      <c r="AV624" s="779"/>
      <c r="AW624" s="779"/>
      <c r="AX624" s="779"/>
      <c r="AY624" s="779"/>
      <c r="AZ624" s="779"/>
      <c r="BA624" s="779"/>
      <c r="BB624" s="779"/>
      <c r="BC624" s="779"/>
      <c r="BD624" s="779"/>
      <c r="BE624" s="779"/>
      <c r="BF624" s="779"/>
      <c r="BG624" s="779"/>
      <c r="BH624" s="779"/>
      <c r="BI624" s="779"/>
      <c r="BJ624" s="779"/>
      <c r="BK624" s="779"/>
      <c r="BL624" s="779"/>
      <c r="BM624" s="779"/>
      <c r="BN624" s="779"/>
      <c r="BO624" s="779"/>
      <c r="BP624" s="779"/>
      <c r="BQ624" s="779"/>
      <c r="BR624" s="779"/>
      <c r="BS624" s="779"/>
      <c r="BT624" s="779"/>
      <c r="BU624" s="779"/>
      <c r="BV624" s="779"/>
      <c r="BW624" s="779"/>
      <c r="BX624" s="779"/>
      <c r="BY624" s="779"/>
      <c r="BZ624" s="779"/>
      <c r="CA624" s="779"/>
      <c r="CB624" s="779"/>
      <c r="CC624" s="779"/>
    </row>
    <row r="625" spans="1:81">
      <c r="A625" s="779"/>
      <c r="B625" s="779"/>
      <c r="C625" s="779"/>
      <c r="D625" s="779"/>
      <c r="E625" s="779"/>
      <c r="F625" s="779"/>
      <c r="G625" s="779"/>
      <c r="H625" s="779"/>
      <c r="I625" s="779"/>
      <c r="J625" s="779"/>
      <c r="K625" s="779"/>
      <c r="L625" s="779"/>
      <c r="M625" s="779"/>
      <c r="N625" s="779"/>
      <c r="O625" s="779"/>
      <c r="P625" s="779"/>
      <c r="Q625" s="779"/>
      <c r="R625" s="779"/>
      <c r="S625" s="779"/>
      <c r="T625" s="779"/>
      <c r="U625" s="779"/>
      <c r="V625" s="779"/>
      <c r="W625" s="779"/>
      <c r="X625" s="779"/>
      <c r="Y625" s="779"/>
      <c r="Z625" s="779"/>
      <c r="AA625" s="779"/>
      <c r="AB625" s="779"/>
      <c r="AC625" s="779"/>
      <c r="AD625" s="779"/>
      <c r="AE625" s="779"/>
      <c r="AF625" s="779"/>
      <c r="AG625" s="779"/>
      <c r="AH625" s="779"/>
      <c r="AI625" s="779"/>
      <c r="AJ625" s="779"/>
      <c r="AK625" s="779"/>
      <c r="AL625" s="779"/>
      <c r="AM625" s="779"/>
      <c r="AN625" s="779"/>
      <c r="AO625" s="779"/>
      <c r="AP625" s="779"/>
      <c r="AQ625" s="779"/>
      <c r="AR625" s="779"/>
      <c r="AS625" s="779"/>
      <c r="AT625" s="779"/>
      <c r="AU625" s="779"/>
      <c r="AV625" s="779"/>
      <c r="AW625" s="779"/>
      <c r="AX625" s="779"/>
      <c r="AY625" s="779"/>
      <c r="AZ625" s="779"/>
      <c r="BA625" s="779"/>
      <c r="BB625" s="779"/>
      <c r="BC625" s="779"/>
      <c r="BD625" s="779"/>
      <c r="BE625" s="779"/>
      <c r="BF625" s="779"/>
      <c r="BG625" s="779"/>
      <c r="BH625" s="779"/>
      <c r="BI625" s="779"/>
      <c r="BJ625" s="779"/>
      <c r="BK625" s="779"/>
      <c r="BL625" s="779"/>
      <c r="BM625" s="779"/>
      <c r="BN625" s="779"/>
      <c r="BO625" s="779"/>
      <c r="BP625" s="779"/>
      <c r="BQ625" s="779"/>
      <c r="BR625" s="779"/>
      <c r="BS625" s="779"/>
      <c r="BT625" s="779"/>
      <c r="BU625" s="779"/>
      <c r="BV625" s="779"/>
      <c r="BW625" s="779"/>
      <c r="BX625" s="779"/>
      <c r="BY625" s="779"/>
      <c r="BZ625" s="779"/>
      <c r="CA625" s="779"/>
      <c r="CB625" s="779"/>
      <c r="CC625" s="779"/>
    </row>
    <row r="626" spans="1:81">
      <c r="A626" s="779"/>
      <c r="B626" s="779"/>
      <c r="C626" s="779"/>
      <c r="D626" s="779"/>
      <c r="E626" s="779"/>
      <c r="F626" s="779"/>
      <c r="G626" s="779"/>
      <c r="H626" s="779"/>
      <c r="I626" s="779"/>
      <c r="J626" s="779"/>
      <c r="K626" s="779"/>
      <c r="L626" s="779"/>
      <c r="M626" s="779"/>
      <c r="N626" s="779"/>
      <c r="O626" s="779"/>
      <c r="P626" s="779"/>
      <c r="Q626" s="779"/>
      <c r="R626" s="779"/>
      <c r="S626" s="779"/>
      <c r="T626" s="779"/>
      <c r="U626" s="779"/>
      <c r="V626" s="779"/>
      <c r="W626" s="779"/>
      <c r="X626" s="779"/>
      <c r="Y626" s="779"/>
      <c r="Z626" s="779"/>
      <c r="AA626" s="779"/>
      <c r="AB626" s="779"/>
      <c r="AC626" s="779"/>
      <c r="AD626" s="779"/>
      <c r="AE626" s="779"/>
      <c r="AF626" s="779"/>
      <c r="AG626" s="779"/>
      <c r="AH626" s="779"/>
      <c r="AI626" s="779"/>
      <c r="AJ626" s="779"/>
      <c r="AK626" s="779"/>
      <c r="AL626" s="779"/>
      <c r="AM626" s="779"/>
      <c r="AN626" s="779"/>
      <c r="AO626" s="779"/>
      <c r="AP626" s="779"/>
      <c r="AQ626" s="779"/>
      <c r="AR626" s="779"/>
      <c r="AS626" s="779"/>
      <c r="AT626" s="779"/>
      <c r="AU626" s="779"/>
      <c r="AV626" s="779"/>
      <c r="AW626" s="779"/>
      <c r="AX626" s="779"/>
      <c r="AY626" s="779"/>
      <c r="AZ626" s="779"/>
      <c r="BA626" s="779"/>
      <c r="BB626" s="779"/>
      <c r="BC626" s="779"/>
      <c r="BD626" s="779"/>
      <c r="BE626" s="779"/>
      <c r="BF626" s="779"/>
      <c r="BG626" s="779"/>
      <c r="BH626" s="779"/>
      <c r="BI626" s="779"/>
      <c r="BJ626" s="779"/>
      <c r="BK626" s="779"/>
      <c r="BL626" s="779"/>
      <c r="BM626" s="779"/>
      <c r="BN626" s="779"/>
      <c r="BO626" s="779"/>
      <c r="BP626" s="779"/>
      <c r="BQ626" s="779"/>
      <c r="BR626" s="779"/>
      <c r="BS626" s="779"/>
      <c r="BT626" s="779"/>
      <c r="BU626" s="779"/>
      <c r="BV626" s="779"/>
      <c r="BW626" s="779"/>
      <c r="BX626" s="779"/>
      <c r="BY626" s="779"/>
      <c r="BZ626" s="779"/>
      <c r="CA626" s="779"/>
      <c r="CB626" s="779"/>
      <c r="CC626" s="779"/>
    </row>
    <row r="627" spans="1:81">
      <c r="A627" s="779"/>
      <c r="B627" s="779"/>
      <c r="C627" s="779"/>
      <c r="D627" s="779"/>
      <c r="E627" s="779"/>
      <c r="F627" s="779"/>
      <c r="G627" s="779"/>
      <c r="H627" s="779"/>
      <c r="I627" s="779"/>
      <c r="J627" s="779"/>
      <c r="K627" s="779"/>
      <c r="L627" s="779"/>
      <c r="M627" s="779"/>
      <c r="N627" s="779"/>
      <c r="O627" s="779"/>
      <c r="P627" s="779"/>
      <c r="Q627" s="779"/>
      <c r="R627" s="779"/>
      <c r="S627" s="779"/>
      <c r="T627" s="779"/>
      <c r="U627" s="779"/>
      <c r="V627" s="779"/>
      <c r="W627" s="779"/>
      <c r="X627" s="779"/>
      <c r="Y627" s="779"/>
      <c r="Z627" s="779"/>
      <c r="AA627" s="779"/>
      <c r="AB627" s="779"/>
      <c r="AC627" s="779"/>
      <c r="AD627" s="779"/>
      <c r="AE627" s="779"/>
      <c r="AF627" s="779"/>
      <c r="AG627" s="779"/>
      <c r="AH627" s="779"/>
      <c r="AI627" s="779"/>
      <c r="AJ627" s="779"/>
      <c r="AK627" s="779"/>
      <c r="AL627" s="779"/>
      <c r="AM627" s="779"/>
      <c r="AN627" s="779"/>
      <c r="AO627" s="779"/>
      <c r="AP627" s="779"/>
      <c r="AQ627" s="779"/>
      <c r="AR627" s="779"/>
      <c r="AS627" s="779"/>
      <c r="AT627" s="779"/>
      <c r="AU627" s="779"/>
      <c r="AV627" s="779"/>
      <c r="AW627" s="779"/>
      <c r="AX627" s="779"/>
      <c r="AY627" s="779"/>
      <c r="AZ627" s="779"/>
      <c r="BA627" s="779"/>
      <c r="BB627" s="779"/>
      <c r="BC627" s="779"/>
      <c r="BD627" s="779"/>
      <c r="BE627" s="779"/>
      <c r="BF627" s="779"/>
      <c r="BG627" s="779"/>
      <c r="BH627" s="779"/>
      <c r="BI627" s="779"/>
      <c r="BJ627" s="779"/>
      <c r="BK627" s="779"/>
      <c r="BL627" s="779"/>
      <c r="BM627" s="779"/>
      <c r="BN627" s="779"/>
      <c r="BO627" s="779"/>
      <c r="BP627" s="779"/>
      <c r="BQ627" s="779"/>
      <c r="BR627" s="779"/>
      <c r="BS627" s="779"/>
      <c r="BT627" s="779"/>
      <c r="BU627" s="779"/>
      <c r="BV627" s="779"/>
      <c r="BW627" s="779"/>
      <c r="BX627" s="779"/>
      <c r="BY627" s="779"/>
      <c r="BZ627" s="779"/>
      <c r="CA627" s="779"/>
      <c r="CB627" s="779"/>
      <c r="CC627" s="779"/>
    </row>
    <row r="628" spans="1:81">
      <c r="A628" s="779"/>
      <c r="B628" s="779"/>
      <c r="C628" s="779"/>
      <c r="D628" s="779"/>
      <c r="E628" s="779"/>
      <c r="F628" s="779"/>
      <c r="G628" s="779"/>
      <c r="H628" s="779"/>
      <c r="I628" s="779"/>
      <c r="J628" s="779"/>
      <c r="K628" s="779"/>
      <c r="L628" s="779"/>
      <c r="M628" s="779"/>
      <c r="N628" s="779"/>
      <c r="O628" s="779"/>
      <c r="P628" s="779"/>
      <c r="Q628" s="779"/>
      <c r="R628" s="779"/>
      <c r="S628" s="779"/>
      <c r="T628" s="779"/>
      <c r="U628" s="779"/>
      <c r="V628" s="779"/>
      <c r="W628" s="779"/>
      <c r="X628" s="779"/>
      <c r="Y628" s="779"/>
      <c r="Z628" s="779"/>
      <c r="AA628" s="779"/>
      <c r="AB628" s="779"/>
      <c r="AC628" s="779"/>
      <c r="AD628" s="779"/>
      <c r="AE628" s="779"/>
      <c r="AF628" s="779"/>
      <c r="AG628" s="779"/>
      <c r="AH628" s="779"/>
      <c r="AI628" s="779"/>
      <c r="AJ628" s="779"/>
      <c r="AK628" s="779"/>
      <c r="AL628" s="779"/>
      <c r="AM628" s="779"/>
      <c r="AN628" s="779"/>
      <c r="AO628" s="779"/>
      <c r="AP628" s="779"/>
      <c r="AQ628" s="779"/>
      <c r="AR628" s="779"/>
      <c r="AS628" s="779"/>
      <c r="AT628" s="779"/>
      <c r="AU628" s="779"/>
      <c r="AV628" s="779"/>
      <c r="AW628" s="779"/>
      <c r="AX628" s="779"/>
      <c r="AY628" s="779"/>
      <c r="AZ628" s="779"/>
      <c r="BA628" s="779"/>
      <c r="BB628" s="779"/>
      <c r="BC628" s="779"/>
      <c r="BD628" s="779"/>
      <c r="BE628" s="779"/>
      <c r="BF628" s="779"/>
      <c r="BG628" s="779"/>
      <c r="BH628" s="779"/>
      <c r="BI628" s="779"/>
      <c r="BJ628" s="779"/>
      <c r="BK628" s="779"/>
      <c r="BL628" s="779"/>
      <c r="BM628" s="779"/>
      <c r="BN628" s="779"/>
      <c r="BO628" s="779"/>
      <c r="BP628" s="779"/>
      <c r="BQ628" s="779"/>
      <c r="BR628" s="779"/>
      <c r="BS628" s="779"/>
      <c r="BT628" s="779"/>
      <c r="BU628" s="779"/>
      <c r="BV628" s="779"/>
      <c r="BW628" s="779"/>
      <c r="BX628" s="779"/>
      <c r="BY628" s="779"/>
      <c r="BZ628" s="779"/>
      <c r="CA628" s="779"/>
      <c r="CB628" s="779"/>
      <c r="CC628" s="779"/>
    </row>
    <row r="629" spans="1:81">
      <c r="A629" s="779"/>
      <c r="B629" s="779"/>
      <c r="C629" s="779"/>
      <c r="D629" s="779"/>
      <c r="E629" s="779"/>
      <c r="F629" s="779"/>
      <c r="G629" s="779"/>
      <c r="H629" s="779"/>
      <c r="I629" s="779"/>
      <c r="J629" s="779"/>
      <c r="K629" s="779"/>
      <c r="L629" s="779"/>
      <c r="M629" s="779"/>
      <c r="N629" s="779"/>
      <c r="O629" s="779"/>
      <c r="P629" s="779"/>
      <c r="Q629" s="779"/>
      <c r="R629" s="779"/>
      <c r="S629" s="779"/>
      <c r="T629" s="779"/>
      <c r="U629" s="779"/>
      <c r="V629" s="779"/>
      <c r="W629" s="779"/>
      <c r="X629" s="779"/>
      <c r="Y629" s="779"/>
      <c r="Z629" s="779"/>
      <c r="AA629" s="779"/>
      <c r="AB629" s="779"/>
      <c r="AC629" s="779"/>
      <c r="AD629" s="779"/>
      <c r="AE629" s="779"/>
      <c r="AF629" s="779"/>
      <c r="AG629" s="779"/>
      <c r="AH629" s="779"/>
      <c r="AI629" s="779"/>
      <c r="AJ629" s="779"/>
      <c r="AK629" s="779"/>
      <c r="AL629" s="779"/>
      <c r="AM629" s="779"/>
      <c r="AN629" s="779"/>
      <c r="AO629" s="779"/>
      <c r="AP629" s="779"/>
      <c r="AQ629" s="779"/>
      <c r="AR629" s="779"/>
      <c r="AS629" s="779"/>
      <c r="AT629" s="779"/>
      <c r="AU629" s="779"/>
      <c r="AV629" s="779"/>
      <c r="AW629" s="779"/>
      <c r="AX629" s="779"/>
      <c r="AY629" s="779"/>
      <c r="AZ629" s="779"/>
      <c r="BA629" s="779"/>
      <c r="BB629" s="779"/>
      <c r="BC629" s="779"/>
      <c r="BD629" s="779"/>
      <c r="BE629" s="779"/>
      <c r="BF629" s="779"/>
      <c r="BG629" s="779"/>
      <c r="BH629" s="779"/>
      <c r="BI629" s="779"/>
      <c r="BJ629" s="779"/>
      <c r="BK629" s="779"/>
      <c r="BL629" s="779"/>
      <c r="BM629" s="779"/>
      <c r="BN629" s="779"/>
      <c r="BO629" s="779"/>
      <c r="BP629" s="779"/>
      <c r="BQ629" s="779"/>
      <c r="BR629" s="779"/>
      <c r="BS629" s="779"/>
      <c r="BT629" s="779"/>
      <c r="BU629" s="779"/>
      <c r="BV629" s="779"/>
      <c r="BW629" s="779"/>
      <c r="BX629" s="779"/>
      <c r="BY629" s="779"/>
      <c r="BZ629" s="779"/>
      <c r="CA629" s="779"/>
      <c r="CB629" s="779"/>
      <c r="CC629" s="779"/>
    </row>
    <row r="630" spans="1:81">
      <c r="A630" s="779"/>
      <c r="B630" s="779"/>
      <c r="C630" s="779"/>
      <c r="D630" s="779"/>
      <c r="E630" s="779"/>
      <c r="F630" s="779"/>
      <c r="G630" s="779"/>
      <c r="H630" s="779"/>
      <c r="I630" s="779"/>
      <c r="J630" s="779"/>
      <c r="K630" s="779"/>
      <c r="L630" s="779"/>
      <c r="M630" s="779"/>
      <c r="N630" s="779"/>
      <c r="O630" s="779"/>
      <c r="P630" s="779"/>
      <c r="Q630" s="779"/>
      <c r="R630" s="779"/>
      <c r="S630" s="779"/>
      <c r="T630" s="779"/>
      <c r="U630" s="779"/>
      <c r="V630" s="779"/>
      <c r="W630" s="779"/>
      <c r="X630" s="779"/>
      <c r="Y630" s="779"/>
      <c r="Z630" s="779"/>
      <c r="AA630" s="779"/>
      <c r="AB630" s="779"/>
      <c r="AC630" s="779"/>
      <c r="AD630" s="779"/>
      <c r="AE630" s="779"/>
      <c r="AF630" s="779"/>
      <c r="AG630" s="779"/>
      <c r="AH630" s="779"/>
      <c r="AI630" s="779"/>
      <c r="AJ630" s="779"/>
      <c r="AK630" s="779"/>
      <c r="AL630" s="779"/>
      <c r="AM630" s="779"/>
      <c r="AN630" s="779"/>
      <c r="AO630" s="779"/>
      <c r="AP630" s="779"/>
      <c r="AQ630" s="779"/>
      <c r="AR630" s="779"/>
      <c r="AS630" s="779"/>
      <c r="AT630" s="779"/>
      <c r="AU630" s="779"/>
      <c r="AV630" s="779"/>
      <c r="AW630" s="779"/>
      <c r="AX630" s="779"/>
      <c r="AY630" s="779"/>
      <c r="AZ630" s="779"/>
      <c r="BA630" s="779"/>
      <c r="BB630" s="779"/>
      <c r="BC630" s="779"/>
      <c r="BD630" s="779"/>
      <c r="BE630" s="779"/>
      <c r="BF630" s="779"/>
      <c r="BG630" s="779"/>
      <c r="BH630" s="779"/>
      <c r="BI630" s="779"/>
      <c r="BJ630" s="779"/>
      <c r="BK630" s="779"/>
      <c r="BL630" s="779"/>
      <c r="BM630" s="779"/>
      <c r="BN630" s="779"/>
      <c r="BO630" s="779"/>
      <c r="BP630" s="779"/>
      <c r="BQ630" s="779"/>
      <c r="BR630" s="779"/>
      <c r="BS630" s="779"/>
      <c r="BT630" s="779"/>
      <c r="BU630" s="779"/>
      <c r="BV630" s="779"/>
      <c r="BW630" s="779"/>
      <c r="BX630" s="779"/>
      <c r="BY630" s="779"/>
      <c r="BZ630" s="779"/>
      <c r="CA630" s="779"/>
      <c r="CB630" s="779"/>
      <c r="CC630" s="779"/>
    </row>
    <row r="631" spans="1:81">
      <c r="A631" s="779"/>
      <c r="B631" s="779"/>
      <c r="C631" s="779"/>
      <c r="D631" s="779"/>
      <c r="E631" s="779"/>
      <c r="F631" s="779"/>
      <c r="G631" s="779"/>
      <c r="H631" s="779"/>
      <c r="I631" s="779"/>
      <c r="J631" s="779"/>
      <c r="K631" s="779"/>
      <c r="L631" s="779"/>
      <c r="M631" s="779"/>
      <c r="N631" s="779"/>
      <c r="O631" s="779"/>
      <c r="P631" s="779"/>
      <c r="Q631" s="779"/>
      <c r="R631" s="779"/>
      <c r="S631" s="779"/>
      <c r="T631" s="779"/>
      <c r="U631" s="779"/>
      <c r="V631" s="779"/>
      <c r="W631" s="779"/>
      <c r="X631" s="779"/>
      <c r="Y631" s="779"/>
      <c r="Z631" s="779"/>
      <c r="AA631" s="779"/>
      <c r="AB631" s="779"/>
      <c r="AC631" s="779"/>
      <c r="AD631" s="779"/>
      <c r="AE631" s="779"/>
      <c r="AF631" s="779"/>
      <c r="AG631" s="779"/>
      <c r="AH631" s="779"/>
      <c r="AI631" s="779"/>
      <c r="AJ631" s="779"/>
      <c r="AK631" s="779"/>
      <c r="AL631" s="779"/>
      <c r="AM631" s="779"/>
      <c r="AN631" s="779"/>
      <c r="AO631" s="779"/>
      <c r="AP631" s="779"/>
      <c r="AQ631" s="779"/>
      <c r="AR631" s="779"/>
      <c r="AS631" s="779"/>
      <c r="AT631" s="779"/>
      <c r="AU631" s="779"/>
      <c r="AV631" s="779"/>
      <c r="AW631" s="779"/>
      <c r="AX631" s="779"/>
      <c r="AY631" s="779"/>
      <c r="AZ631" s="779"/>
      <c r="BA631" s="779"/>
      <c r="BB631" s="779"/>
      <c r="BC631" s="779"/>
      <c r="BD631" s="779"/>
      <c r="BE631" s="779"/>
      <c r="BF631" s="779"/>
      <c r="BG631" s="779"/>
      <c r="BH631" s="779"/>
      <c r="BI631" s="779"/>
      <c r="BJ631" s="779"/>
      <c r="BK631" s="779"/>
      <c r="BL631" s="779"/>
      <c r="BM631" s="779"/>
      <c r="BN631" s="779"/>
      <c r="BO631" s="779"/>
      <c r="BP631" s="779"/>
      <c r="BQ631" s="779"/>
      <c r="BR631" s="779"/>
      <c r="BS631" s="779"/>
      <c r="BT631" s="779"/>
      <c r="BU631" s="779"/>
      <c r="BV631" s="779"/>
      <c r="BW631" s="779"/>
      <c r="BX631" s="779"/>
      <c r="BY631" s="779"/>
      <c r="BZ631" s="779"/>
      <c r="CA631" s="779"/>
      <c r="CB631" s="779"/>
      <c r="CC631" s="779"/>
    </row>
    <row r="632" spans="1:81">
      <c r="A632" s="779"/>
      <c r="B632" s="779"/>
      <c r="C632" s="779"/>
      <c r="D632" s="779"/>
      <c r="E632" s="779"/>
      <c r="F632" s="779"/>
      <c r="G632" s="779"/>
      <c r="H632" s="779"/>
      <c r="I632" s="779"/>
      <c r="J632" s="779"/>
      <c r="K632" s="779"/>
      <c r="L632" s="779"/>
      <c r="M632" s="779"/>
      <c r="N632" s="779"/>
      <c r="O632" s="779"/>
      <c r="P632" s="779"/>
      <c r="Q632" s="779"/>
      <c r="R632" s="779"/>
      <c r="S632" s="779"/>
      <c r="T632" s="779"/>
      <c r="U632" s="779"/>
      <c r="V632" s="779"/>
      <c r="W632" s="779"/>
      <c r="X632" s="779"/>
      <c r="Y632" s="779"/>
      <c r="Z632" s="779"/>
      <c r="AA632" s="779"/>
      <c r="AB632" s="779"/>
      <c r="AC632" s="779"/>
      <c r="AD632" s="779"/>
      <c r="AE632" s="779"/>
      <c r="AF632" s="779"/>
      <c r="AG632" s="779"/>
      <c r="AH632" s="779"/>
      <c r="AI632" s="779"/>
      <c r="AJ632" s="779"/>
      <c r="AK632" s="779"/>
      <c r="AL632" s="779"/>
      <c r="AM632" s="779"/>
      <c r="AN632" s="779"/>
      <c r="AO632" s="779"/>
      <c r="AP632" s="779"/>
      <c r="AQ632" s="779"/>
      <c r="AR632" s="779"/>
      <c r="AS632" s="779"/>
      <c r="AT632" s="779"/>
      <c r="AU632" s="779"/>
      <c r="AV632" s="779"/>
      <c r="AW632" s="779"/>
      <c r="AX632" s="779"/>
      <c r="AY632" s="779"/>
      <c r="AZ632" s="779"/>
      <c r="BA632" s="779"/>
      <c r="BB632" s="779"/>
      <c r="BC632" s="779"/>
      <c r="BD632" s="779"/>
      <c r="BE632" s="779"/>
      <c r="BF632" s="779"/>
      <c r="BG632" s="779"/>
      <c r="BH632" s="779"/>
      <c r="BI632" s="779"/>
      <c r="BJ632" s="779"/>
      <c r="BK632" s="779"/>
      <c r="BL632" s="779"/>
      <c r="BM632" s="779"/>
      <c r="BN632" s="779"/>
      <c r="BO632" s="779"/>
      <c r="BP632" s="779"/>
      <c r="BQ632" s="779"/>
      <c r="BR632" s="779"/>
      <c r="BS632" s="779"/>
      <c r="BT632" s="779"/>
      <c r="BU632" s="779"/>
      <c r="BV632" s="779"/>
      <c r="BW632" s="779"/>
      <c r="BX632" s="779"/>
      <c r="BY632" s="779"/>
      <c r="BZ632" s="779"/>
      <c r="CA632" s="779"/>
      <c r="CB632" s="779"/>
      <c r="CC632" s="779"/>
    </row>
    <row r="633" spans="1:81">
      <c r="A633" s="779"/>
      <c r="B633" s="779"/>
      <c r="C633" s="779"/>
      <c r="D633" s="779"/>
      <c r="E633" s="779"/>
      <c r="F633" s="779"/>
      <c r="G633" s="779"/>
      <c r="H633" s="779"/>
      <c r="I633" s="779"/>
      <c r="J633" s="779"/>
      <c r="K633" s="779"/>
      <c r="L633" s="779"/>
      <c r="M633" s="779"/>
      <c r="N633" s="779"/>
      <c r="O633" s="779"/>
      <c r="P633" s="779"/>
      <c r="Q633" s="779"/>
      <c r="R633" s="779"/>
      <c r="S633" s="779"/>
      <c r="T633" s="779"/>
      <c r="U633" s="779"/>
      <c r="V633" s="779"/>
      <c r="W633" s="779"/>
      <c r="X633" s="779"/>
      <c r="Y633" s="779"/>
      <c r="Z633" s="779"/>
      <c r="AA633" s="779"/>
      <c r="AB633" s="779"/>
      <c r="AC633" s="779"/>
      <c r="AD633" s="779"/>
      <c r="AE633" s="779"/>
      <c r="AF633" s="779"/>
      <c r="AG633" s="779"/>
      <c r="AH633" s="779"/>
      <c r="AI633" s="779"/>
      <c r="AJ633" s="779"/>
      <c r="AK633" s="779"/>
      <c r="AL633" s="779"/>
      <c r="AM633" s="779"/>
      <c r="AN633" s="779"/>
      <c r="AO633" s="779"/>
      <c r="AP633" s="779"/>
      <c r="AQ633" s="779"/>
      <c r="AR633" s="779"/>
      <c r="AS633" s="779"/>
      <c r="AT633" s="779"/>
      <c r="AU633" s="779"/>
      <c r="AV633" s="779"/>
      <c r="AW633" s="779"/>
      <c r="AX633" s="779"/>
      <c r="AY633" s="779"/>
      <c r="AZ633" s="779"/>
      <c r="BA633" s="779"/>
      <c r="BB633" s="779"/>
      <c r="BC633" s="779"/>
      <c r="BD633" s="779"/>
      <c r="BE633" s="779"/>
      <c r="BF633" s="779"/>
      <c r="BG633" s="779"/>
      <c r="BH633" s="779"/>
      <c r="BI633" s="779"/>
      <c r="BJ633" s="779"/>
      <c r="BK633" s="779"/>
      <c r="BL633" s="779"/>
      <c r="BM633" s="779"/>
      <c r="BN633" s="779"/>
      <c r="BO633" s="779"/>
      <c r="BP633" s="779"/>
      <c r="BQ633" s="779"/>
      <c r="BR633" s="779"/>
      <c r="BS633" s="779"/>
      <c r="BT633" s="779"/>
      <c r="BU633" s="779"/>
      <c r="BV633" s="779"/>
      <c r="BW633" s="779"/>
      <c r="BX633" s="779"/>
      <c r="BY633" s="779"/>
      <c r="BZ633" s="779"/>
      <c r="CA633" s="779"/>
      <c r="CB633" s="779"/>
      <c r="CC633" s="779"/>
    </row>
    <row r="634" spans="1:81">
      <c r="A634" s="779"/>
      <c r="B634" s="779"/>
      <c r="C634" s="779"/>
      <c r="D634" s="779"/>
      <c r="E634" s="779"/>
      <c r="F634" s="779"/>
      <c r="G634" s="779"/>
      <c r="H634" s="779"/>
      <c r="I634" s="779"/>
      <c r="J634" s="779"/>
      <c r="K634" s="779"/>
      <c r="L634" s="779"/>
      <c r="M634" s="779"/>
      <c r="N634" s="779"/>
      <c r="O634" s="779"/>
      <c r="P634" s="779"/>
      <c r="Q634" s="779"/>
      <c r="R634" s="779"/>
      <c r="S634" s="779"/>
      <c r="T634" s="779"/>
      <c r="U634" s="779"/>
      <c r="V634" s="779"/>
      <c r="W634" s="779"/>
      <c r="X634" s="779"/>
      <c r="Y634" s="779"/>
      <c r="Z634" s="779"/>
      <c r="AA634" s="779"/>
      <c r="AB634" s="779"/>
      <c r="AC634" s="779"/>
      <c r="AD634" s="779"/>
      <c r="AE634" s="779"/>
      <c r="AF634" s="779"/>
      <c r="AG634" s="779"/>
      <c r="AH634" s="779"/>
      <c r="AI634" s="779"/>
      <c r="AJ634" s="779"/>
      <c r="AK634" s="779"/>
      <c r="AL634" s="779"/>
      <c r="AM634" s="779"/>
      <c r="AN634" s="779"/>
      <c r="AO634" s="779"/>
      <c r="AP634" s="779"/>
      <c r="AQ634" s="779"/>
      <c r="AR634" s="779"/>
      <c r="AS634" s="779"/>
      <c r="AT634" s="779"/>
      <c r="AU634" s="779"/>
      <c r="AV634" s="779"/>
      <c r="AW634" s="779"/>
      <c r="AX634" s="779"/>
      <c r="AY634" s="779"/>
      <c r="AZ634" s="779"/>
      <c r="BA634" s="779"/>
      <c r="BB634" s="779"/>
      <c r="BC634" s="779"/>
      <c r="BD634" s="779"/>
      <c r="BE634" s="779"/>
      <c r="BF634" s="779"/>
      <c r="BG634" s="779"/>
      <c r="BH634" s="779"/>
      <c r="BI634" s="779"/>
      <c r="BJ634" s="779"/>
      <c r="BK634" s="779"/>
      <c r="BL634" s="779"/>
      <c r="BM634" s="779"/>
      <c r="BN634" s="779"/>
      <c r="BO634" s="779"/>
      <c r="BP634" s="779"/>
      <c r="BQ634" s="779"/>
      <c r="BR634" s="779"/>
      <c r="BS634" s="779"/>
      <c r="BT634" s="779"/>
      <c r="BU634" s="779"/>
      <c r="BV634" s="779"/>
      <c r="BW634" s="779"/>
      <c r="BX634" s="779"/>
      <c r="BY634" s="779"/>
      <c r="BZ634" s="779"/>
      <c r="CA634" s="779"/>
      <c r="CB634" s="779"/>
      <c r="CC634" s="779"/>
    </row>
    <row r="635" spans="1:81">
      <c r="A635" s="779"/>
      <c r="B635" s="779"/>
      <c r="C635" s="779"/>
      <c r="D635" s="779"/>
      <c r="E635" s="779"/>
      <c r="F635" s="779"/>
      <c r="G635" s="779"/>
      <c r="H635" s="779"/>
      <c r="I635" s="779"/>
      <c r="J635" s="779"/>
      <c r="K635" s="779"/>
      <c r="L635" s="779"/>
      <c r="M635" s="779"/>
      <c r="N635" s="779"/>
      <c r="O635" s="779"/>
      <c r="P635" s="779"/>
      <c r="Q635" s="779"/>
      <c r="R635" s="779"/>
      <c r="S635" s="779"/>
      <c r="T635" s="779"/>
      <c r="U635" s="779"/>
      <c r="V635" s="779"/>
      <c r="W635" s="779"/>
      <c r="X635" s="779"/>
      <c r="Y635" s="779"/>
      <c r="Z635" s="779"/>
      <c r="AA635" s="779"/>
      <c r="AB635" s="779"/>
      <c r="AC635" s="779"/>
      <c r="AD635" s="779"/>
      <c r="AE635" s="779"/>
      <c r="AF635" s="779"/>
      <c r="AG635" s="779"/>
      <c r="AH635" s="779"/>
      <c r="AI635" s="779"/>
      <c r="AJ635" s="779"/>
      <c r="AK635" s="779"/>
      <c r="AL635" s="779"/>
      <c r="AM635" s="779"/>
      <c r="AN635" s="779"/>
      <c r="AO635" s="779"/>
      <c r="AP635" s="779"/>
      <c r="AQ635" s="779"/>
      <c r="AR635" s="779"/>
      <c r="AS635" s="779"/>
      <c r="AT635" s="779"/>
      <c r="AU635" s="779"/>
      <c r="AV635" s="779"/>
      <c r="AW635" s="779"/>
      <c r="AX635" s="779"/>
      <c r="AY635" s="779"/>
      <c r="AZ635" s="779"/>
      <c r="BA635" s="779"/>
      <c r="BB635" s="779"/>
      <c r="BC635" s="779"/>
      <c r="BD635" s="779"/>
      <c r="BE635" s="779"/>
      <c r="BF635" s="779"/>
      <c r="BG635" s="779"/>
      <c r="BH635" s="779"/>
      <c r="BI635" s="779"/>
      <c r="BJ635" s="779"/>
      <c r="BK635" s="779"/>
      <c r="BL635" s="779"/>
      <c r="BM635" s="779"/>
      <c r="BN635" s="779"/>
      <c r="BO635" s="779"/>
      <c r="BP635" s="779"/>
      <c r="BQ635" s="779"/>
      <c r="BR635" s="779"/>
      <c r="BS635" s="779"/>
      <c r="BT635" s="779"/>
      <c r="BU635" s="779"/>
      <c r="BV635" s="779"/>
      <c r="BW635" s="779"/>
      <c r="BX635" s="779"/>
      <c r="BY635" s="779"/>
      <c r="BZ635" s="779"/>
      <c r="CA635" s="779"/>
      <c r="CB635" s="779"/>
      <c r="CC635" s="779"/>
    </row>
    <row r="636" spans="1:81">
      <c r="A636" s="779"/>
      <c r="B636" s="779"/>
      <c r="C636" s="779"/>
      <c r="D636" s="779"/>
      <c r="E636" s="779"/>
      <c r="F636" s="779"/>
      <c r="G636" s="779"/>
      <c r="H636" s="779"/>
      <c r="I636" s="779"/>
      <c r="J636" s="779"/>
      <c r="K636" s="779"/>
      <c r="L636" s="779"/>
      <c r="M636" s="779"/>
      <c r="N636" s="779"/>
      <c r="O636" s="779"/>
      <c r="P636" s="779"/>
      <c r="Q636" s="779"/>
      <c r="R636" s="779"/>
      <c r="S636" s="779"/>
      <c r="T636" s="779"/>
      <c r="U636" s="779"/>
      <c r="V636" s="779"/>
      <c r="W636" s="779"/>
      <c r="X636" s="779"/>
      <c r="Y636" s="779"/>
      <c r="Z636" s="779"/>
      <c r="AA636" s="779"/>
      <c r="AB636" s="779"/>
      <c r="AC636" s="779"/>
      <c r="AD636" s="779"/>
      <c r="AE636" s="779"/>
      <c r="AF636" s="779"/>
      <c r="AG636" s="779"/>
      <c r="AH636" s="779"/>
      <c r="AI636" s="779"/>
      <c r="AJ636" s="779"/>
      <c r="AK636" s="779"/>
      <c r="AL636" s="779"/>
      <c r="AM636" s="779"/>
      <c r="AN636" s="779"/>
      <c r="AO636" s="779"/>
      <c r="AP636" s="779"/>
      <c r="AQ636" s="779"/>
      <c r="AR636" s="779"/>
      <c r="AS636" s="779"/>
      <c r="AT636" s="779"/>
      <c r="AU636" s="779"/>
      <c r="AV636" s="779"/>
      <c r="AW636" s="779"/>
      <c r="AX636" s="779"/>
      <c r="AY636" s="779"/>
      <c r="AZ636" s="779"/>
      <c r="BA636" s="779"/>
      <c r="BB636" s="779"/>
      <c r="BC636" s="779"/>
      <c r="BD636" s="779"/>
      <c r="BE636" s="779"/>
      <c r="BF636" s="779"/>
      <c r="BG636" s="779"/>
      <c r="BH636" s="779"/>
      <c r="BI636" s="779"/>
      <c r="BJ636" s="779"/>
      <c r="BK636" s="779"/>
      <c r="BL636" s="779"/>
      <c r="BM636" s="779"/>
      <c r="BN636" s="779"/>
      <c r="BO636" s="779"/>
      <c r="BP636" s="779"/>
      <c r="BQ636" s="779"/>
      <c r="BR636" s="779"/>
      <c r="BS636" s="779"/>
      <c r="BT636" s="779"/>
      <c r="BU636" s="779"/>
      <c r="BV636" s="779"/>
      <c r="BW636" s="779"/>
      <c r="BX636" s="779"/>
      <c r="BY636" s="779"/>
      <c r="BZ636" s="779"/>
      <c r="CA636" s="779"/>
      <c r="CB636" s="779"/>
      <c r="CC636" s="779"/>
    </row>
    <row r="637" spans="1:81">
      <c r="A637" s="779"/>
      <c r="B637" s="779"/>
      <c r="C637" s="779"/>
      <c r="D637" s="779"/>
      <c r="E637" s="779"/>
      <c r="F637" s="779"/>
      <c r="G637" s="779"/>
      <c r="H637" s="779"/>
      <c r="I637" s="779"/>
      <c r="J637" s="779"/>
      <c r="K637" s="779"/>
      <c r="L637" s="779"/>
      <c r="M637" s="779"/>
      <c r="N637" s="779"/>
      <c r="O637" s="779"/>
      <c r="P637" s="779"/>
      <c r="Q637" s="779"/>
      <c r="R637" s="779"/>
      <c r="S637" s="779"/>
      <c r="T637" s="779"/>
      <c r="U637" s="779"/>
      <c r="V637" s="779"/>
      <c r="W637" s="779"/>
      <c r="X637" s="779"/>
      <c r="Y637" s="779"/>
      <c r="Z637" s="779"/>
      <c r="AA637" s="779"/>
      <c r="AB637" s="779"/>
      <c r="AC637" s="779"/>
      <c r="AD637" s="779"/>
      <c r="AE637" s="779"/>
      <c r="AF637" s="779"/>
      <c r="AG637" s="779"/>
      <c r="AH637" s="779"/>
      <c r="AI637" s="779"/>
      <c r="AJ637" s="779"/>
      <c r="AK637" s="779"/>
      <c r="AL637" s="779"/>
      <c r="AM637" s="779"/>
      <c r="AN637" s="779"/>
      <c r="AO637" s="779"/>
      <c r="AP637" s="779"/>
      <c r="AQ637" s="779"/>
      <c r="AR637" s="779"/>
      <c r="AS637" s="779"/>
      <c r="AT637" s="779"/>
      <c r="AU637" s="779"/>
      <c r="AV637" s="779"/>
      <c r="AW637" s="779"/>
      <c r="AX637" s="779"/>
      <c r="AY637" s="779"/>
      <c r="AZ637" s="779"/>
      <c r="BA637" s="779"/>
      <c r="BB637" s="779"/>
      <c r="BC637" s="779"/>
      <c r="BD637" s="779"/>
      <c r="BE637" s="779"/>
      <c r="BF637" s="779"/>
      <c r="BG637" s="779"/>
      <c r="BH637" s="779"/>
      <c r="BI637" s="779"/>
      <c r="BJ637" s="779"/>
      <c r="BK637" s="779"/>
      <c r="BL637" s="779"/>
      <c r="BM637" s="779"/>
      <c r="BN637" s="779"/>
      <c r="BO637" s="779"/>
      <c r="BP637" s="779"/>
      <c r="BQ637" s="779"/>
      <c r="BR637" s="779"/>
      <c r="BS637" s="779"/>
      <c r="BT637" s="779"/>
      <c r="BU637" s="779"/>
      <c r="BV637" s="779"/>
      <c r="BW637" s="779"/>
      <c r="BX637" s="779"/>
      <c r="BY637" s="779"/>
      <c r="BZ637" s="779"/>
      <c r="CA637" s="779"/>
      <c r="CB637" s="779"/>
      <c r="CC637" s="779"/>
    </row>
    <row r="638" spans="1:81">
      <c r="A638" s="779"/>
      <c r="B638" s="779"/>
      <c r="C638" s="779"/>
      <c r="D638" s="779"/>
      <c r="E638" s="779"/>
      <c r="F638" s="779"/>
      <c r="G638" s="779"/>
      <c r="H638" s="779"/>
      <c r="I638" s="779"/>
      <c r="J638" s="779"/>
      <c r="K638" s="779"/>
      <c r="L638" s="779"/>
      <c r="M638" s="779"/>
      <c r="N638" s="779"/>
      <c r="O638" s="779"/>
      <c r="P638" s="779"/>
      <c r="Q638" s="779"/>
      <c r="R638" s="779"/>
      <c r="S638" s="779"/>
      <c r="T638" s="779"/>
      <c r="U638" s="779"/>
      <c r="V638" s="779"/>
      <c r="W638" s="779"/>
      <c r="X638" s="779"/>
      <c r="Y638" s="779"/>
      <c r="Z638" s="779"/>
      <c r="AA638" s="779"/>
      <c r="AB638" s="779"/>
      <c r="AC638" s="779"/>
      <c r="AD638" s="779"/>
      <c r="AE638" s="779"/>
      <c r="AF638" s="779"/>
      <c r="AG638" s="779"/>
      <c r="AH638" s="779"/>
      <c r="AI638" s="779"/>
      <c r="AJ638" s="779"/>
      <c r="AK638" s="779"/>
      <c r="AL638" s="779"/>
      <c r="AM638" s="779"/>
      <c r="AN638" s="779"/>
      <c r="AO638" s="779"/>
      <c r="AP638" s="779"/>
      <c r="AQ638" s="779"/>
      <c r="AR638" s="779"/>
      <c r="AS638" s="779"/>
      <c r="AT638" s="779"/>
      <c r="AU638" s="779"/>
      <c r="AV638" s="779"/>
      <c r="AW638" s="779"/>
      <c r="AX638" s="779"/>
      <c r="AY638" s="779"/>
      <c r="AZ638" s="779"/>
      <c r="BA638" s="779"/>
      <c r="BB638" s="779"/>
      <c r="BC638" s="779"/>
      <c r="BD638" s="779"/>
      <c r="BE638" s="779"/>
      <c r="BF638" s="779"/>
      <c r="BG638" s="779"/>
      <c r="BH638" s="779"/>
      <c r="BI638" s="779"/>
      <c r="BJ638" s="779"/>
      <c r="BK638" s="779"/>
      <c r="BL638" s="779"/>
      <c r="BM638" s="779"/>
      <c r="BN638" s="779"/>
      <c r="BO638" s="779"/>
      <c r="BP638" s="779"/>
      <c r="BQ638" s="779"/>
      <c r="BR638" s="779"/>
      <c r="BS638" s="779"/>
      <c r="BT638" s="779"/>
      <c r="BU638" s="779"/>
      <c r="BV638" s="779"/>
      <c r="BW638" s="779"/>
      <c r="BX638" s="779"/>
      <c r="BY638" s="779"/>
      <c r="BZ638" s="779"/>
      <c r="CA638" s="779"/>
      <c r="CB638" s="779"/>
      <c r="CC638" s="779"/>
    </row>
    <row r="639" spans="1:81">
      <c r="A639" s="779"/>
      <c r="B639" s="779"/>
      <c r="C639" s="779"/>
      <c r="D639" s="779"/>
      <c r="E639" s="779"/>
      <c r="F639" s="779"/>
      <c r="G639" s="779"/>
      <c r="H639" s="779"/>
      <c r="I639" s="779"/>
      <c r="J639" s="779"/>
      <c r="K639" s="779"/>
      <c r="L639" s="779"/>
      <c r="M639" s="779"/>
      <c r="N639" s="779"/>
      <c r="O639" s="779"/>
      <c r="P639" s="779"/>
      <c r="Q639" s="779"/>
      <c r="R639" s="779"/>
      <c r="S639" s="779"/>
      <c r="T639" s="779"/>
      <c r="U639" s="779"/>
      <c r="V639" s="779"/>
      <c r="W639" s="779"/>
      <c r="X639" s="779"/>
      <c r="Y639" s="779"/>
      <c r="Z639" s="779"/>
      <c r="AA639" s="779"/>
      <c r="AB639" s="779"/>
      <c r="AC639" s="779"/>
      <c r="AD639" s="779"/>
      <c r="AE639" s="779"/>
      <c r="AF639" s="779"/>
      <c r="AG639" s="779"/>
      <c r="AH639" s="779"/>
      <c r="AI639" s="779"/>
      <c r="AJ639" s="779"/>
      <c r="AK639" s="779"/>
      <c r="AL639" s="779"/>
      <c r="AM639" s="779"/>
      <c r="AN639" s="779"/>
      <c r="AO639" s="779"/>
      <c r="AP639" s="779"/>
      <c r="AQ639" s="779"/>
      <c r="AR639" s="779"/>
      <c r="AS639" s="779"/>
      <c r="AT639" s="779"/>
      <c r="AU639" s="779"/>
      <c r="AV639" s="779"/>
      <c r="AW639" s="779"/>
      <c r="AX639" s="779"/>
      <c r="AY639" s="779"/>
      <c r="AZ639" s="779"/>
      <c r="BA639" s="779"/>
      <c r="BB639" s="779"/>
      <c r="BC639" s="779"/>
      <c r="BD639" s="779"/>
      <c r="BE639" s="779"/>
      <c r="BF639" s="779"/>
      <c r="BG639" s="779"/>
      <c r="BH639" s="779"/>
      <c r="BI639" s="779"/>
      <c r="BJ639" s="779"/>
      <c r="BK639" s="779"/>
      <c r="BL639" s="779"/>
      <c r="BM639" s="779"/>
      <c r="BN639" s="779"/>
      <c r="BO639" s="779"/>
      <c r="BP639" s="779"/>
      <c r="BQ639" s="779"/>
      <c r="BR639" s="779"/>
      <c r="BS639" s="779"/>
      <c r="BT639" s="779"/>
      <c r="BU639" s="779"/>
      <c r="BV639" s="779"/>
      <c r="BW639" s="779"/>
      <c r="BX639" s="779"/>
      <c r="BY639" s="779"/>
      <c r="BZ639" s="779"/>
      <c r="CA639" s="779"/>
      <c r="CB639" s="779"/>
      <c r="CC639" s="779"/>
    </row>
    <row r="640" spans="1:81">
      <c r="A640" s="779"/>
      <c r="B640" s="779"/>
      <c r="C640" s="779"/>
      <c r="D640" s="779"/>
      <c r="E640" s="779"/>
      <c r="F640" s="779"/>
      <c r="G640" s="779"/>
      <c r="H640" s="779"/>
      <c r="I640" s="779"/>
      <c r="J640" s="779"/>
      <c r="K640" s="779"/>
      <c r="L640" s="779"/>
      <c r="M640" s="779"/>
      <c r="N640" s="779"/>
      <c r="O640" s="779"/>
      <c r="P640" s="779"/>
      <c r="Q640" s="779"/>
      <c r="R640" s="779"/>
      <c r="S640" s="779"/>
      <c r="T640" s="779"/>
      <c r="U640" s="779"/>
      <c r="V640" s="779"/>
      <c r="W640" s="779"/>
      <c r="X640" s="779"/>
      <c r="Y640" s="779"/>
      <c r="Z640" s="779"/>
      <c r="AA640" s="779"/>
      <c r="AB640" s="779"/>
      <c r="AC640" s="779"/>
      <c r="AD640" s="779"/>
      <c r="AE640" s="779"/>
      <c r="AF640" s="779"/>
      <c r="AG640" s="779"/>
      <c r="AH640" s="779"/>
      <c r="AI640" s="779"/>
      <c r="AJ640" s="779"/>
      <c r="AK640" s="779"/>
      <c r="AL640" s="779"/>
      <c r="AM640" s="779"/>
      <c r="AN640" s="779"/>
      <c r="AO640" s="779"/>
      <c r="AP640" s="779"/>
      <c r="AQ640" s="779"/>
      <c r="AR640" s="779"/>
      <c r="AS640" s="779"/>
      <c r="AT640" s="779"/>
      <c r="AU640" s="779"/>
      <c r="AV640" s="779"/>
      <c r="AW640" s="779"/>
      <c r="AX640" s="779"/>
      <c r="AY640" s="779"/>
      <c r="AZ640" s="779"/>
      <c r="BA640" s="779"/>
      <c r="BB640" s="779"/>
      <c r="BC640" s="779"/>
      <c r="BD640" s="779"/>
      <c r="BE640" s="779"/>
      <c r="BF640" s="779"/>
      <c r="BG640" s="779"/>
      <c r="BH640" s="779"/>
      <c r="BI640" s="779"/>
      <c r="BJ640" s="779"/>
      <c r="BK640" s="779"/>
      <c r="BL640" s="779"/>
      <c r="BM640" s="779"/>
      <c r="BN640" s="779"/>
      <c r="BO640" s="779"/>
      <c r="BP640" s="779"/>
      <c r="BQ640" s="779"/>
      <c r="BR640" s="779"/>
      <c r="BS640" s="779"/>
      <c r="BT640" s="779"/>
      <c r="BU640" s="779"/>
      <c r="BV640" s="779"/>
      <c r="BW640" s="779"/>
      <c r="BX640" s="779"/>
      <c r="BY640" s="779"/>
      <c r="BZ640" s="779"/>
      <c r="CA640" s="779"/>
      <c r="CB640" s="779"/>
      <c r="CC640" s="779"/>
    </row>
    <row r="641" spans="1:81">
      <c r="A641" s="779"/>
      <c r="B641" s="779"/>
      <c r="C641" s="779"/>
      <c r="D641" s="779"/>
      <c r="E641" s="779"/>
      <c r="F641" s="779"/>
      <c r="G641" s="779"/>
      <c r="H641" s="779"/>
      <c r="I641" s="779"/>
      <c r="J641" s="779"/>
      <c r="K641" s="779"/>
      <c r="L641" s="779"/>
      <c r="M641" s="779"/>
      <c r="N641" s="779"/>
      <c r="O641" s="779"/>
      <c r="P641" s="779"/>
      <c r="Q641" s="779"/>
      <c r="R641" s="779"/>
      <c r="S641" s="779"/>
      <c r="T641" s="779"/>
      <c r="U641" s="779"/>
      <c r="V641" s="779"/>
      <c r="W641" s="779"/>
      <c r="X641" s="779"/>
      <c r="Y641" s="779"/>
      <c r="Z641" s="779"/>
      <c r="AA641" s="779"/>
      <c r="AB641" s="779"/>
      <c r="AC641" s="779"/>
      <c r="AD641" s="779"/>
      <c r="AE641" s="779"/>
      <c r="AF641" s="779"/>
      <c r="AG641" s="779"/>
      <c r="AH641" s="779"/>
      <c r="AI641" s="779"/>
      <c r="AJ641" s="779"/>
      <c r="AK641" s="779"/>
      <c r="AL641" s="779"/>
      <c r="AM641" s="779"/>
      <c r="AN641" s="779"/>
      <c r="AO641" s="779"/>
      <c r="AP641" s="779"/>
      <c r="AQ641" s="779"/>
      <c r="AR641" s="779"/>
      <c r="AS641" s="779"/>
      <c r="AT641" s="779"/>
      <c r="AU641" s="779"/>
      <c r="AV641" s="779"/>
      <c r="AW641" s="779"/>
      <c r="AX641" s="779"/>
      <c r="AY641" s="779"/>
      <c r="AZ641" s="779"/>
      <c r="BA641" s="779"/>
      <c r="BB641" s="779"/>
      <c r="BC641" s="779"/>
      <c r="BD641" s="779"/>
      <c r="BE641" s="779"/>
      <c r="BF641" s="779"/>
      <c r="BG641" s="779"/>
      <c r="BH641" s="779"/>
      <c r="BI641" s="779"/>
      <c r="BJ641" s="779"/>
      <c r="BK641" s="779"/>
      <c r="BL641" s="779"/>
      <c r="BM641" s="779"/>
      <c r="BN641" s="779"/>
      <c r="BO641" s="779"/>
      <c r="BP641" s="779"/>
      <c r="BQ641" s="779"/>
      <c r="BR641" s="779"/>
      <c r="BS641" s="779"/>
      <c r="BT641" s="779"/>
      <c r="BU641" s="779"/>
      <c r="BV641" s="779"/>
      <c r="BW641" s="779"/>
      <c r="BX641" s="779"/>
      <c r="BY641" s="779"/>
      <c r="BZ641" s="779"/>
      <c r="CA641" s="779"/>
      <c r="CB641" s="779"/>
      <c r="CC641" s="779"/>
    </row>
    <row r="642" spans="1:81">
      <c r="A642" s="779"/>
      <c r="B642" s="779"/>
      <c r="C642" s="779"/>
      <c r="D642" s="779"/>
      <c r="E642" s="779"/>
      <c r="F642" s="779"/>
      <c r="G642" s="779"/>
      <c r="H642" s="779"/>
      <c r="I642" s="779"/>
      <c r="J642" s="779"/>
      <c r="K642" s="779"/>
      <c r="L642" s="779"/>
      <c r="M642" s="779"/>
      <c r="N642" s="779"/>
      <c r="O642" s="779"/>
      <c r="P642" s="779"/>
      <c r="Q642" s="779"/>
      <c r="R642" s="779"/>
      <c r="S642" s="779"/>
      <c r="T642" s="779"/>
      <c r="U642" s="779"/>
      <c r="V642" s="779"/>
      <c r="W642" s="779"/>
      <c r="X642" s="779"/>
      <c r="Y642" s="779"/>
      <c r="Z642" s="779"/>
      <c r="AA642" s="779"/>
      <c r="AB642" s="779"/>
      <c r="AC642" s="779"/>
      <c r="AD642" s="779"/>
      <c r="AE642" s="779"/>
      <c r="AF642" s="779"/>
      <c r="AG642" s="779"/>
      <c r="AH642" s="779"/>
      <c r="AI642" s="779"/>
      <c r="AJ642" s="779"/>
      <c r="AK642" s="779"/>
      <c r="AL642" s="779"/>
      <c r="AM642" s="779"/>
      <c r="AN642" s="779"/>
      <c r="AO642" s="779"/>
      <c r="AP642" s="779"/>
      <c r="AQ642" s="779"/>
      <c r="AR642" s="779"/>
      <c r="AS642" s="779"/>
      <c r="AT642" s="779"/>
      <c r="AU642" s="779"/>
      <c r="AV642" s="779"/>
      <c r="AW642" s="779"/>
      <c r="AX642" s="779"/>
      <c r="AY642" s="779"/>
      <c r="AZ642" s="779"/>
      <c r="BA642" s="779"/>
      <c r="BB642" s="779"/>
      <c r="BC642" s="779"/>
      <c r="BD642" s="779"/>
      <c r="BE642" s="779"/>
      <c r="BF642" s="779"/>
      <c r="BG642" s="779"/>
      <c r="BH642" s="779"/>
      <c r="BI642" s="779"/>
      <c r="BJ642" s="779"/>
      <c r="BK642" s="779"/>
      <c r="BL642" s="779"/>
      <c r="BM642" s="779"/>
      <c r="BN642" s="779"/>
      <c r="BO642" s="779"/>
      <c r="BP642" s="779"/>
      <c r="BQ642" s="779"/>
      <c r="BR642" s="779"/>
      <c r="BS642" s="779"/>
      <c r="BT642" s="779"/>
      <c r="BU642" s="779"/>
      <c r="BV642" s="779"/>
      <c r="BW642" s="779"/>
      <c r="BX642" s="779"/>
      <c r="BY642" s="779"/>
      <c r="BZ642" s="779"/>
      <c r="CA642" s="779"/>
      <c r="CB642" s="779"/>
      <c r="CC642" s="779"/>
    </row>
    <row r="643" spans="1:81">
      <c r="A643" s="779"/>
      <c r="B643" s="779"/>
      <c r="C643" s="779"/>
      <c r="D643" s="779"/>
      <c r="E643" s="779"/>
      <c r="F643" s="779"/>
      <c r="G643" s="779"/>
      <c r="H643" s="779"/>
      <c r="I643" s="779"/>
      <c r="J643" s="779"/>
      <c r="K643" s="779"/>
      <c r="L643" s="779"/>
      <c r="M643" s="779"/>
      <c r="N643" s="779"/>
      <c r="O643" s="779"/>
      <c r="P643" s="779"/>
      <c r="Q643" s="779"/>
      <c r="R643" s="779"/>
      <c r="S643" s="779"/>
      <c r="T643" s="779"/>
      <c r="U643" s="779"/>
      <c r="V643" s="779"/>
      <c r="W643" s="779"/>
      <c r="X643" s="779"/>
      <c r="Y643" s="779"/>
      <c r="Z643" s="779"/>
      <c r="AA643" s="779"/>
      <c r="AB643" s="779"/>
      <c r="AC643" s="779"/>
      <c r="AD643" s="779"/>
      <c r="AE643" s="779"/>
      <c r="AF643" s="779"/>
      <c r="AG643" s="779"/>
      <c r="AH643" s="779"/>
      <c r="AI643" s="779"/>
      <c r="AJ643" s="779"/>
      <c r="AK643" s="779"/>
      <c r="AL643" s="779"/>
      <c r="AM643" s="779"/>
      <c r="AN643" s="779"/>
      <c r="AO643" s="779"/>
      <c r="AP643" s="779"/>
      <c r="AQ643" s="779"/>
      <c r="AR643" s="779"/>
      <c r="AS643" s="779"/>
      <c r="AT643" s="779"/>
      <c r="AU643" s="779"/>
      <c r="AV643" s="779"/>
      <c r="AW643" s="779"/>
      <c r="AX643" s="779"/>
      <c r="AY643" s="779"/>
      <c r="AZ643" s="779"/>
      <c r="BA643" s="779"/>
      <c r="BB643" s="779"/>
      <c r="BC643" s="779"/>
      <c r="BD643" s="779"/>
      <c r="BE643" s="779"/>
      <c r="BF643" s="779"/>
      <c r="BG643" s="779"/>
      <c r="BH643" s="779"/>
      <c r="BI643" s="779"/>
      <c r="BJ643" s="779"/>
      <c r="BK643" s="779"/>
      <c r="BL643" s="779"/>
      <c r="BM643" s="779"/>
      <c r="BN643" s="779"/>
      <c r="BO643" s="779"/>
      <c r="BP643" s="779"/>
      <c r="BQ643" s="779"/>
      <c r="BR643" s="779"/>
      <c r="BS643" s="779"/>
      <c r="BT643" s="779"/>
      <c r="BU643" s="779"/>
      <c r="BV643" s="779"/>
      <c r="BW643" s="779"/>
      <c r="BX643" s="779"/>
      <c r="BY643" s="779"/>
      <c r="BZ643" s="779"/>
      <c r="CA643" s="779"/>
      <c r="CB643" s="779"/>
      <c r="CC643" s="779"/>
    </row>
    <row r="644" spans="1:81">
      <c r="A644" s="779"/>
      <c r="B644" s="779"/>
      <c r="C644" s="779"/>
      <c r="D644" s="779"/>
      <c r="E644" s="779"/>
      <c r="F644" s="779"/>
      <c r="G644" s="779"/>
      <c r="H644" s="779"/>
      <c r="I644" s="779"/>
      <c r="J644" s="779"/>
      <c r="K644" s="779"/>
      <c r="L644" s="779"/>
      <c r="M644" s="779"/>
      <c r="N644" s="779"/>
      <c r="O644" s="779"/>
      <c r="P644" s="779"/>
      <c r="Q644" s="779"/>
      <c r="R644" s="779"/>
      <c r="S644" s="779"/>
      <c r="T644" s="779"/>
      <c r="U644" s="779"/>
      <c r="V644" s="779"/>
      <c r="W644" s="779"/>
      <c r="X644" s="779"/>
      <c r="Y644" s="779"/>
      <c r="Z644" s="779"/>
      <c r="AA644" s="779"/>
      <c r="AB644" s="779"/>
      <c r="AC644" s="779"/>
      <c r="AD644" s="779"/>
      <c r="AE644" s="779"/>
      <c r="AF644" s="779"/>
      <c r="AG644" s="779"/>
      <c r="AH644" s="779"/>
      <c r="AI644" s="779"/>
      <c r="AJ644" s="779"/>
      <c r="AK644" s="779"/>
      <c r="AL644" s="779"/>
      <c r="AM644" s="779"/>
      <c r="AN644" s="779"/>
      <c r="AO644" s="779"/>
      <c r="AP644" s="779"/>
      <c r="AQ644" s="779"/>
      <c r="AR644" s="779"/>
      <c r="AS644" s="779"/>
      <c r="AT644" s="779"/>
      <c r="AU644" s="779"/>
      <c r="AV644" s="779"/>
      <c r="AW644" s="779"/>
      <c r="AX644" s="779"/>
      <c r="AY644" s="779"/>
      <c r="AZ644" s="779"/>
      <c r="BA644" s="779"/>
      <c r="BB644" s="779"/>
      <c r="BC644" s="779"/>
      <c r="BD644" s="779"/>
      <c r="BE644" s="779"/>
      <c r="BF644" s="779"/>
      <c r="BG644" s="779"/>
      <c r="BH644" s="779"/>
      <c r="BI644" s="779"/>
      <c r="BJ644" s="779"/>
      <c r="BK644" s="779"/>
      <c r="BL644" s="779"/>
      <c r="BM644" s="779"/>
      <c r="BN644" s="779"/>
      <c r="BO644" s="779"/>
      <c r="BP644" s="779"/>
      <c r="BQ644" s="779"/>
      <c r="BR644" s="779"/>
      <c r="BS644" s="779"/>
      <c r="BT644" s="779"/>
      <c r="BU644" s="779"/>
      <c r="BV644" s="779"/>
      <c r="BW644" s="779"/>
      <c r="BX644" s="779"/>
      <c r="BY644" s="779"/>
      <c r="BZ644" s="779"/>
      <c r="CA644" s="779"/>
      <c r="CB644" s="779"/>
      <c r="CC644" s="779"/>
    </row>
    <row r="645" spans="1:81">
      <c r="A645" s="779"/>
      <c r="B645" s="779"/>
      <c r="C645" s="779"/>
      <c r="D645" s="779"/>
      <c r="E645" s="779"/>
      <c r="F645" s="779"/>
      <c r="G645" s="779"/>
      <c r="H645" s="779"/>
      <c r="I645" s="779"/>
      <c r="J645" s="779"/>
      <c r="K645" s="779"/>
      <c r="L645" s="779"/>
      <c r="M645" s="779"/>
      <c r="N645" s="779"/>
      <c r="O645" s="779"/>
      <c r="P645" s="779"/>
      <c r="Q645" s="779"/>
      <c r="R645" s="779"/>
      <c r="S645" s="779"/>
      <c r="T645" s="779"/>
      <c r="U645" s="779"/>
      <c r="V645" s="779"/>
      <c r="W645" s="779"/>
      <c r="X645" s="779"/>
      <c r="Y645" s="779"/>
      <c r="Z645" s="779"/>
      <c r="AA645" s="779"/>
      <c r="AB645" s="779"/>
      <c r="AC645" s="779"/>
      <c r="AD645" s="779"/>
      <c r="AE645" s="779"/>
      <c r="AF645" s="779"/>
      <c r="AG645" s="779"/>
      <c r="AH645" s="779"/>
      <c r="AI645" s="779"/>
      <c r="AJ645" s="779"/>
      <c r="AK645" s="779"/>
      <c r="AL645" s="779"/>
      <c r="AM645" s="779"/>
      <c r="AN645" s="779"/>
      <c r="AO645" s="779"/>
      <c r="AP645" s="779"/>
      <c r="AQ645" s="779"/>
      <c r="AR645" s="779"/>
      <c r="AS645" s="779"/>
      <c r="AT645" s="779"/>
      <c r="AU645" s="779"/>
      <c r="AV645" s="779"/>
      <c r="AW645" s="779"/>
      <c r="AX645" s="779"/>
      <c r="AY645" s="779"/>
      <c r="AZ645" s="779"/>
      <c r="BA645" s="779"/>
      <c r="BB645" s="779"/>
      <c r="BC645" s="779"/>
      <c r="BD645" s="779"/>
      <c r="BE645" s="779"/>
      <c r="BF645" s="779"/>
      <c r="BG645" s="779"/>
      <c r="BH645" s="779"/>
      <c r="BI645" s="779"/>
      <c r="BJ645" s="779"/>
      <c r="BK645" s="779"/>
      <c r="BL645" s="779"/>
      <c r="BM645" s="779"/>
      <c r="BN645" s="779"/>
      <c r="BO645" s="779"/>
      <c r="BP645" s="779"/>
      <c r="BQ645" s="779"/>
      <c r="BR645" s="779"/>
      <c r="BS645" s="779"/>
      <c r="BT645" s="779"/>
      <c r="BU645" s="779"/>
      <c r="BV645" s="779"/>
      <c r="BW645" s="779"/>
      <c r="BX645" s="779"/>
      <c r="BY645" s="779"/>
      <c r="BZ645" s="779"/>
      <c r="CA645" s="779"/>
      <c r="CB645" s="779"/>
      <c r="CC645" s="779"/>
    </row>
    <row r="646" spans="1:81">
      <c r="A646" s="779"/>
      <c r="B646" s="779"/>
      <c r="C646" s="779"/>
      <c r="D646" s="779"/>
      <c r="E646" s="779"/>
      <c r="F646" s="779"/>
      <c r="G646" s="779"/>
      <c r="H646" s="779"/>
      <c r="I646" s="779"/>
      <c r="J646" s="779"/>
      <c r="K646" s="779"/>
      <c r="L646" s="779"/>
      <c r="M646" s="779"/>
      <c r="N646" s="779"/>
      <c r="O646" s="779"/>
      <c r="P646" s="779"/>
      <c r="Q646" s="779"/>
      <c r="R646" s="779"/>
      <c r="S646" s="779"/>
      <c r="T646" s="779"/>
      <c r="U646" s="779"/>
      <c r="V646" s="779"/>
      <c r="W646" s="779"/>
      <c r="X646" s="779"/>
      <c r="Y646" s="779"/>
      <c r="Z646" s="779"/>
      <c r="AA646" s="779"/>
      <c r="AB646" s="779"/>
      <c r="AC646" s="779"/>
      <c r="AD646" s="779"/>
      <c r="AE646" s="779"/>
      <c r="AF646" s="779"/>
      <c r="AG646" s="779"/>
      <c r="AH646" s="779"/>
      <c r="AI646" s="779"/>
      <c r="AJ646" s="779"/>
      <c r="AK646" s="779"/>
      <c r="AL646" s="779"/>
      <c r="AM646" s="779"/>
      <c r="AN646" s="779"/>
      <c r="AO646" s="779"/>
      <c r="AP646" s="779"/>
      <c r="AQ646" s="779"/>
      <c r="AR646" s="779"/>
      <c r="AS646" s="779"/>
      <c r="AT646" s="779"/>
      <c r="AU646" s="779"/>
      <c r="AV646" s="779"/>
      <c r="AW646" s="779"/>
      <c r="AX646" s="779"/>
      <c r="AY646" s="779"/>
      <c r="AZ646" s="779"/>
      <c r="BA646" s="779"/>
      <c r="BB646" s="779"/>
      <c r="BC646" s="779"/>
      <c r="BD646" s="779"/>
      <c r="BE646" s="779"/>
      <c r="BF646" s="779"/>
      <c r="BG646" s="779"/>
      <c r="BH646" s="779"/>
      <c r="BI646" s="779"/>
      <c r="BJ646" s="779"/>
      <c r="BK646" s="779"/>
      <c r="BL646" s="779"/>
      <c r="BM646" s="779"/>
      <c r="BN646" s="779"/>
      <c r="BO646" s="779"/>
      <c r="BP646" s="779"/>
      <c r="BQ646" s="779"/>
      <c r="BR646" s="779"/>
      <c r="BS646" s="779"/>
      <c r="BT646" s="779"/>
      <c r="BU646" s="779"/>
      <c r="BV646" s="779"/>
      <c r="BW646" s="779"/>
      <c r="BX646" s="779"/>
      <c r="BY646" s="779"/>
      <c r="BZ646" s="779"/>
      <c r="CA646" s="779"/>
      <c r="CB646" s="779"/>
      <c r="CC646" s="779"/>
    </row>
    <row r="647" spans="1:81">
      <c r="A647" s="779"/>
      <c r="B647" s="779"/>
      <c r="C647" s="779"/>
      <c r="D647" s="779"/>
      <c r="E647" s="779"/>
      <c r="F647" s="779"/>
      <c r="G647" s="779"/>
      <c r="H647" s="779"/>
      <c r="I647" s="779"/>
      <c r="J647" s="779"/>
      <c r="K647" s="779"/>
      <c r="L647" s="779"/>
      <c r="M647" s="779"/>
      <c r="N647" s="779"/>
      <c r="O647" s="779"/>
      <c r="P647" s="779"/>
      <c r="Q647" s="779"/>
      <c r="R647" s="779"/>
      <c r="S647" s="779"/>
      <c r="T647" s="779"/>
      <c r="U647" s="779"/>
      <c r="V647" s="779"/>
      <c r="W647" s="779"/>
      <c r="X647" s="779"/>
      <c r="Y647" s="779"/>
      <c r="Z647" s="779"/>
      <c r="AA647" s="779"/>
      <c r="AB647" s="779"/>
      <c r="AC647" s="779"/>
      <c r="AD647" s="779"/>
      <c r="AE647" s="779"/>
      <c r="AF647" s="779"/>
      <c r="AG647" s="779"/>
      <c r="AH647" s="779"/>
      <c r="AI647" s="779"/>
      <c r="AJ647" s="779"/>
      <c r="AK647" s="779"/>
      <c r="AL647" s="779"/>
      <c r="AM647" s="779"/>
      <c r="AN647" s="779"/>
      <c r="AO647" s="779"/>
      <c r="AP647" s="779"/>
      <c r="AQ647" s="779"/>
      <c r="AR647" s="779"/>
      <c r="AS647" s="779"/>
      <c r="AT647" s="779"/>
      <c r="AU647" s="779"/>
      <c r="AV647" s="779"/>
      <c r="AW647" s="779"/>
      <c r="AX647" s="779"/>
      <c r="AY647" s="779"/>
      <c r="AZ647" s="779"/>
      <c r="BA647" s="779"/>
      <c r="BB647" s="779"/>
      <c r="BC647" s="779"/>
      <c r="BD647" s="779"/>
      <c r="BE647" s="779"/>
      <c r="BF647" s="779"/>
      <c r="BG647" s="779"/>
      <c r="BH647" s="779"/>
      <c r="BI647" s="779"/>
      <c r="BJ647" s="779"/>
      <c r="BK647" s="779"/>
      <c r="BL647" s="779"/>
      <c r="BM647" s="779"/>
      <c r="BN647" s="779"/>
      <c r="BO647" s="779"/>
      <c r="BP647" s="779"/>
      <c r="BQ647" s="779"/>
      <c r="BR647" s="779"/>
      <c r="BS647" s="779"/>
      <c r="BT647" s="779"/>
      <c r="BU647" s="779"/>
      <c r="BV647" s="779"/>
      <c r="BW647" s="779"/>
      <c r="BX647" s="779"/>
      <c r="BY647" s="779"/>
      <c r="BZ647" s="779"/>
      <c r="CA647" s="779"/>
      <c r="CB647" s="779"/>
      <c r="CC647" s="779"/>
    </row>
    <row r="648" spans="1:81">
      <c r="A648" s="779"/>
      <c r="B648" s="779"/>
      <c r="C648" s="779"/>
      <c r="D648" s="779"/>
      <c r="E648" s="779"/>
      <c r="F648" s="779"/>
      <c r="G648" s="779"/>
      <c r="H648" s="779"/>
      <c r="I648" s="779"/>
      <c r="J648" s="779"/>
      <c r="K648" s="779"/>
      <c r="L648" s="779"/>
      <c r="M648" s="779"/>
      <c r="N648" s="779"/>
      <c r="O648" s="779"/>
      <c r="P648" s="779"/>
      <c r="Q648" s="779"/>
      <c r="R648" s="779"/>
      <c r="S648" s="779"/>
      <c r="T648" s="779"/>
      <c r="U648" s="779"/>
      <c r="V648" s="779"/>
      <c r="W648" s="779"/>
      <c r="X648" s="779"/>
      <c r="Y648" s="779"/>
      <c r="Z648" s="779"/>
      <c r="AA648" s="779"/>
      <c r="AB648" s="779"/>
      <c r="AC648" s="779"/>
      <c r="AD648" s="779"/>
      <c r="AE648" s="779"/>
      <c r="AF648" s="779"/>
      <c r="AG648" s="779"/>
      <c r="AH648" s="779"/>
      <c r="AI648" s="779"/>
      <c r="AJ648" s="779"/>
      <c r="AK648" s="779"/>
      <c r="AL648" s="779"/>
      <c r="AM648" s="779"/>
      <c r="AN648" s="779"/>
      <c r="AO648" s="779"/>
      <c r="AP648" s="779"/>
      <c r="AQ648" s="779"/>
      <c r="AR648" s="779"/>
      <c r="AS648" s="779"/>
      <c r="AT648" s="779"/>
      <c r="AU648" s="779"/>
      <c r="AV648" s="779"/>
      <c r="AW648" s="779"/>
      <c r="AX648" s="779"/>
      <c r="AY648" s="779"/>
      <c r="AZ648" s="779"/>
      <c r="BA648" s="779"/>
      <c r="BB648" s="779"/>
      <c r="BC648" s="779"/>
      <c r="BD648" s="779"/>
      <c r="BE648" s="779"/>
      <c r="BF648" s="779"/>
      <c r="BG648" s="779"/>
      <c r="BH648" s="779"/>
      <c r="BI648" s="779"/>
      <c r="BJ648" s="779"/>
      <c r="BK648" s="779"/>
      <c r="BL648" s="779"/>
      <c r="BM648" s="779"/>
      <c r="BN648" s="779"/>
      <c r="BO648" s="779"/>
      <c r="BP648" s="779"/>
      <c r="BQ648" s="779"/>
      <c r="BR648" s="779"/>
      <c r="BS648" s="779"/>
      <c r="BT648" s="779"/>
      <c r="BU648" s="779"/>
      <c r="BV648" s="779"/>
      <c r="BW648" s="779"/>
      <c r="BX648" s="779"/>
      <c r="BY648" s="779"/>
      <c r="BZ648" s="779"/>
      <c r="CA648" s="779"/>
      <c r="CB648" s="779"/>
      <c r="CC648" s="779"/>
    </row>
    <row r="649" spans="1:81">
      <c r="A649" s="779"/>
      <c r="B649" s="779"/>
      <c r="C649" s="779"/>
      <c r="D649" s="779"/>
      <c r="E649" s="779"/>
      <c r="F649" s="779"/>
      <c r="G649" s="779"/>
      <c r="H649" s="779"/>
      <c r="I649" s="779"/>
      <c r="J649" s="779"/>
      <c r="K649" s="779"/>
      <c r="L649" s="779"/>
      <c r="M649" s="779"/>
      <c r="N649" s="779"/>
      <c r="O649" s="779"/>
      <c r="P649" s="779"/>
      <c r="Q649" s="779"/>
      <c r="R649" s="779"/>
      <c r="S649" s="779"/>
      <c r="T649" s="779"/>
      <c r="U649" s="779"/>
      <c r="V649" s="779"/>
      <c r="W649" s="779"/>
      <c r="X649" s="779"/>
      <c r="Y649" s="779"/>
      <c r="Z649" s="779"/>
      <c r="AA649" s="779"/>
      <c r="AB649" s="779"/>
      <c r="AC649" s="779"/>
      <c r="AD649" s="779"/>
      <c r="AE649" s="779"/>
      <c r="AF649" s="779"/>
      <c r="AG649" s="779"/>
      <c r="AH649" s="779"/>
      <c r="AI649" s="779"/>
      <c r="AJ649" s="779"/>
      <c r="AK649" s="779"/>
      <c r="AL649" s="779"/>
      <c r="AM649" s="779"/>
      <c r="AN649" s="779"/>
      <c r="AO649" s="779"/>
      <c r="AP649" s="779"/>
      <c r="AQ649" s="779"/>
      <c r="AR649" s="779"/>
      <c r="AS649" s="779"/>
      <c r="AT649" s="779"/>
      <c r="AU649" s="779"/>
      <c r="AV649" s="779"/>
      <c r="AW649" s="779"/>
      <c r="AX649" s="779"/>
      <c r="AY649" s="779"/>
      <c r="AZ649" s="779"/>
      <c r="BA649" s="779"/>
      <c r="BB649" s="779"/>
      <c r="BC649" s="779"/>
      <c r="BD649" s="779"/>
      <c r="BE649" s="779"/>
      <c r="BF649" s="779"/>
      <c r="BG649" s="779"/>
      <c r="BH649" s="779"/>
      <c r="BI649" s="779"/>
      <c r="BJ649" s="779"/>
      <c r="BK649" s="779"/>
      <c r="BL649" s="779"/>
      <c r="BM649" s="779"/>
      <c r="BN649" s="779"/>
      <c r="BO649" s="779"/>
      <c r="BP649" s="779"/>
      <c r="BQ649" s="779"/>
      <c r="BR649" s="779"/>
      <c r="BS649" s="779"/>
      <c r="BT649" s="779"/>
      <c r="BU649" s="779"/>
      <c r="BV649" s="779"/>
      <c r="BW649" s="779"/>
      <c r="BX649" s="779"/>
      <c r="BY649" s="779"/>
      <c r="BZ649" s="779"/>
      <c r="CA649" s="779"/>
      <c r="CB649" s="779"/>
      <c r="CC649" s="779"/>
    </row>
    <row r="650" spans="1:81">
      <c r="A650" s="779"/>
      <c r="B650" s="779"/>
      <c r="C650" s="779"/>
      <c r="D650" s="779"/>
      <c r="E650" s="779"/>
      <c r="F650" s="779"/>
      <c r="G650" s="779"/>
      <c r="H650" s="779"/>
      <c r="I650" s="779"/>
      <c r="J650" s="779"/>
      <c r="K650" s="779"/>
      <c r="L650" s="779"/>
      <c r="M650" s="779"/>
      <c r="N650" s="779"/>
      <c r="O650" s="779"/>
      <c r="P650" s="779"/>
      <c r="Q650" s="779"/>
      <c r="R650" s="779"/>
      <c r="S650" s="779"/>
      <c r="T650" s="779"/>
      <c r="U650" s="779"/>
      <c r="V650" s="779"/>
      <c r="W650" s="779"/>
      <c r="X650" s="779"/>
      <c r="Y650" s="779"/>
      <c r="Z650" s="779"/>
      <c r="AA650" s="779"/>
      <c r="AB650" s="779"/>
      <c r="AC650" s="779"/>
      <c r="AD650" s="779"/>
      <c r="AE650" s="779"/>
      <c r="AF650" s="779"/>
      <c r="AG650" s="779"/>
      <c r="AH650" s="779"/>
      <c r="AI650" s="779"/>
      <c r="AJ650" s="779"/>
      <c r="AK650" s="779"/>
      <c r="AL650" s="779"/>
      <c r="AM650" s="779"/>
      <c r="AN650" s="779"/>
      <c r="AO650" s="779"/>
      <c r="AP650" s="779"/>
      <c r="AQ650" s="779"/>
      <c r="AR650" s="779"/>
      <c r="AS650" s="779"/>
      <c r="AT650" s="779"/>
      <c r="AU650" s="779"/>
      <c r="AV650" s="779"/>
      <c r="AW650" s="779"/>
      <c r="AX650" s="779"/>
      <c r="AY650" s="779"/>
      <c r="AZ650" s="779"/>
      <c r="BA650" s="779"/>
      <c r="BB650" s="779"/>
      <c r="BC650" s="779"/>
      <c r="BD650" s="779"/>
      <c r="BE650" s="779"/>
      <c r="BF650" s="779"/>
      <c r="BG650" s="779"/>
      <c r="BH650" s="779"/>
      <c r="BI650" s="779"/>
      <c r="BJ650" s="779"/>
      <c r="BK650" s="779"/>
      <c r="BL650" s="779"/>
      <c r="BM650" s="779"/>
      <c r="BN650" s="779"/>
      <c r="BO650" s="779"/>
      <c r="BP650" s="779"/>
      <c r="BQ650" s="779"/>
      <c r="BR650" s="779"/>
      <c r="BS650" s="779"/>
      <c r="BT650" s="779"/>
      <c r="BU650" s="779"/>
      <c r="BV650" s="779"/>
      <c r="BW650" s="779"/>
      <c r="BX650" s="779"/>
      <c r="BY650" s="779"/>
      <c r="BZ650" s="779"/>
      <c r="CA650" s="779"/>
      <c r="CB650" s="779"/>
      <c r="CC650" s="779"/>
    </row>
    <row r="651" spans="1:81">
      <c r="A651" s="779"/>
      <c r="B651" s="779"/>
      <c r="C651" s="779"/>
      <c r="D651" s="779"/>
      <c r="E651" s="779"/>
      <c r="F651" s="779"/>
      <c r="G651" s="779"/>
      <c r="H651" s="779"/>
      <c r="I651" s="779"/>
      <c r="J651" s="779"/>
      <c r="K651" s="779"/>
      <c r="L651" s="779"/>
      <c r="M651" s="779"/>
      <c r="N651" s="779"/>
      <c r="O651" s="779"/>
      <c r="P651" s="779"/>
      <c r="Q651" s="779"/>
      <c r="R651" s="779"/>
      <c r="S651" s="779"/>
      <c r="T651" s="779"/>
      <c r="U651" s="779"/>
      <c r="V651" s="779"/>
      <c r="W651" s="779"/>
      <c r="X651" s="779"/>
      <c r="Y651" s="779"/>
      <c r="Z651" s="779"/>
      <c r="AA651" s="779"/>
      <c r="AB651" s="779"/>
      <c r="AC651" s="779"/>
      <c r="AD651" s="779"/>
      <c r="AE651" s="779"/>
      <c r="AF651" s="779"/>
      <c r="AG651" s="779"/>
      <c r="AH651" s="779"/>
      <c r="AI651" s="779"/>
      <c r="AJ651" s="779"/>
      <c r="AK651" s="779"/>
      <c r="AL651" s="779"/>
      <c r="AM651" s="779"/>
      <c r="AN651" s="779"/>
      <c r="AO651" s="779"/>
      <c r="AP651" s="779"/>
      <c r="AQ651" s="779"/>
      <c r="AR651" s="779"/>
      <c r="AS651" s="779"/>
      <c r="AT651" s="779"/>
      <c r="AU651" s="779"/>
      <c r="AV651" s="779"/>
      <c r="AW651" s="779"/>
      <c r="AX651" s="779"/>
      <c r="AY651" s="779"/>
      <c r="AZ651" s="779"/>
      <c r="BA651" s="779"/>
      <c r="BB651" s="779"/>
      <c r="BC651" s="779"/>
      <c r="BD651" s="779"/>
      <c r="BE651" s="779"/>
      <c r="BF651" s="779"/>
      <c r="BG651" s="779"/>
      <c r="BH651" s="779"/>
      <c r="BI651" s="779"/>
      <c r="BJ651" s="779"/>
      <c r="BK651" s="779"/>
      <c r="BL651" s="779"/>
      <c r="BM651" s="779"/>
      <c r="BN651" s="779"/>
      <c r="BO651" s="779"/>
      <c r="BP651" s="779"/>
      <c r="BQ651" s="779"/>
      <c r="BR651" s="779"/>
      <c r="BS651" s="779"/>
      <c r="BT651" s="779"/>
      <c r="BU651" s="779"/>
      <c r="BV651" s="779"/>
      <c r="BW651" s="779"/>
      <c r="BX651" s="779"/>
      <c r="BY651" s="779"/>
      <c r="BZ651" s="779"/>
      <c r="CA651" s="779"/>
      <c r="CB651" s="779"/>
      <c r="CC651" s="779"/>
    </row>
    <row r="652" spans="1:81">
      <c r="A652" s="779"/>
      <c r="B652" s="779"/>
      <c r="C652" s="779"/>
      <c r="D652" s="779"/>
      <c r="E652" s="779"/>
      <c r="F652" s="779"/>
      <c r="G652" s="779"/>
      <c r="H652" s="779"/>
      <c r="I652" s="779"/>
      <c r="J652" s="779"/>
      <c r="K652" s="779"/>
      <c r="L652" s="779"/>
      <c r="M652" s="779"/>
      <c r="N652" s="779"/>
      <c r="O652" s="779"/>
      <c r="P652" s="779"/>
      <c r="Q652" s="779"/>
      <c r="R652" s="779"/>
      <c r="S652" s="779"/>
      <c r="T652" s="779"/>
      <c r="U652" s="779"/>
      <c r="V652" s="779"/>
      <c r="W652" s="779"/>
      <c r="X652" s="779"/>
      <c r="Y652" s="779"/>
      <c r="Z652" s="779"/>
      <c r="AA652" s="779"/>
      <c r="AB652" s="779"/>
      <c r="AC652" s="779"/>
      <c r="AD652" s="779"/>
      <c r="AE652" s="779"/>
      <c r="AF652" s="779"/>
      <c r="AG652" s="779"/>
      <c r="AH652" s="779"/>
      <c r="AI652" s="779"/>
      <c r="AJ652" s="779"/>
      <c r="AK652" s="779"/>
      <c r="AL652" s="779"/>
      <c r="AM652" s="779"/>
      <c r="AN652" s="779"/>
      <c r="AO652" s="779"/>
      <c r="AP652" s="779"/>
      <c r="AQ652" s="779"/>
      <c r="AR652" s="779"/>
      <c r="AS652" s="779"/>
      <c r="AT652" s="779"/>
      <c r="AU652" s="779"/>
      <c r="AV652" s="779"/>
      <c r="AW652" s="779"/>
      <c r="AX652" s="779"/>
      <c r="AY652" s="779"/>
      <c r="AZ652" s="779"/>
      <c r="BA652" s="779"/>
      <c r="BB652" s="779"/>
      <c r="BC652" s="779"/>
      <c r="BD652" s="779"/>
      <c r="BE652" s="779"/>
      <c r="BF652" s="779"/>
      <c r="BG652" s="779"/>
      <c r="BH652" s="779"/>
      <c r="BI652" s="779"/>
      <c r="BJ652" s="779"/>
      <c r="BK652" s="779"/>
      <c r="BL652" s="779"/>
      <c r="BM652" s="779"/>
      <c r="BN652" s="779"/>
      <c r="BO652" s="779"/>
      <c r="BP652" s="779"/>
      <c r="BQ652" s="779"/>
      <c r="BR652" s="779"/>
      <c r="BS652" s="779"/>
      <c r="BT652" s="779"/>
      <c r="BU652" s="779"/>
      <c r="BV652" s="779"/>
      <c r="BW652" s="779"/>
      <c r="BX652" s="779"/>
      <c r="BY652" s="779"/>
      <c r="BZ652" s="779"/>
      <c r="CA652" s="779"/>
      <c r="CB652" s="779"/>
      <c r="CC652" s="779"/>
    </row>
    <row r="653" spans="1:81">
      <c r="A653" s="779"/>
      <c r="B653" s="779"/>
      <c r="C653" s="779"/>
      <c r="D653" s="779"/>
      <c r="E653" s="779"/>
      <c r="F653" s="779"/>
      <c r="G653" s="779"/>
      <c r="H653" s="779"/>
      <c r="I653" s="779"/>
      <c r="J653" s="779"/>
      <c r="K653" s="779"/>
      <c r="L653" s="779"/>
      <c r="M653" s="779"/>
      <c r="N653" s="779"/>
      <c r="O653" s="779"/>
      <c r="P653" s="779"/>
      <c r="Q653" s="779"/>
      <c r="R653" s="779"/>
      <c r="S653" s="779"/>
      <c r="T653" s="779"/>
      <c r="U653" s="779"/>
      <c r="V653" s="779"/>
      <c r="W653" s="779"/>
      <c r="X653" s="779"/>
      <c r="Y653" s="779"/>
      <c r="Z653" s="779"/>
      <c r="AA653" s="779"/>
      <c r="AB653" s="779"/>
      <c r="AC653" s="779"/>
      <c r="AD653" s="779"/>
      <c r="AE653" s="779"/>
      <c r="AF653" s="779"/>
      <c r="AG653" s="779"/>
      <c r="AH653" s="779"/>
      <c r="AI653" s="779"/>
      <c r="AJ653" s="779"/>
      <c r="AK653" s="779"/>
      <c r="AL653" s="779"/>
      <c r="AM653" s="779"/>
      <c r="AN653" s="779"/>
      <c r="AO653" s="779"/>
      <c r="AP653" s="779"/>
      <c r="AQ653" s="779"/>
      <c r="AR653" s="779"/>
      <c r="AS653" s="779"/>
      <c r="AT653" s="779"/>
      <c r="AU653" s="779"/>
      <c r="AV653" s="779"/>
      <c r="AW653" s="779"/>
      <c r="AX653" s="779"/>
      <c r="AY653" s="779"/>
      <c r="AZ653" s="779"/>
      <c r="BA653" s="779"/>
      <c r="BB653" s="779"/>
      <c r="BC653" s="779"/>
      <c r="BD653" s="779"/>
      <c r="BE653" s="779"/>
      <c r="BF653" s="779"/>
      <c r="BG653" s="779"/>
      <c r="BH653" s="779"/>
      <c r="BI653" s="779"/>
      <c r="BJ653" s="779"/>
      <c r="BK653" s="779"/>
      <c r="BL653" s="779"/>
      <c r="BM653" s="779"/>
      <c r="BN653" s="779"/>
      <c r="BO653" s="779"/>
      <c r="BP653" s="779"/>
      <c r="BQ653" s="779"/>
      <c r="BR653" s="779"/>
      <c r="BS653" s="779"/>
      <c r="BT653" s="779"/>
      <c r="BU653" s="779"/>
      <c r="BV653" s="779"/>
      <c r="BW653" s="779"/>
      <c r="BX653" s="779"/>
      <c r="BY653" s="779"/>
      <c r="BZ653" s="779"/>
      <c r="CA653" s="779"/>
      <c r="CB653" s="779"/>
      <c r="CC653" s="779"/>
    </row>
    <row r="654" spans="1:81">
      <c r="A654" s="779"/>
      <c r="B654" s="779"/>
      <c r="C654" s="779"/>
      <c r="D654" s="779"/>
      <c r="E654" s="779"/>
      <c r="F654" s="779"/>
      <c r="G654" s="779"/>
      <c r="H654" s="779"/>
      <c r="I654" s="779"/>
      <c r="J654" s="779"/>
      <c r="K654" s="779"/>
      <c r="L654" s="779"/>
      <c r="M654" s="779"/>
      <c r="N654" s="779"/>
      <c r="O654" s="779"/>
      <c r="P654" s="779"/>
      <c r="Q654" s="779"/>
      <c r="R654" s="779"/>
      <c r="S654" s="779"/>
      <c r="T654" s="779"/>
      <c r="U654" s="779"/>
      <c r="V654" s="779"/>
      <c r="W654" s="779"/>
      <c r="X654" s="779"/>
      <c r="Y654" s="779"/>
      <c r="Z654" s="779"/>
      <c r="AA654" s="779"/>
      <c r="AB654" s="779"/>
      <c r="AC654" s="779"/>
      <c r="AD654" s="779"/>
      <c r="AE654" s="779"/>
      <c r="AF654" s="779"/>
      <c r="AG654" s="779"/>
      <c r="AH654" s="779"/>
      <c r="AI654" s="779"/>
      <c r="AJ654" s="779"/>
      <c r="AK654" s="779"/>
      <c r="AL654" s="779"/>
      <c r="AM654" s="779"/>
      <c r="AN654" s="779"/>
      <c r="AO654" s="779"/>
      <c r="AP654" s="779"/>
      <c r="AQ654" s="779"/>
      <c r="AR654" s="779"/>
      <c r="AS654" s="779"/>
      <c r="AT654" s="779"/>
      <c r="AU654" s="779"/>
      <c r="AV654" s="779"/>
      <c r="AW654" s="779"/>
      <c r="AX654" s="779"/>
      <c r="AY654" s="779"/>
      <c r="AZ654" s="779"/>
      <c r="BA654" s="779"/>
      <c r="BB654" s="779"/>
      <c r="BC654" s="779"/>
      <c r="BD654" s="779"/>
      <c r="BE654" s="779"/>
      <c r="BF654" s="779"/>
      <c r="BG654" s="779"/>
      <c r="BH654" s="779"/>
      <c r="BI654" s="779"/>
      <c r="BJ654" s="779"/>
      <c r="BK654" s="779"/>
      <c r="BL654" s="779"/>
      <c r="BM654" s="779"/>
      <c r="BN654" s="779"/>
      <c r="BO654" s="779"/>
      <c r="BP654" s="779"/>
      <c r="BQ654" s="779"/>
      <c r="BR654" s="779"/>
      <c r="BS654" s="779"/>
      <c r="BT654" s="779"/>
      <c r="BU654" s="779"/>
      <c r="BV654" s="779"/>
      <c r="BW654" s="779"/>
      <c r="BX654" s="779"/>
      <c r="BY654" s="779"/>
      <c r="BZ654" s="779"/>
      <c r="CA654" s="779"/>
      <c r="CB654" s="779"/>
      <c r="CC654" s="779"/>
    </row>
    <row r="655" spans="1:81">
      <c r="A655" s="779"/>
      <c r="B655" s="779"/>
      <c r="C655" s="779"/>
      <c r="D655" s="779"/>
      <c r="E655" s="779"/>
      <c r="F655" s="779"/>
      <c r="G655" s="779"/>
      <c r="H655" s="779"/>
      <c r="I655" s="779"/>
      <c r="J655" s="779"/>
      <c r="K655" s="779"/>
      <c r="L655" s="779"/>
      <c r="M655" s="779"/>
      <c r="N655" s="779"/>
      <c r="O655" s="779"/>
      <c r="P655" s="779"/>
      <c r="Q655" s="779"/>
      <c r="R655" s="779"/>
      <c r="S655" s="779"/>
      <c r="T655" s="779"/>
      <c r="U655" s="779"/>
      <c r="V655" s="779"/>
      <c r="W655" s="779"/>
      <c r="X655" s="779"/>
      <c r="Y655" s="779"/>
      <c r="Z655" s="779"/>
      <c r="AA655" s="779"/>
      <c r="AB655" s="779"/>
      <c r="AC655" s="779"/>
      <c r="AD655" s="779"/>
      <c r="AE655" s="779"/>
      <c r="AF655" s="779"/>
      <c r="AG655" s="779"/>
      <c r="AH655" s="779"/>
      <c r="AI655" s="779"/>
      <c r="AJ655" s="779"/>
      <c r="AK655" s="779"/>
      <c r="AL655" s="779"/>
      <c r="AM655" s="779"/>
      <c r="AN655" s="779"/>
      <c r="AO655" s="779"/>
      <c r="AP655" s="779"/>
      <c r="AQ655" s="779"/>
      <c r="AR655" s="779"/>
      <c r="AS655" s="779"/>
      <c r="AT655" s="779"/>
      <c r="AU655" s="779"/>
      <c r="AV655" s="779"/>
      <c r="AW655" s="779"/>
      <c r="AX655" s="779"/>
      <c r="AY655" s="779"/>
      <c r="AZ655" s="779"/>
      <c r="BA655" s="779"/>
      <c r="BB655" s="779"/>
      <c r="BC655" s="779"/>
      <c r="BD655" s="779"/>
      <c r="BE655" s="779"/>
      <c r="BF655" s="779"/>
      <c r="BG655" s="779"/>
      <c r="BH655" s="779"/>
      <c r="BI655" s="779"/>
      <c r="BJ655" s="779"/>
      <c r="BK655" s="779"/>
      <c r="BL655" s="779"/>
      <c r="BM655" s="779"/>
      <c r="BN655" s="779"/>
      <c r="BO655" s="779"/>
      <c r="BP655" s="779"/>
      <c r="BQ655" s="779"/>
      <c r="BR655" s="779"/>
      <c r="BS655" s="779"/>
      <c r="BT655" s="779"/>
      <c r="BU655" s="779"/>
      <c r="BV655" s="779"/>
      <c r="BW655" s="779"/>
      <c r="BX655" s="779"/>
      <c r="BY655" s="779"/>
      <c r="BZ655" s="779"/>
      <c r="CA655" s="779"/>
      <c r="CB655" s="779"/>
      <c r="CC655" s="779"/>
    </row>
    <row r="656" spans="1:81">
      <c r="A656" s="779"/>
      <c r="B656" s="779"/>
      <c r="C656" s="779"/>
      <c r="D656" s="779"/>
      <c r="E656" s="779"/>
      <c r="F656" s="779"/>
      <c r="G656" s="779"/>
      <c r="H656" s="779"/>
      <c r="I656" s="779"/>
      <c r="J656" s="779"/>
      <c r="K656" s="779"/>
      <c r="L656" s="779"/>
      <c r="M656" s="779"/>
      <c r="N656" s="779"/>
      <c r="O656" s="779"/>
      <c r="P656" s="779"/>
      <c r="Q656" s="779"/>
      <c r="R656" s="779"/>
      <c r="S656" s="779"/>
      <c r="T656" s="779"/>
      <c r="U656" s="779"/>
      <c r="V656" s="779"/>
      <c r="W656" s="779"/>
      <c r="X656" s="779"/>
      <c r="Y656" s="779"/>
      <c r="Z656" s="779"/>
      <c r="AA656" s="779"/>
      <c r="AB656" s="779"/>
      <c r="AC656" s="779"/>
      <c r="AD656" s="779"/>
      <c r="AE656" s="779"/>
      <c r="AF656" s="779"/>
      <c r="AG656" s="779"/>
      <c r="AH656" s="779"/>
      <c r="AI656" s="779"/>
      <c r="AJ656" s="779"/>
      <c r="AK656" s="779"/>
      <c r="AL656" s="779"/>
      <c r="AM656" s="779"/>
      <c r="AN656" s="779"/>
      <c r="AO656" s="779"/>
      <c r="AP656" s="779"/>
      <c r="AQ656" s="779"/>
      <c r="AR656" s="779"/>
      <c r="AS656" s="779"/>
      <c r="AT656" s="779"/>
      <c r="AU656" s="779"/>
      <c r="AV656" s="779"/>
      <c r="AW656" s="779"/>
      <c r="AX656" s="779"/>
      <c r="AY656" s="779"/>
      <c r="AZ656" s="779"/>
      <c r="BA656" s="779"/>
      <c r="BB656" s="779"/>
      <c r="BC656" s="779"/>
      <c r="BD656" s="779"/>
      <c r="BE656" s="779"/>
      <c r="BF656" s="779"/>
      <c r="BG656" s="779"/>
      <c r="BH656" s="779"/>
      <c r="BI656" s="779"/>
      <c r="BJ656" s="779"/>
      <c r="BK656" s="779"/>
      <c r="BL656" s="779"/>
      <c r="BM656" s="779"/>
      <c r="BN656" s="779"/>
      <c r="BO656" s="779"/>
      <c r="BP656" s="779"/>
      <c r="BQ656" s="779"/>
      <c r="BR656" s="779"/>
      <c r="BS656" s="779"/>
      <c r="BT656" s="779"/>
      <c r="BU656" s="779"/>
      <c r="BV656" s="779"/>
      <c r="BW656" s="779"/>
      <c r="BX656" s="779"/>
      <c r="BY656" s="779"/>
      <c r="BZ656" s="779"/>
      <c r="CA656" s="779"/>
      <c r="CB656" s="779"/>
      <c r="CC656" s="779"/>
    </row>
    <row r="657" spans="1:81">
      <c r="A657" s="779"/>
      <c r="B657" s="779"/>
      <c r="C657" s="779"/>
      <c r="D657" s="779"/>
      <c r="E657" s="779"/>
      <c r="F657" s="779"/>
      <c r="G657" s="779"/>
      <c r="H657" s="779"/>
      <c r="I657" s="779"/>
      <c r="J657" s="779"/>
      <c r="K657" s="779"/>
      <c r="L657" s="779"/>
      <c r="M657" s="779"/>
      <c r="N657" s="779"/>
      <c r="O657" s="779"/>
      <c r="P657" s="779"/>
      <c r="Q657" s="779"/>
      <c r="R657" s="779"/>
      <c r="S657" s="779"/>
      <c r="T657" s="779"/>
      <c r="U657" s="779"/>
      <c r="V657" s="779"/>
      <c r="W657" s="779"/>
      <c r="X657" s="779"/>
      <c r="Y657" s="779"/>
      <c r="Z657" s="779"/>
      <c r="AA657" s="779"/>
      <c r="AB657" s="779"/>
      <c r="AC657" s="779"/>
      <c r="AD657" s="779"/>
      <c r="AE657" s="779"/>
      <c r="AF657" s="779"/>
      <c r="AG657" s="779"/>
      <c r="AH657" s="779"/>
      <c r="AI657" s="779"/>
      <c r="AJ657" s="779"/>
      <c r="AK657" s="779"/>
      <c r="AL657" s="779"/>
      <c r="AM657" s="779"/>
      <c r="AN657" s="779"/>
      <c r="AO657" s="779"/>
      <c r="AP657" s="779"/>
      <c r="AQ657" s="779"/>
      <c r="AR657" s="779"/>
      <c r="AS657" s="779"/>
      <c r="AT657" s="779"/>
      <c r="AU657" s="779"/>
      <c r="AV657" s="779"/>
      <c r="AW657" s="779"/>
      <c r="AX657" s="779"/>
      <c r="AY657" s="779"/>
      <c r="AZ657" s="779"/>
      <c r="BA657" s="779"/>
      <c r="BB657" s="779"/>
      <c r="BC657" s="779"/>
      <c r="BD657" s="779"/>
      <c r="BE657" s="779"/>
      <c r="BF657" s="779"/>
      <c r="BG657" s="779"/>
      <c r="BH657" s="779"/>
      <c r="BI657" s="779"/>
      <c r="BJ657" s="779"/>
      <c r="BK657" s="779"/>
      <c r="BL657" s="779"/>
      <c r="BM657" s="779"/>
      <c r="BN657" s="779"/>
      <c r="BO657" s="779"/>
      <c r="BP657" s="779"/>
      <c r="BQ657" s="779"/>
      <c r="BR657" s="779"/>
      <c r="BS657" s="779"/>
      <c r="BT657" s="779"/>
      <c r="BU657" s="779"/>
      <c r="BV657" s="779"/>
      <c r="BW657" s="779"/>
      <c r="BX657" s="779"/>
      <c r="BY657" s="779"/>
      <c r="BZ657" s="779"/>
      <c r="CA657" s="779"/>
      <c r="CB657" s="779"/>
      <c r="CC657" s="779"/>
    </row>
    <row r="658" spans="1:81">
      <c r="A658" s="779"/>
      <c r="B658" s="779"/>
      <c r="C658" s="779"/>
      <c r="D658" s="779"/>
      <c r="E658" s="779"/>
      <c r="F658" s="779"/>
      <c r="G658" s="779"/>
      <c r="H658" s="779"/>
      <c r="I658" s="779"/>
      <c r="J658" s="779"/>
      <c r="K658" s="779"/>
      <c r="L658" s="779"/>
      <c r="M658" s="779"/>
      <c r="N658" s="779"/>
      <c r="O658" s="779"/>
      <c r="P658" s="779"/>
      <c r="Q658" s="779"/>
      <c r="R658" s="779"/>
      <c r="S658" s="779"/>
      <c r="T658" s="779"/>
      <c r="U658" s="779"/>
      <c r="V658" s="779"/>
      <c r="W658" s="779"/>
      <c r="X658" s="779"/>
      <c r="Y658" s="779"/>
      <c r="Z658" s="779"/>
      <c r="AA658" s="779"/>
      <c r="AB658" s="779"/>
      <c r="AC658" s="779"/>
      <c r="AD658" s="779"/>
      <c r="AE658" s="779"/>
      <c r="AF658" s="779"/>
      <c r="AG658" s="779"/>
      <c r="AH658" s="779"/>
      <c r="AI658" s="779"/>
      <c r="AJ658" s="779"/>
      <c r="AK658" s="779"/>
      <c r="AL658" s="779"/>
      <c r="AM658" s="779"/>
      <c r="AN658" s="779"/>
      <c r="AO658" s="779"/>
      <c r="AP658" s="779"/>
      <c r="AQ658" s="779"/>
      <c r="AR658" s="779"/>
      <c r="AS658" s="779"/>
      <c r="AT658" s="779"/>
      <c r="AU658" s="779"/>
      <c r="AV658" s="779"/>
      <c r="AW658" s="779"/>
      <c r="AX658" s="779"/>
      <c r="AY658" s="779"/>
      <c r="AZ658" s="779"/>
      <c r="BA658" s="779"/>
      <c r="BB658" s="779"/>
      <c r="BC658" s="779"/>
      <c r="BD658" s="779"/>
      <c r="BE658" s="779"/>
      <c r="BF658" s="779"/>
      <c r="BG658" s="779"/>
      <c r="BH658" s="779"/>
      <c r="BI658" s="779"/>
      <c r="BJ658" s="779"/>
      <c r="BK658" s="779"/>
      <c r="BL658" s="779"/>
      <c r="BM658" s="779"/>
      <c r="BN658" s="779"/>
      <c r="BO658" s="779"/>
      <c r="BP658" s="779"/>
      <c r="BQ658" s="779"/>
      <c r="BR658" s="779"/>
      <c r="BS658" s="779"/>
      <c r="BT658" s="779"/>
      <c r="BU658" s="779"/>
      <c r="BV658" s="779"/>
      <c r="BW658" s="779"/>
      <c r="BX658" s="779"/>
      <c r="BY658" s="779"/>
      <c r="BZ658" s="779"/>
      <c r="CA658" s="779"/>
      <c r="CB658" s="779"/>
      <c r="CC658" s="779"/>
    </row>
    <row r="659" spans="1:81">
      <c r="A659" s="779"/>
      <c r="B659" s="779"/>
      <c r="C659" s="779"/>
      <c r="D659" s="779"/>
      <c r="E659" s="779"/>
      <c r="F659" s="779"/>
      <c r="G659" s="779"/>
      <c r="H659" s="779"/>
      <c r="I659" s="779"/>
      <c r="J659" s="779"/>
      <c r="K659" s="779"/>
      <c r="L659" s="779"/>
      <c r="M659" s="779"/>
      <c r="N659" s="779"/>
      <c r="O659" s="779"/>
      <c r="P659" s="779"/>
      <c r="Q659" s="779"/>
      <c r="R659" s="779"/>
      <c r="S659" s="779"/>
      <c r="T659" s="779"/>
      <c r="U659" s="779"/>
      <c r="V659" s="779"/>
      <c r="W659" s="779"/>
      <c r="X659" s="779"/>
      <c r="Y659" s="779"/>
      <c r="Z659" s="779"/>
      <c r="AA659" s="779"/>
      <c r="AB659" s="779"/>
      <c r="AC659" s="779"/>
      <c r="AD659" s="779"/>
      <c r="AE659" s="779"/>
      <c r="AF659" s="779"/>
      <c r="AG659" s="779"/>
      <c r="AH659" s="779"/>
      <c r="AI659" s="779"/>
      <c r="AJ659" s="779"/>
      <c r="AK659" s="779"/>
      <c r="AL659" s="779"/>
      <c r="AM659" s="779"/>
      <c r="AN659" s="779"/>
      <c r="AO659" s="779"/>
      <c r="AP659" s="779"/>
      <c r="AQ659" s="779"/>
      <c r="AR659" s="779"/>
      <c r="AS659" s="779"/>
      <c r="AT659" s="779"/>
      <c r="AU659" s="779"/>
      <c r="AV659" s="779"/>
      <c r="AW659" s="779"/>
      <c r="AX659" s="779"/>
      <c r="AY659" s="779"/>
      <c r="AZ659" s="779"/>
      <c r="BA659" s="779"/>
      <c r="BB659" s="779"/>
      <c r="BC659" s="779"/>
      <c r="BD659" s="779"/>
      <c r="BE659" s="779"/>
      <c r="BF659" s="779"/>
      <c r="BG659" s="779"/>
      <c r="BH659" s="779"/>
      <c r="BI659" s="779"/>
      <c r="BJ659" s="779"/>
      <c r="BK659" s="779"/>
      <c r="BL659" s="779"/>
      <c r="BM659" s="779"/>
      <c r="BN659" s="779"/>
      <c r="BO659" s="779"/>
      <c r="BP659" s="779"/>
      <c r="BQ659" s="779"/>
      <c r="BR659" s="779"/>
      <c r="BS659" s="779"/>
      <c r="BT659" s="779"/>
      <c r="BU659" s="779"/>
      <c r="BV659" s="779"/>
      <c r="BW659" s="779"/>
      <c r="BX659" s="779"/>
      <c r="BY659" s="779"/>
      <c r="BZ659" s="779"/>
      <c r="CA659" s="779"/>
      <c r="CB659" s="779"/>
      <c r="CC659" s="779"/>
    </row>
    <row r="660" spans="1:81">
      <c r="A660" s="779"/>
      <c r="B660" s="779"/>
      <c r="C660" s="779"/>
      <c r="D660" s="779"/>
      <c r="E660" s="779"/>
      <c r="F660" s="779"/>
      <c r="G660" s="779"/>
      <c r="H660" s="779"/>
      <c r="I660" s="779"/>
      <c r="J660" s="779"/>
      <c r="K660" s="779"/>
      <c r="L660" s="779"/>
      <c r="M660" s="779"/>
      <c r="N660" s="779"/>
      <c r="O660" s="779"/>
      <c r="P660" s="779"/>
      <c r="Q660" s="779"/>
      <c r="R660" s="779"/>
      <c r="S660" s="779"/>
      <c r="T660" s="779"/>
      <c r="U660" s="779"/>
      <c r="V660" s="779"/>
      <c r="W660" s="779"/>
      <c r="X660" s="779"/>
      <c r="Y660" s="779"/>
      <c r="Z660" s="779"/>
      <c r="AA660" s="779"/>
      <c r="AB660" s="779"/>
      <c r="AC660" s="779"/>
      <c r="AD660" s="779"/>
      <c r="AE660" s="779"/>
      <c r="AF660" s="779"/>
      <c r="AG660" s="779"/>
      <c r="AH660" s="779"/>
      <c r="AI660" s="779"/>
      <c r="AJ660" s="779"/>
      <c r="AK660" s="779"/>
      <c r="AL660" s="779"/>
      <c r="AM660" s="779"/>
      <c r="AN660" s="779"/>
      <c r="AO660" s="779"/>
      <c r="AP660" s="779"/>
      <c r="AQ660" s="779"/>
      <c r="AR660" s="779"/>
      <c r="AS660" s="779"/>
      <c r="AT660" s="779"/>
      <c r="AU660" s="779"/>
      <c r="AV660" s="779"/>
      <c r="AW660" s="779"/>
      <c r="AX660" s="779"/>
      <c r="AY660" s="779"/>
      <c r="AZ660" s="779"/>
      <c r="BA660" s="779"/>
      <c r="BB660" s="779"/>
      <c r="BC660" s="779"/>
      <c r="BD660" s="779"/>
      <c r="BE660" s="779"/>
      <c r="BF660" s="779"/>
      <c r="BG660" s="779"/>
      <c r="BH660" s="779"/>
      <c r="BI660" s="779"/>
      <c r="BJ660" s="779"/>
      <c r="BK660" s="779"/>
      <c r="BL660" s="779"/>
      <c r="BM660" s="779"/>
      <c r="BN660" s="779"/>
      <c r="BO660" s="779"/>
      <c r="BP660" s="779"/>
      <c r="BQ660" s="779"/>
      <c r="BR660" s="779"/>
      <c r="BS660" s="779"/>
      <c r="BT660" s="779"/>
      <c r="BU660" s="779"/>
      <c r="BV660" s="779"/>
      <c r="BW660" s="779"/>
      <c r="BX660" s="779"/>
      <c r="BY660" s="779"/>
      <c r="BZ660" s="779"/>
      <c r="CA660" s="779"/>
      <c r="CB660" s="779"/>
      <c r="CC660" s="779"/>
    </row>
    <row r="661" spans="1:81">
      <c r="A661" s="779"/>
      <c r="B661" s="779"/>
      <c r="C661" s="779"/>
      <c r="D661" s="779"/>
      <c r="E661" s="779"/>
      <c r="F661" s="779"/>
      <c r="G661" s="779"/>
      <c r="H661" s="779"/>
      <c r="I661" s="779"/>
      <c r="J661" s="779"/>
      <c r="K661" s="779"/>
      <c r="L661" s="779"/>
      <c r="M661" s="779"/>
      <c r="N661" s="779"/>
      <c r="O661" s="779"/>
      <c r="P661" s="779"/>
      <c r="Q661" s="779"/>
      <c r="R661" s="779"/>
      <c r="S661" s="779"/>
      <c r="T661" s="779"/>
      <c r="U661" s="779"/>
      <c r="V661" s="779"/>
      <c r="W661" s="779"/>
      <c r="X661" s="779"/>
      <c r="Y661" s="779"/>
      <c r="Z661" s="779"/>
      <c r="AA661" s="779"/>
      <c r="AB661" s="779"/>
      <c r="AC661" s="779"/>
      <c r="AD661" s="779"/>
      <c r="AE661" s="779"/>
      <c r="AF661" s="779"/>
      <c r="AG661" s="779"/>
      <c r="AH661" s="779"/>
      <c r="AI661" s="779"/>
      <c r="AJ661" s="779"/>
      <c r="AK661" s="779"/>
      <c r="AL661" s="779"/>
      <c r="AM661" s="779"/>
      <c r="AN661" s="779"/>
      <c r="AO661" s="779"/>
      <c r="AP661" s="779"/>
      <c r="AQ661" s="779"/>
      <c r="AR661" s="779"/>
      <c r="AS661" s="779"/>
      <c r="AT661" s="779"/>
      <c r="AU661" s="779"/>
      <c r="AV661" s="779"/>
      <c r="AW661" s="779"/>
      <c r="AX661" s="779"/>
      <c r="AY661" s="779"/>
      <c r="AZ661" s="779"/>
      <c r="BA661" s="779"/>
      <c r="BB661" s="779"/>
      <c r="BC661" s="779"/>
      <c r="BD661" s="779"/>
      <c r="BE661" s="779"/>
      <c r="BF661" s="779"/>
      <c r="BG661" s="779"/>
      <c r="BH661" s="779"/>
      <c r="BI661" s="779"/>
      <c r="BJ661" s="779"/>
      <c r="BK661" s="779"/>
      <c r="BL661" s="779"/>
      <c r="BM661" s="779"/>
      <c r="BN661" s="779"/>
      <c r="BO661" s="779"/>
      <c r="BP661" s="779"/>
      <c r="BQ661" s="779"/>
      <c r="BR661" s="779"/>
      <c r="BS661" s="779"/>
      <c r="BT661" s="779"/>
      <c r="BU661" s="779"/>
      <c r="BV661" s="779"/>
      <c r="BW661" s="779"/>
      <c r="BX661" s="779"/>
      <c r="BY661" s="779"/>
      <c r="BZ661" s="779"/>
      <c r="CA661" s="779"/>
      <c r="CB661" s="779"/>
      <c r="CC661" s="779"/>
    </row>
    <row r="662" spans="1:81">
      <c r="A662" s="779"/>
      <c r="B662" s="779"/>
      <c r="C662" s="779"/>
      <c r="D662" s="779"/>
      <c r="E662" s="779"/>
      <c r="F662" s="779"/>
      <c r="G662" s="779"/>
      <c r="H662" s="779"/>
      <c r="I662" s="779"/>
      <c r="J662" s="779"/>
      <c r="K662" s="779"/>
      <c r="L662" s="779"/>
      <c r="M662" s="779"/>
      <c r="N662" s="779"/>
      <c r="O662" s="779"/>
      <c r="P662" s="779"/>
      <c r="Q662" s="779"/>
      <c r="R662" s="779"/>
      <c r="S662" s="779"/>
      <c r="T662" s="779"/>
      <c r="U662" s="779"/>
      <c r="V662" s="779"/>
      <c r="W662" s="779"/>
      <c r="X662" s="779"/>
      <c r="Y662" s="779"/>
      <c r="Z662" s="779"/>
      <c r="AA662" s="779"/>
      <c r="AB662" s="779"/>
      <c r="AC662" s="779"/>
      <c r="AD662" s="779"/>
      <c r="AE662" s="779"/>
      <c r="AF662" s="779"/>
      <c r="AG662" s="779"/>
      <c r="AH662" s="779"/>
      <c r="AI662" s="779"/>
      <c r="AJ662" s="779"/>
      <c r="AK662" s="779"/>
      <c r="AL662" s="779"/>
      <c r="AM662" s="779"/>
      <c r="AN662" s="779"/>
      <c r="AO662" s="779"/>
      <c r="AP662" s="779"/>
      <c r="AQ662" s="779"/>
      <c r="AR662" s="779"/>
      <c r="AS662" s="779"/>
      <c r="AT662" s="779"/>
      <c r="AU662" s="779"/>
      <c r="AV662" s="779"/>
      <c r="AW662" s="779"/>
      <c r="AX662" s="779"/>
      <c r="AY662" s="779"/>
      <c r="AZ662" s="779"/>
      <c r="BA662" s="779"/>
      <c r="BB662" s="779"/>
      <c r="BC662" s="779"/>
      <c r="BD662" s="779"/>
      <c r="BE662" s="779"/>
      <c r="BF662" s="779"/>
      <c r="BG662" s="779"/>
      <c r="BH662" s="779"/>
      <c r="BI662" s="779"/>
      <c r="BJ662" s="779"/>
      <c r="BK662" s="779"/>
      <c r="BL662" s="779"/>
      <c r="BM662" s="779"/>
      <c r="BN662" s="779"/>
      <c r="BO662" s="779"/>
      <c r="BP662" s="779"/>
      <c r="BQ662" s="779"/>
      <c r="BR662" s="779"/>
      <c r="BS662" s="779"/>
      <c r="BT662" s="779"/>
      <c r="BU662" s="779"/>
      <c r="BV662" s="779"/>
      <c r="BW662" s="779"/>
      <c r="BX662" s="779"/>
      <c r="BY662" s="779"/>
      <c r="BZ662" s="779"/>
      <c r="CA662" s="779"/>
      <c r="CB662" s="779"/>
      <c r="CC662" s="779"/>
    </row>
  </sheetData>
  <customSheetViews>
    <customSheetView guid="{5826E3E6-173D-429F-ABE1-D868EE9E034B}" fitToPage="1" printArea="1">
      <pane ySplit="4" topLeftCell="A20" activePane="bottomLeft"/>
      <selection pane="bottomLeft" activeCell="C27" sqref="C27"/>
      <pageMargins left="0" right="0" top="0" bottom="0" header="0" footer="0"/>
      <pageSetup paperSize="9" scale="95" orientation="landscape" horizontalDpi="0" verticalDpi="0" r:id="rId1"/>
    </customSheetView>
  </customSheetViews>
  <mergeCells count="2">
    <mergeCell ref="G1:H1"/>
    <mergeCell ref="I1:K1"/>
  </mergeCells>
  <printOptions headings="1" gridLines="1"/>
  <pageMargins left="0.7" right="0.7" top="0.75" bottom="0.75" header="0.3" footer="0.3"/>
  <pageSetup paperSize="9" scale="69" orientation="portrait" horizontalDpi="0" verticalDpi="0"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O1"/>
  <sheetViews>
    <sheetView workbookViewId="0"/>
  </sheetViews>
  <sheetFormatPr defaultRowHeight="12.75"/>
  <sheetData>
    <row r="1" spans="15:15">
      <c r="O1" s="116" t="e">
        <f>'1_Contents'!#REF!</f>
        <v>#REF!</v>
      </c>
    </row>
  </sheetData>
  <pageMargins left="0.7" right="0.7" top="0.75" bottom="0.75" header="0.3" footer="0.3"/>
  <pageSetup paperSize="9" scale="55"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T161"/>
  <sheetViews>
    <sheetView workbookViewId="0"/>
  </sheetViews>
  <sheetFormatPr defaultRowHeight="12.75"/>
  <cols>
    <col min="1" max="1" width="59.85546875" customWidth="1"/>
    <col min="2" max="2" width="9" customWidth="1"/>
  </cols>
  <sheetData>
    <row r="2" spans="2:16" ht="27">
      <c r="B2" s="441" t="s">
        <v>1208</v>
      </c>
      <c r="C2" s="441"/>
      <c r="D2" s="441"/>
      <c r="E2" s="441"/>
      <c r="F2" s="442"/>
      <c r="G2" s="4"/>
      <c r="H2" s="4"/>
      <c r="I2" s="4"/>
      <c r="J2" s="4"/>
      <c r="K2" s="4"/>
      <c r="L2" s="4"/>
      <c r="M2" s="4"/>
      <c r="N2" s="4"/>
      <c r="O2" s="776"/>
      <c r="P2" s="776"/>
    </row>
    <row r="4" spans="2:16">
      <c r="B4" s="776" t="s">
        <v>1209</v>
      </c>
      <c r="C4" s="776"/>
      <c r="D4" s="776"/>
      <c r="E4" s="776"/>
      <c r="F4" s="776"/>
      <c r="G4" s="776"/>
      <c r="H4" s="776"/>
      <c r="I4" s="776"/>
      <c r="J4" s="776"/>
      <c r="K4" s="776"/>
      <c r="L4" s="776"/>
      <c r="M4" s="776"/>
      <c r="N4" s="776"/>
      <c r="O4" s="776"/>
      <c r="P4" s="776" t="s">
        <v>1210</v>
      </c>
    </row>
    <row r="29" spans="2:16">
      <c r="B29" s="776" t="s">
        <v>1211</v>
      </c>
      <c r="C29" s="776"/>
      <c r="D29" s="776"/>
      <c r="E29" s="776"/>
      <c r="F29" s="776"/>
      <c r="G29" s="776"/>
      <c r="H29" s="776"/>
      <c r="I29" s="776"/>
      <c r="J29" s="776"/>
      <c r="K29" s="776"/>
      <c r="L29" s="776"/>
      <c r="M29" s="776"/>
      <c r="N29" s="776"/>
      <c r="O29" s="776"/>
      <c r="P29" s="776" t="s">
        <v>1212</v>
      </c>
    </row>
    <row r="53" spans="2:2">
      <c r="B53" s="776" t="s">
        <v>1213</v>
      </c>
    </row>
    <row r="78" spans="2:15">
      <c r="B78" s="776" t="s">
        <v>1214</v>
      </c>
      <c r="C78" s="776"/>
      <c r="D78" s="776"/>
      <c r="E78" s="776"/>
      <c r="F78" s="776"/>
      <c r="G78" s="776"/>
      <c r="H78" s="776"/>
      <c r="I78" s="776"/>
      <c r="J78" s="776"/>
      <c r="K78" s="776"/>
      <c r="L78" s="776"/>
      <c r="M78" s="776"/>
      <c r="N78" s="776"/>
      <c r="O78" s="776" t="s">
        <v>1215</v>
      </c>
    </row>
    <row r="103" spans="2:2">
      <c r="B103" s="776" t="s">
        <v>1216</v>
      </c>
    </row>
    <row r="125" spans="2:16">
      <c r="B125" s="776" t="s">
        <v>1217</v>
      </c>
      <c r="C125" s="776"/>
      <c r="D125" s="776"/>
      <c r="E125" s="776"/>
      <c r="F125" s="776"/>
      <c r="G125" s="776"/>
      <c r="H125" s="776"/>
      <c r="I125" s="776"/>
      <c r="J125" s="776"/>
      <c r="K125" s="776"/>
      <c r="L125" s="776"/>
      <c r="M125" s="776"/>
      <c r="N125" s="776"/>
      <c r="O125" s="776"/>
      <c r="P125" s="776" t="s">
        <v>1218</v>
      </c>
    </row>
    <row r="146" spans="2:16">
      <c r="B146" s="776" t="s">
        <v>961</v>
      </c>
      <c r="C146" s="776"/>
      <c r="D146" s="776"/>
      <c r="E146" s="776"/>
      <c r="F146" s="776"/>
      <c r="G146" s="776"/>
      <c r="H146" s="776"/>
      <c r="I146" s="776"/>
      <c r="J146" s="776"/>
      <c r="K146" s="776"/>
      <c r="L146" s="776"/>
      <c r="M146" s="776"/>
      <c r="N146" s="776"/>
      <c r="O146" s="776"/>
      <c r="P146" s="776" t="s">
        <v>1219</v>
      </c>
    </row>
    <row r="161" spans="2:20">
      <c r="B161" s="776" t="s">
        <v>1220</v>
      </c>
      <c r="C161" s="776"/>
      <c r="D161" s="776"/>
      <c r="E161" s="776"/>
      <c r="F161" s="776"/>
      <c r="G161" s="776"/>
      <c r="H161" s="776"/>
      <c r="I161" s="776"/>
      <c r="J161" s="776"/>
      <c r="K161" s="776"/>
      <c r="L161" s="776"/>
      <c r="M161" s="776"/>
      <c r="N161" s="776"/>
      <c r="O161" s="776"/>
      <c r="P161" s="776"/>
      <c r="Q161" s="776"/>
      <c r="R161" s="776"/>
      <c r="S161" s="776"/>
      <c r="T161" s="776" t="s">
        <v>1221</v>
      </c>
    </row>
  </sheetData>
  <pageMargins left="0.7" right="0.7" top="0.75" bottom="0.75" header="0.3" footer="0.3"/>
  <pageSetup paperSize="9" scale="80" orientation="landscape"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A125"/>
  <sheetViews>
    <sheetView workbookViewId="0">
      <selection sqref="A1:B1"/>
    </sheetView>
  </sheetViews>
  <sheetFormatPr defaultRowHeight="12.75"/>
  <cols>
    <col min="1" max="1" width="3.5703125" customWidth="1"/>
    <col min="2" max="2" width="24" bestFit="1" customWidth="1"/>
    <col min="3" max="3" width="7.85546875" customWidth="1"/>
    <col min="4" max="4" width="8.85546875" customWidth="1"/>
    <col min="5" max="5" width="8" customWidth="1"/>
    <col min="6" max="10" width="10.5703125" bestFit="1" customWidth="1"/>
    <col min="11" max="11" width="11" bestFit="1" customWidth="1"/>
    <col min="12" max="15" width="10.5703125" bestFit="1" customWidth="1"/>
  </cols>
  <sheetData>
    <row r="1" spans="1:27" s="776" customFormat="1" ht="13.5">
      <c r="A1" s="1498">
        <f>NOW()</f>
        <v>43966.718486805556</v>
      </c>
      <c r="B1" s="1498"/>
      <c r="C1" s="13"/>
      <c r="D1" s="22"/>
      <c r="E1" s="74"/>
      <c r="F1" s="593"/>
      <c r="G1" s="242"/>
      <c r="H1" s="594"/>
      <c r="I1" s="594"/>
      <c r="J1" s="594"/>
      <c r="K1" s="594"/>
      <c r="L1" s="594"/>
      <c r="M1" s="594"/>
      <c r="N1" s="604"/>
      <c r="O1" s="4"/>
      <c r="P1" s="4"/>
      <c r="Q1" s="4"/>
      <c r="R1" s="4"/>
      <c r="S1" s="4"/>
      <c r="T1" s="4"/>
      <c r="U1" s="4"/>
      <c r="V1" s="4"/>
      <c r="W1" s="4"/>
      <c r="X1" s="4"/>
      <c r="Y1" s="4"/>
      <c r="Z1" s="4"/>
      <c r="AA1" s="710"/>
    </row>
    <row r="2" spans="1:27" s="776" customFormat="1" ht="25.5" customHeight="1">
      <c r="A2" s="606"/>
      <c r="B2" s="605"/>
      <c r="C2" s="607"/>
      <c r="D2" s="608"/>
      <c r="E2" s="10"/>
      <c r="F2" s="38"/>
      <c r="G2" s="38"/>
      <c r="H2" s="38"/>
      <c r="I2" s="1510"/>
      <c r="J2" s="1510"/>
      <c r="K2" s="1510"/>
      <c r="L2" s="38"/>
      <c r="M2" s="116"/>
      <c r="N2" s="116"/>
      <c r="X2" s="116"/>
      <c r="Y2" s="116"/>
      <c r="Z2" s="116" t="e">
        <f>'1_Contents'!#REF!</f>
        <v>#REF!</v>
      </c>
      <c r="AA2" s="710"/>
    </row>
    <row r="3" spans="1:27" s="776" customFormat="1">
      <c r="A3" s="320" t="s">
        <v>168</v>
      </c>
      <c r="B3" s="321"/>
      <c r="C3" s="636"/>
      <c r="D3" s="322">
        <v>2</v>
      </c>
      <c r="E3" s="69">
        <v>0</v>
      </c>
      <c r="F3" s="69">
        <f>E3+1</f>
        <v>1</v>
      </c>
      <c r="G3" s="69">
        <f t="shared" ref="G3:V4" si="0">F3+1</f>
        <v>2</v>
      </c>
      <c r="H3" s="69">
        <f t="shared" si="0"/>
        <v>3</v>
      </c>
      <c r="I3" s="69">
        <f t="shared" si="0"/>
        <v>4</v>
      </c>
      <c r="J3" s="69">
        <f t="shared" si="0"/>
        <v>5</v>
      </c>
      <c r="K3" s="69">
        <f t="shared" si="0"/>
        <v>6</v>
      </c>
      <c r="L3" s="69">
        <f t="shared" si="0"/>
        <v>7</v>
      </c>
      <c r="M3" s="69">
        <f t="shared" si="0"/>
        <v>8</v>
      </c>
      <c r="N3" s="69">
        <f t="shared" si="0"/>
        <v>9</v>
      </c>
      <c r="O3" s="69">
        <f t="shared" si="0"/>
        <v>10</v>
      </c>
      <c r="P3" s="69">
        <f t="shared" si="0"/>
        <v>11</v>
      </c>
      <c r="Q3" s="69">
        <f t="shared" si="0"/>
        <v>12</v>
      </c>
      <c r="R3" s="69">
        <f t="shared" si="0"/>
        <v>13</v>
      </c>
      <c r="S3" s="69">
        <f t="shared" si="0"/>
        <v>14</v>
      </c>
      <c r="T3" s="69">
        <f t="shared" si="0"/>
        <v>15</v>
      </c>
      <c r="U3" s="69">
        <f t="shared" si="0"/>
        <v>16</v>
      </c>
      <c r="V3" s="69">
        <f t="shared" si="0"/>
        <v>17</v>
      </c>
      <c r="W3" s="69">
        <f t="shared" ref="W3:Z4" si="1">V3+1</f>
        <v>18</v>
      </c>
      <c r="X3" s="69">
        <f t="shared" si="1"/>
        <v>19</v>
      </c>
      <c r="Y3" s="69">
        <f t="shared" si="1"/>
        <v>20</v>
      </c>
      <c r="Z3" s="69">
        <f t="shared" si="1"/>
        <v>21</v>
      </c>
      <c r="AA3" s="710"/>
    </row>
    <row r="4" spans="1:27" s="776" customFormat="1">
      <c r="D4" s="3" t="s">
        <v>3</v>
      </c>
      <c r="E4" s="780">
        <v>1999</v>
      </c>
      <c r="F4" s="778">
        <f>E4+1</f>
        <v>2000</v>
      </c>
      <c r="G4" s="778">
        <f t="shared" si="0"/>
        <v>2001</v>
      </c>
      <c r="H4" s="778">
        <f t="shared" si="0"/>
        <v>2002</v>
      </c>
      <c r="I4" s="778">
        <f t="shared" si="0"/>
        <v>2003</v>
      </c>
      <c r="J4" s="778">
        <f t="shared" si="0"/>
        <v>2004</v>
      </c>
      <c r="K4" s="778">
        <f t="shared" si="0"/>
        <v>2005</v>
      </c>
      <c r="L4" s="778">
        <f t="shared" si="0"/>
        <v>2006</v>
      </c>
      <c r="M4" s="778">
        <f t="shared" si="0"/>
        <v>2007</v>
      </c>
      <c r="N4" s="778">
        <f t="shared" si="0"/>
        <v>2008</v>
      </c>
      <c r="O4" s="778">
        <f t="shared" si="0"/>
        <v>2009</v>
      </c>
      <c r="P4" s="778">
        <f t="shared" si="0"/>
        <v>2010</v>
      </c>
      <c r="Q4" s="778">
        <f t="shared" si="0"/>
        <v>2011</v>
      </c>
      <c r="R4" s="778">
        <f t="shared" si="0"/>
        <v>2012</v>
      </c>
      <c r="S4" s="778">
        <f t="shared" si="0"/>
        <v>2013</v>
      </c>
      <c r="T4" s="778">
        <f t="shared" si="0"/>
        <v>2014</v>
      </c>
      <c r="U4" s="778">
        <f t="shared" si="0"/>
        <v>2015</v>
      </c>
      <c r="V4" s="778">
        <f t="shared" si="0"/>
        <v>2016</v>
      </c>
      <c r="W4" s="778">
        <f t="shared" si="1"/>
        <v>2017</v>
      </c>
      <c r="X4" s="778">
        <f t="shared" si="1"/>
        <v>2018</v>
      </c>
      <c r="Y4" s="778">
        <f t="shared" si="1"/>
        <v>2019</v>
      </c>
      <c r="Z4" s="778">
        <f t="shared" si="1"/>
        <v>2020</v>
      </c>
      <c r="AA4" s="710"/>
    </row>
    <row r="5" spans="1:27" ht="15">
      <c r="A5" s="1509" t="s">
        <v>1222</v>
      </c>
      <c r="B5" s="1509"/>
      <c r="C5" s="93"/>
      <c r="D5" s="89"/>
      <c r="E5" s="89"/>
      <c r="F5" s="89"/>
      <c r="G5" s="89"/>
      <c r="H5" s="89"/>
      <c r="I5" s="89"/>
      <c r="J5" s="89"/>
      <c r="K5" s="89"/>
      <c r="L5" s="89"/>
      <c r="M5" s="89"/>
      <c r="N5" s="89"/>
      <c r="O5" s="89"/>
      <c r="P5" s="89"/>
      <c r="Q5" s="776"/>
      <c r="R5" s="776"/>
      <c r="S5" s="776"/>
      <c r="T5" s="776"/>
      <c r="U5" s="776"/>
      <c r="V5" s="776"/>
      <c r="W5" s="776"/>
      <c r="X5" s="776"/>
      <c r="Y5" s="776"/>
      <c r="Z5" s="776"/>
      <c r="AA5" s="776"/>
    </row>
    <row r="6" spans="1:27" s="132" customFormat="1" ht="15">
      <c r="A6" s="88" t="s">
        <v>1223</v>
      </c>
      <c r="B6" s="1269"/>
      <c r="C6" s="93"/>
      <c r="D6" s="89"/>
      <c r="E6" s="89"/>
      <c r="F6" s="89"/>
      <c r="G6" s="89"/>
      <c r="H6" s="89"/>
      <c r="I6" s="89"/>
      <c r="J6" s="89"/>
      <c r="K6" s="89"/>
      <c r="L6" s="89"/>
      <c r="M6" s="89"/>
      <c r="N6" s="89"/>
      <c r="O6" s="89"/>
      <c r="P6" s="89"/>
      <c r="Q6" s="776"/>
      <c r="R6" s="776"/>
      <c r="S6" s="776"/>
      <c r="T6" s="776"/>
      <c r="U6" s="776"/>
      <c r="V6" s="776"/>
      <c r="W6" s="776"/>
      <c r="X6" s="776"/>
      <c r="Y6" s="776"/>
      <c r="Z6" s="776"/>
      <c r="AA6" s="776"/>
    </row>
    <row r="7" spans="1:27" ht="15">
      <c r="A7" s="89"/>
      <c r="B7" s="90"/>
      <c r="C7" s="91"/>
      <c r="D7" s="776"/>
      <c r="E7" s="776"/>
      <c r="F7" s="776"/>
      <c r="G7" s="776"/>
      <c r="H7" s="776"/>
      <c r="I7" s="191"/>
      <c r="J7" s="191"/>
      <c r="K7" s="191"/>
      <c r="L7" s="235"/>
      <c r="M7" s="235"/>
      <c r="N7" s="235"/>
      <c r="O7" s="235"/>
      <c r="P7" s="235"/>
      <c r="Q7" s="235"/>
      <c r="R7" s="235"/>
      <c r="S7" s="235"/>
      <c r="T7" s="235"/>
      <c r="U7" s="235"/>
      <c r="V7" s="236"/>
      <c r="W7" s="776"/>
      <c r="X7" s="776"/>
      <c r="Y7" s="776"/>
      <c r="Z7" s="776"/>
      <c r="AA7" s="776"/>
    </row>
    <row r="8" spans="1:27" ht="14.25">
      <c r="A8" s="154"/>
      <c r="B8" s="94" t="s">
        <v>1224</v>
      </c>
      <c r="C8" s="95"/>
      <c r="D8" s="776"/>
      <c r="E8" s="776"/>
      <c r="F8" s="776"/>
      <c r="G8" s="776"/>
      <c r="H8" s="776"/>
      <c r="I8" s="192">
        <v>984</v>
      </c>
      <c r="J8" s="192">
        <v>1089</v>
      </c>
      <c r="K8" s="192">
        <v>1449</v>
      </c>
      <c r="L8" s="192">
        <v>1290</v>
      </c>
      <c r="M8" s="192">
        <v>1786</v>
      </c>
      <c r="N8" s="192">
        <v>1281</v>
      </c>
      <c r="O8" s="192">
        <v>1208</v>
      </c>
      <c r="P8" s="192">
        <v>1265</v>
      </c>
      <c r="Q8" s="192">
        <v>1542</v>
      </c>
      <c r="R8" s="192">
        <v>1344</v>
      </c>
      <c r="S8" s="192">
        <v>1833</v>
      </c>
      <c r="T8" s="192">
        <v>1965</v>
      </c>
      <c r="U8" s="192"/>
      <c r="V8" s="776"/>
      <c r="W8" s="776"/>
      <c r="X8" s="776"/>
      <c r="Y8" s="776"/>
      <c r="Z8" s="776"/>
      <c r="AA8" s="776"/>
    </row>
    <row r="9" spans="1:27" ht="14.25">
      <c r="A9" s="154"/>
      <c r="B9" s="94" t="s">
        <v>687</v>
      </c>
      <c r="C9" s="96"/>
      <c r="D9" s="776"/>
      <c r="E9" s="776"/>
      <c r="F9" s="776"/>
      <c r="G9" s="776"/>
      <c r="H9" s="776"/>
      <c r="I9" s="193">
        <v>388</v>
      </c>
      <c r="J9" s="193">
        <v>454</v>
      </c>
      <c r="K9" s="193">
        <v>909</v>
      </c>
      <c r="L9" s="193">
        <v>666</v>
      </c>
      <c r="M9" s="193">
        <v>708</v>
      </c>
      <c r="N9" s="193">
        <v>852</v>
      </c>
      <c r="O9" s="193">
        <v>666</v>
      </c>
      <c r="P9" s="193">
        <v>753</v>
      </c>
      <c r="Q9" s="193">
        <v>881</v>
      </c>
      <c r="R9" s="193">
        <v>997</v>
      </c>
      <c r="S9" s="193">
        <v>1239</v>
      </c>
      <c r="T9" s="193">
        <v>1532</v>
      </c>
      <c r="U9" s="192"/>
      <c r="V9" s="776"/>
      <c r="W9" s="776"/>
      <c r="X9" s="776"/>
      <c r="Y9" s="776"/>
      <c r="Z9" s="776"/>
      <c r="AA9" s="776"/>
    </row>
    <row r="10" spans="1:27" ht="15">
      <c r="A10" s="154">
        <v>1</v>
      </c>
      <c r="B10" s="97" t="s">
        <v>635</v>
      </c>
      <c r="C10" s="98"/>
      <c r="D10" s="776"/>
      <c r="E10" s="776"/>
      <c r="F10" s="776"/>
      <c r="G10" s="776"/>
      <c r="H10" s="776"/>
      <c r="I10" s="194">
        <f t="shared" ref="I10:T10" si="2">I8-I9</f>
        <v>596</v>
      </c>
      <c r="J10" s="194">
        <f t="shared" si="2"/>
        <v>635</v>
      </c>
      <c r="K10" s="194">
        <f t="shared" si="2"/>
        <v>540</v>
      </c>
      <c r="L10" s="194">
        <f t="shared" si="2"/>
        <v>624</v>
      </c>
      <c r="M10" s="194">
        <f t="shared" si="2"/>
        <v>1078</v>
      </c>
      <c r="N10" s="194">
        <f t="shared" si="2"/>
        <v>429</v>
      </c>
      <c r="O10" s="194">
        <f t="shared" si="2"/>
        <v>542</v>
      </c>
      <c r="P10" s="194">
        <f t="shared" si="2"/>
        <v>512</v>
      </c>
      <c r="Q10" s="194">
        <f t="shared" si="2"/>
        <v>661</v>
      </c>
      <c r="R10" s="194">
        <f t="shared" si="2"/>
        <v>347</v>
      </c>
      <c r="S10" s="194">
        <f t="shared" si="2"/>
        <v>594</v>
      </c>
      <c r="T10" s="194">
        <f t="shared" si="2"/>
        <v>433</v>
      </c>
      <c r="U10" s="192"/>
      <c r="V10" s="776"/>
      <c r="W10" s="776"/>
      <c r="X10" s="776"/>
      <c r="Y10" s="776"/>
      <c r="Z10" s="776"/>
      <c r="AA10" s="776"/>
    </row>
    <row r="11" spans="1:27" ht="14.25">
      <c r="A11" s="154"/>
      <c r="B11" s="94" t="s">
        <v>1225</v>
      </c>
      <c r="C11" s="94"/>
      <c r="D11" s="776"/>
      <c r="E11" s="776"/>
      <c r="F11" s="776"/>
      <c r="G11" s="776"/>
      <c r="H11" s="776"/>
      <c r="I11" s="195">
        <f>I10-C10</f>
        <v>596</v>
      </c>
      <c r="J11" s="195">
        <f t="shared" ref="J11:T11" si="3">J10-I10</f>
        <v>39</v>
      </c>
      <c r="K11" s="195">
        <f t="shared" si="3"/>
        <v>-95</v>
      </c>
      <c r="L11" s="195">
        <f t="shared" si="3"/>
        <v>84</v>
      </c>
      <c r="M11" s="195">
        <f t="shared" si="3"/>
        <v>454</v>
      </c>
      <c r="N11" s="195">
        <f t="shared" si="3"/>
        <v>-649</v>
      </c>
      <c r="O11" s="195">
        <f t="shared" si="3"/>
        <v>113</v>
      </c>
      <c r="P11" s="195">
        <f t="shared" si="3"/>
        <v>-30</v>
      </c>
      <c r="Q11" s="195">
        <f t="shared" si="3"/>
        <v>149</v>
      </c>
      <c r="R11" s="195">
        <f t="shared" si="3"/>
        <v>-314</v>
      </c>
      <c r="S11" s="195">
        <f t="shared" si="3"/>
        <v>247</v>
      </c>
      <c r="T11" s="195">
        <f t="shared" si="3"/>
        <v>-161</v>
      </c>
      <c r="U11" s="196"/>
      <c r="V11" s="776"/>
      <c r="W11" s="776"/>
      <c r="X11" s="776"/>
      <c r="Y11" s="776"/>
      <c r="Z11" s="776"/>
      <c r="AA11" s="776"/>
    </row>
    <row r="12" spans="1:27" ht="14.25">
      <c r="A12" s="154"/>
      <c r="B12" s="94"/>
      <c r="C12" s="94"/>
      <c r="D12" s="776"/>
      <c r="E12" s="776"/>
      <c r="F12" s="776"/>
      <c r="G12" s="776"/>
      <c r="H12" s="776"/>
      <c r="I12" s="195"/>
      <c r="J12" s="195"/>
      <c r="K12" s="195"/>
      <c r="L12" s="195"/>
      <c r="M12" s="195"/>
      <c r="N12" s="195"/>
      <c r="O12" s="195"/>
      <c r="P12" s="195"/>
      <c r="Q12" s="195"/>
      <c r="R12" s="195"/>
      <c r="S12" s="195"/>
      <c r="T12" s="195"/>
      <c r="U12" s="196"/>
      <c r="V12" s="776"/>
      <c r="W12" s="776"/>
      <c r="X12" s="776"/>
      <c r="Y12" s="776"/>
      <c r="Z12" s="776"/>
      <c r="AA12" s="776"/>
    </row>
    <row r="13" spans="1:27" ht="14.25">
      <c r="A13" s="154"/>
      <c r="B13" s="94" t="s">
        <v>1226</v>
      </c>
      <c r="C13" s="99"/>
      <c r="D13" s="776"/>
      <c r="E13" s="776"/>
      <c r="F13" s="776"/>
      <c r="G13" s="776"/>
      <c r="H13" s="776"/>
      <c r="I13" s="197">
        <f t="shared" ref="I13:T13" si="4">I10/I9</f>
        <v>1.5360824742268042</v>
      </c>
      <c r="J13" s="197">
        <f t="shared" si="4"/>
        <v>1.3986784140969164</v>
      </c>
      <c r="K13" s="197">
        <f t="shared" si="4"/>
        <v>0.59405940594059403</v>
      </c>
      <c r="L13" s="197">
        <f t="shared" si="4"/>
        <v>0.93693693693693691</v>
      </c>
      <c r="M13" s="197">
        <f t="shared" si="4"/>
        <v>1.5225988700564972</v>
      </c>
      <c r="N13" s="197">
        <f t="shared" si="4"/>
        <v>0.50352112676056338</v>
      </c>
      <c r="O13" s="197">
        <f t="shared" si="4"/>
        <v>0.81381381381381379</v>
      </c>
      <c r="P13" s="197">
        <f t="shared" si="4"/>
        <v>0.67994687915006635</v>
      </c>
      <c r="Q13" s="197">
        <f t="shared" si="4"/>
        <v>0.75028376844494893</v>
      </c>
      <c r="R13" s="197">
        <f t="shared" si="4"/>
        <v>0.34804413239719156</v>
      </c>
      <c r="S13" s="197">
        <f t="shared" si="4"/>
        <v>0.47941888619854722</v>
      </c>
      <c r="T13" s="197">
        <f t="shared" si="4"/>
        <v>0.28263707571801566</v>
      </c>
      <c r="U13" s="198">
        <f>AVERAGE(C13:T13)</f>
        <v>0.82050181531174138</v>
      </c>
      <c r="V13" s="776"/>
      <c r="W13" s="776"/>
      <c r="X13" s="776"/>
      <c r="Y13" s="776"/>
      <c r="Z13" s="776"/>
      <c r="AA13" s="776"/>
    </row>
    <row r="14" spans="1:27" ht="14.25">
      <c r="A14" s="154"/>
      <c r="B14" s="94" t="s">
        <v>1227</v>
      </c>
      <c r="C14" s="100"/>
      <c r="D14" s="776"/>
      <c r="E14" s="776"/>
      <c r="F14" s="776"/>
      <c r="G14" s="776"/>
      <c r="H14" s="776"/>
      <c r="I14" s="199">
        <f t="shared" ref="I14:T14" si="5">I8/I9</f>
        <v>2.536082474226804</v>
      </c>
      <c r="J14" s="199">
        <f t="shared" si="5"/>
        <v>2.3986784140969162</v>
      </c>
      <c r="K14" s="199">
        <f t="shared" si="5"/>
        <v>1.5940594059405941</v>
      </c>
      <c r="L14" s="199">
        <f t="shared" si="5"/>
        <v>1.9369369369369369</v>
      </c>
      <c r="M14" s="199">
        <f t="shared" si="5"/>
        <v>2.522598870056497</v>
      </c>
      <c r="N14" s="199">
        <f t="shared" si="5"/>
        <v>1.5035211267605635</v>
      </c>
      <c r="O14" s="199">
        <f t="shared" si="5"/>
        <v>1.8138138138138138</v>
      </c>
      <c r="P14" s="199">
        <f t="shared" si="5"/>
        <v>1.6799468791500665</v>
      </c>
      <c r="Q14" s="199">
        <f t="shared" si="5"/>
        <v>1.7502837684449488</v>
      </c>
      <c r="R14" s="199">
        <f t="shared" si="5"/>
        <v>1.3480441323971917</v>
      </c>
      <c r="S14" s="199">
        <f t="shared" si="5"/>
        <v>1.4794188861985471</v>
      </c>
      <c r="T14" s="199">
        <f t="shared" si="5"/>
        <v>1.2826370757180157</v>
      </c>
      <c r="U14" s="200">
        <f>AVERAGE(C14:T14)</f>
        <v>1.8205018153117412</v>
      </c>
      <c r="V14" s="776"/>
      <c r="W14" s="776"/>
      <c r="X14" s="776"/>
      <c r="Y14" s="776"/>
      <c r="Z14" s="776"/>
      <c r="AA14" s="776"/>
    </row>
    <row r="15" spans="1:27" ht="14.25">
      <c r="A15" s="154"/>
      <c r="B15" s="94"/>
      <c r="C15" s="94"/>
      <c r="D15" s="776"/>
      <c r="E15" s="776"/>
      <c r="F15" s="776"/>
      <c r="G15" s="776"/>
      <c r="H15" s="776"/>
      <c r="I15" s="196"/>
      <c r="J15" s="196"/>
      <c r="K15" s="196"/>
      <c r="L15" s="196"/>
      <c r="M15" s="196"/>
      <c r="N15" s="196"/>
      <c r="O15" s="196"/>
      <c r="P15" s="196"/>
      <c r="Q15" s="196"/>
      <c r="R15" s="196"/>
      <c r="S15" s="196"/>
      <c r="T15" s="196"/>
      <c r="U15" s="201"/>
      <c r="V15" s="776"/>
      <c r="W15" s="776"/>
      <c r="X15" s="776"/>
      <c r="Y15" s="776"/>
      <c r="Z15" s="776"/>
      <c r="AA15" s="776"/>
    </row>
    <row r="16" spans="1:27" ht="15">
      <c r="A16" s="154">
        <v>2</v>
      </c>
      <c r="B16" s="97" t="s">
        <v>18</v>
      </c>
      <c r="C16" s="98"/>
      <c r="D16" s="776"/>
      <c r="E16" s="776"/>
      <c r="F16" s="776"/>
      <c r="G16" s="776"/>
      <c r="H16" s="776"/>
      <c r="I16" s="194"/>
      <c r="J16" s="194">
        <v>35</v>
      </c>
      <c r="K16" s="194">
        <v>25</v>
      </c>
      <c r="L16" s="194">
        <v>55</v>
      </c>
      <c r="M16" s="194">
        <v>60</v>
      </c>
      <c r="N16" s="194">
        <v>39</v>
      </c>
      <c r="O16" s="194">
        <v>48</v>
      </c>
      <c r="P16" s="194">
        <v>51</v>
      </c>
      <c r="Q16" s="194">
        <v>47</v>
      </c>
      <c r="R16" s="194">
        <v>33</v>
      </c>
      <c r="S16" s="194">
        <v>37</v>
      </c>
      <c r="T16" s="194">
        <v>16</v>
      </c>
      <c r="U16" s="202">
        <f>SUM(C16:T16)</f>
        <v>446</v>
      </c>
      <c r="V16" s="776"/>
      <c r="W16" s="776"/>
      <c r="X16" s="776"/>
      <c r="Y16" s="776"/>
      <c r="Z16" s="776"/>
      <c r="AA16" s="776"/>
    </row>
    <row r="17" spans="1:21" ht="14.25">
      <c r="A17" s="154"/>
      <c r="B17" s="94" t="s">
        <v>1228</v>
      </c>
      <c r="C17" s="101"/>
      <c r="D17" s="776"/>
      <c r="E17" s="776"/>
      <c r="F17" s="776"/>
      <c r="G17" s="776"/>
      <c r="H17" s="776"/>
      <c r="I17" s="193"/>
      <c r="J17" s="193">
        <f t="shared" ref="J17:T17" si="6">(I9+J9)/2</f>
        <v>421</v>
      </c>
      <c r="K17" s="193">
        <f t="shared" si="6"/>
        <v>681.5</v>
      </c>
      <c r="L17" s="193">
        <f t="shared" si="6"/>
        <v>787.5</v>
      </c>
      <c r="M17" s="193">
        <f t="shared" si="6"/>
        <v>687</v>
      </c>
      <c r="N17" s="193">
        <f t="shared" si="6"/>
        <v>780</v>
      </c>
      <c r="O17" s="193">
        <f t="shared" si="6"/>
        <v>759</v>
      </c>
      <c r="P17" s="193">
        <f t="shared" si="6"/>
        <v>709.5</v>
      </c>
      <c r="Q17" s="193">
        <f t="shared" si="6"/>
        <v>817</v>
      </c>
      <c r="R17" s="193">
        <f t="shared" si="6"/>
        <v>939</v>
      </c>
      <c r="S17" s="193">
        <f t="shared" si="6"/>
        <v>1118</v>
      </c>
      <c r="T17" s="193">
        <f t="shared" si="6"/>
        <v>1385.5</v>
      </c>
      <c r="U17" s="201"/>
    </row>
    <row r="18" spans="1:21" ht="14.25">
      <c r="A18" s="154"/>
      <c r="B18" s="94" t="s">
        <v>1229</v>
      </c>
      <c r="C18" s="102"/>
      <c r="D18" s="776"/>
      <c r="E18" s="776"/>
      <c r="F18" s="776"/>
      <c r="G18" s="776"/>
      <c r="H18" s="776"/>
      <c r="I18" s="203"/>
      <c r="J18" s="203">
        <f t="shared" ref="J18:T18" si="7">J16/J17</f>
        <v>8.3135391923990498E-2</v>
      </c>
      <c r="K18" s="203">
        <f t="shared" si="7"/>
        <v>3.6683785766691124E-2</v>
      </c>
      <c r="L18" s="203">
        <f t="shared" si="7"/>
        <v>6.9841269841269843E-2</v>
      </c>
      <c r="M18" s="203">
        <f t="shared" si="7"/>
        <v>8.7336244541484712E-2</v>
      </c>
      <c r="N18" s="203">
        <f t="shared" si="7"/>
        <v>0.05</v>
      </c>
      <c r="O18" s="203">
        <f t="shared" si="7"/>
        <v>6.3241106719367585E-2</v>
      </c>
      <c r="P18" s="203">
        <f t="shared" si="7"/>
        <v>7.1881606765327691E-2</v>
      </c>
      <c r="Q18" s="203">
        <f t="shared" si="7"/>
        <v>5.7527539779681759E-2</v>
      </c>
      <c r="R18" s="203">
        <f t="shared" si="7"/>
        <v>3.5143769968051117E-2</v>
      </c>
      <c r="S18" s="203">
        <f t="shared" si="7"/>
        <v>3.3094812164579608E-2</v>
      </c>
      <c r="T18" s="203">
        <f t="shared" si="7"/>
        <v>1.154817755322988E-2</v>
      </c>
      <c r="U18" s="204">
        <f>AVERAGE(C18:T18)</f>
        <v>5.4493973183970354E-2</v>
      </c>
    </row>
    <row r="19" spans="1:21" ht="15">
      <c r="A19" s="154"/>
      <c r="B19" s="94"/>
      <c r="C19" s="90"/>
      <c r="D19" s="776"/>
      <c r="E19" s="776"/>
      <c r="F19" s="776"/>
      <c r="G19" s="776"/>
      <c r="H19" s="776"/>
      <c r="I19" s="196"/>
      <c r="J19" s="196"/>
      <c r="K19" s="196"/>
      <c r="L19" s="196"/>
      <c r="M19" s="196"/>
      <c r="N19" s="196"/>
      <c r="O19" s="196"/>
      <c r="P19" s="205"/>
      <c r="Q19" s="205" t="s">
        <v>1230</v>
      </c>
      <c r="R19" s="206">
        <f>R18</f>
        <v>3.5143769968051117E-2</v>
      </c>
      <c r="S19" s="206">
        <f>S18</f>
        <v>3.3094812164579608E-2</v>
      </c>
      <c r="T19" s="206">
        <f>T18</f>
        <v>1.154817755322988E-2</v>
      </c>
      <c r="U19" s="207">
        <f>AVERAGE(C19:T19)</f>
        <v>2.659558656195354E-2</v>
      </c>
    </row>
    <row r="20" spans="1:21" ht="14.25">
      <c r="A20" s="154"/>
      <c r="B20" s="94" t="s">
        <v>1231</v>
      </c>
      <c r="C20" s="102"/>
      <c r="D20" s="776"/>
      <c r="E20" s="776"/>
      <c r="F20" s="776"/>
      <c r="G20" s="776"/>
      <c r="H20" s="776"/>
      <c r="I20" s="203"/>
      <c r="J20" s="203">
        <f t="shared" ref="J20:T20" si="8">J27/J17</f>
        <v>0.18313539192399048</v>
      </c>
      <c r="K20" s="203">
        <f t="shared" si="8"/>
        <v>0.13668378576669113</v>
      </c>
      <c r="L20" s="203">
        <f t="shared" si="8"/>
        <v>0.16984126984126985</v>
      </c>
      <c r="M20" s="203">
        <f t="shared" si="8"/>
        <v>0.1873362445414847</v>
      </c>
      <c r="N20" s="203">
        <f t="shared" si="8"/>
        <v>0.15</v>
      </c>
      <c r="O20" s="203">
        <f t="shared" si="8"/>
        <v>0.16324110671936759</v>
      </c>
      <c r="P20" s="203">
        <f t="shared" si="8"/>
        <v>0.17188160676532771</v>
      </c>
      <c r="Q20" s="203">
        <f t="shared" si="8"/>
        <v>0.15752753977968176</v>
      </c>
      <c r="R20" s="203">
        <f t="shared" si="8"/>
        <v>0.13514376996805114</v>
      </c>
      <c r="S20" s="203">
        <f t="shared" si="8"/>
        <v>0.13309481216457961</v>
      </c>
      <c r="T20" s="203">
        <f t="shared" si="8"/>
        <v>0.11154817755322989</v>
      </c>
      <c r="U20" s="204">
        <f>AVERAGE(C20:T20)</f>
        <v>0.15449397318397035</v>
      </c>
    </row>
    <row r="21" spans="1:21" ht="14.25">
      <c r="A21" s="154"/>
      <c r="B21" s="94" t="s">
        <v>1232</v>
      </c>
      <c r="C21" s="103"/>
      <c r="D21" s="776"/>
      <c r="E21" s="776"/>
      <c r="F21" s="776"/>
      <c r="G21" s="776"/>
      <c r="H21" s="776"/>
      <c r="I21" s="208"/>
      <c r="J21" s="208">
        <v>0.1</v>
      </c>
      <c r="K21" s="208">
        <v>0.1</v>
      </c>
      <c r="L21" s="208">
        <v>0.1</v>
      </c>
      <c r="M21" s="208">
        <v>0.1</v>
      </c>
      <c r="N21" s="208">
        <v>0.1</v>
      </c>
      <c r="O21" s="208">
        <v>0.1</v>
      </c>
      <c r="P21" s="208">
        <v>0.1</v>
      </c>
      <c r="Q21" s="208">
        <v>0.1</v>
      </c>
      <c r="R21" s="208">
        <v>0.1</v>
      </c>
      <c r="S21" s="208">
        <v>0.1</v>
      </c>
      <c r="T21" s="208">
        <v>0.1</v>
      </c>
      <c r="U21" s="209">
        <f>AVERAGE(C21:T21)</f>
        <v>9.9999999999999992E-2</v>
      </c>
    </row>
    <row r="22" spans="1:21" ht="14.25">
      <c r="A22" s="154"/>
      <c r="B22" s="94" t="s">
        <v>1229</v>
      </c>
      <c r="C22" s="104"/>
      <c r="D22" s="776"/>
      <c r="E22" s="776"/>
      <c r="F22" s="776"/>
      <c r="G22" s="776"/>
      <c r="H22" s="776"/>
      <c r="I22" s="210"/>
      <c r="J22" s="210">
        <f t="shared" ref="J22:U22" si="9">J20-J21</f>
        <v>8.313539192399047E-2</v>
      </c>
      <c r="K22" s="210">
        <f t="shared" si="9"/>
        <v>3.6683785766691124E-2</v>
      </c>
      <c r="L22" s="210">
        <f t="shared" si="9"/>
        <v>6.9841269841269843E-2</v>
      </c>
      <c r="M22" s="210">
        <f t="shared" si="9"/>
        <v>8.7336244541484698E-2</v>
      </c>
      <c r="N22" s="210">
        <f t="shared" si="9"/>
        <v>4.9999999999999989E-2</v>
      </c>
      <c r="O22" s="210">
        <f t="shared" si="9"/>
        <v>6.3241106719367585E-2</v>
      </c>
      <c r="P22" s="210">
        <f t="shared" si="9"/>
        <v>7.1881606765327705E-2</v>
      </c>
      <c r="Q22" s="210">
        <f t="shared" si="9"/>
        <v>5.7527539779681752E-2</v>
      </c>
      <c r="R22" s="210">
        <f t="shared" si="9"/>
        <v>3.5143769968051131E-2</v>
      </c>
      <c r="S22" s="210">
        <f t="shared" si="9"/>
        <v>3.3094812164579601E-2</v>
      </c>
      <c r="T22" s="210">
        <f t="shared" si="9"/>
        <v>1.1548177553229885E-2</v>
      </c>
      <c r="U22" s="204">
        <f t="shared" si="9"/>
        <v>5.4493973183970354E-2</v>
      </c>
    </row>
    <row r="23" spans="1:21" ht="14.25">
      <c r="A23" s="154"/>
      <c r="B23" s="94"/>
      <c r="C23" s="104"/>
      <c r="D23" s="776"/>
      <c r="E23" s="776"/>
      <c r="F23" s="776"/>
      <c r="G23" s="776"/>
      <c r="H23" s="776"/>
      <c r="I23" s="210"/>
      <c r="J23" s="210"/>
      <c r="K23" s="210"/>
      <c r="L23" s="210"/>
      <c r="M23" s="210"/>
      <c r="N23" s="210"/>
      <c r="O23" s="210"/>
      <c r="P23" s="210"/>
      <c r="Q23" s="210"/>
      <c r="R23" s="210"/>
      <c r="S23" s="210"/>
      <c r="T23" s="210"/>
      <c r="U23" s="204"/>
    </row>
    <row r="24" spans="1:21" ht="15">
      <c r="A24" s="154">
        <v>3</v>
      </c>
      <c r="B24" s="97" t="s">
        <v>659</v>
      </c>
      <c r="C24" s="94"/>
      <c r="D24" s="776"/>
      <c r="E24" s="776"/>
      <c r="F24" s="776"/>
      <c r="G24" s="776"/>
      <c r="H24" s="776"/>
      <c r="I24" s="211"/>
      <c r="J24" s="211">
        <f>J29</f>
        <v>11.099999999999994</v>
      </c>
      <c r="K24" s="211">
        <f t="shared" ref="K24:U24" si="10">K29</f>
        <v>-361.85</v>
      </c>
      <c r="L24" s="211">
        <f t="shared" si="10"/>
        <v>376.75</v>
      </c>
      <c r="M24" s="211">
        <f t="shared" si="10"/>
        <v>86.699999999999989</v>
      </c>
      <c r="N24" s="211">
        <f t="shared" si="10"/>
        <v>-27</v>
      </c>
      <c r="O24" s="211">
        <f t="shared" si="10"/>
        <v>309.89999999999998</v>
      </c>
      <c r="P24" s="211">
        <f t="shared" si="10"/>
        <v>34.950000000000003</v>
      </c>
      <c r="Q24" s="211">
        <f t="shared" si="10"/>
        <v>0.69999999999998863</v>
      </c>
      <c r="R24" s="211">
        <f t="shared" si="10"/>
        <v>10.900000000000006</v>
      </c>
      <c r="S24" s="211">
        <f t="shared" si="10"/>
        <v>-93.199999999999989</v>
      </c>
      <c r="T24" s="211">
        <f t="shared" si="10"/>
        <v>-138.44999999999999</v>
      </c>
      <c r="U24" s="202">
        <f t="shared" si="10"/>
        <v>210.5</v>
      </c>
    </row>
    <row r="25" spans="1:21" ht="14.25">
      <c r="A25" s="154"/>
      <c r="B25" s="94" t="s">
        <v>1233</v>
      </c>
      <c r="C25" s="105"/>
      <c r="D25" s="776"/>
      <c r="E25" s="776"/>
      <c r="F25" s="776"/>
      <c r="G25" s="776"/>
      <c r="H25" s="776"/>
      <c r="I25" s="192"/>
      <c r="J25" s="192">
        <f t="shared" ref="J25:T25" si="11">J21*J17</f>
        <v>42.1</v>
      </c>
      <c r="K25" s="192">
        <f t="shared" si="11"/>
        <v>68.150000000000006</v>
      </c>
      <c r="L25" s="192">
        <f t="shared" si="11"/>
        <v>78.75</v>
      </c>
      <c r="M25" s="192">
        <f t="shared" si="11"/>
        <v>68.7</v>
      </c>
      <c r="N25" s="192">
        <f t="shared" si="11"/>
        <v>78</v>
      </c>
      <c r="O25" s="192">
        <f t="shared" si="11"/>
        <v>75.900000000000006</v>
      </c>
      <c r="P25" s="192">
        <f t="shared" si="11"/>
        <v>70.95</v>
      </c>
      <c r="Q25" s="192">
        <f t="shared" si="11"/>
        <v>81.7</v>
      </c>
      <c r="R25" s="192">
        <f t="shared" si="11"/>
        <v>93.9</v>
      </c>
      <c r="S25" s="192">
        <f t="shared" si="11"/>
        <v>111.80000000000001</v>
      </c>
      <c r="T25" s="192">
        <f t="shared" si="11"/>
        <v>138.55000000000001</v>
      </c>
      <c r="U25" s="212">
        <f>SUM(C25:T25)</f>
        <v>908.5</v>
      </c>
    </row>
    <row r="26" spans="1:21" ht="14.25">
      <c r="A26" s="154"/>
      <c r="B26" s="94" t="s">
        <v>18</v>
      </c>
      <c r="C26" s="106"/>
      <c r="D26" s="776"/>
      <c r="E26" s="776"/>
      <c r="F26" s="776"/>
      <c r="G26" s="776"/>
      <c r="H26" s="776"/>
      <c r="I26" s="193"/>
      <c r="J26" s="193">
        <f t="shared" ref="J26:T26" si="12">J16</f>
        <v>35</v>
      </c>
      <c r="K26" s="193">
        <f t="shared" si="12"/>
        <v>25</v>
      </c>
      <c r="L26" s="193">
        <f t="shared" si="12"/>
        <v>55</v>
      </c>
      <c r="M26" s="193">
        <f t="shared" si="12"/>
        <v>60</v>
      </c>
      <c r="N26" s="193">
        <f t="shared" si="12"/>
        <v>39</v>
      </c>
      <c r="O26" s="193">
        <f t="shared" si="12"/>
        <v>48</v>
      </c>
      <c r="P26" s="193">
        <f t="shared" si="12"/>
        <v>51</v>
      </c>
      <c r="Q26" s="193">
        <f t="shared" si="12"/>
        <v>47</v>
      </c>
      <c r="R26" s="193">
        <f t="shared" si="12"/>
        <v>33</v>
      </c>
      <c r="S26" s="193">
        <f t="shared" si="12"/>
        <v>37</v>
      </c>
      <c r="T26" s="193">
        <f t="shared" si="12"/>
        <v>16</v>
      </c>
      <c r="U26" s="213">
        <f>SUM(C26:T26)</f>
        <v>446</v>
      </c>
    </row>
    <row r="27" spans="1:21" ht="14.25">
      <c r="A27" s="154"/>
      <c r="B27" s="94" t="s">
        <v>607</v>
      </c>
      <c r="C27" s="105"/>
      <c r="D27" s="776"/>
      <c r="E27" s="776"/>
      <c r="F27" s="776"/>
      <c r="G27" s="776"/>
      <c r="H27" s="776"/>
      <c r="I27" s="192"/>
      <c r="J27" s="192">
        <f t="shared" ref="J27:T27" si="13">J25+J26</f>
        <v>77.099999999999994</v>
      </c>
      <c r="K27" s="192">
        <f t="shared" si="13"/>
        <v>93.15</v>
      </c>
      <c r="L27" s="192">
        <f t="shared" si="13"/>
        <v>133.75</v>
      </c>
      <c r="M27" s="192">
        <f t="shared" si="13"/>
        <v>128.69999999999999</v>
      </c>
      <c r="N27" s="192">
        <f t="shared" si="13"/>
        <v>117</v>
      </c>
      <c r="O27" s="192">
        <f t="shared" si="13"/>
        <v>123.9</v>
      </c>
      <c r="P27" s="192">
        <f t="shared" si="13"/>
        <v>121.95</v>
      </c>
      <c r="Q27" s="192">
        <f t="shared" si="13"/>
        <v>128.69999999999999</v>
      </c>
      <c r="R27" s="192">
        <f t="shared" si="13"/>
        <v>126.9</v>
      </c>
      <c r="S27" s="192">
        <f t="shared" si="13"/>
        <v>148.80000000000001</v>
      </c>
      <c r="T27" s="192">
        <f t="shared" si="13"/>
        <v>154.55000000000001</v>
      </c>
      <c r="U27" s="212">
        <f>SUM(C27:T27)</f>
        <v>1354.5</v>
      </c>
    </row>
    <row r="28" spans="1:21" ht="14.25">
      <c r="A28" s="154"/>
      <c r="B28" s="94" t="s">
        <v>1234</v>
      </c>
      <c r="C28" s="107"/>
      <c r="D28" s="776"/>
      <c r="E28" s="776"/>
      <c r="F28" s="776"/>
      <c r="G28" s="776"/>
      <c r="H28" s="776"/>
      <c r="I28" s="193"/>
      <c r="J28" s="193">
        <f>J9-I9</f>
        <v>66</v>
      </c>
      <c r="K28" s="193">
        <f t="shared" ref="K28:T28" si="14">K9-J9</f>
        <v>455</v>
      </c>
      <c r="L28" s="193">
        <f t="shared" si="14"/>
        <v>-243</v>
      </c>
      <c r="M28" s="193">
        <f t="shared" si="14"/>
        <v>42</v>
      </c>
      <c r="N28" s="193">
        <f t="shared" si="14"/>
        <v>144</v>
      </c>
      <c r="O28" s="193">
        <f t="shared" si="14"/>
        <v>-186</v>
      </c>
      <c r="P28" s="193">
        <f t="shared" si="14"/>
        <v>87</v>
      </c>
      <c r="Q28" s="193">
        <f t="shared" si="14"/>
        <v>128</v>
      </c>
      <c r="R28" s="193">
        <f t="shared" si="14"/>
        <v>116</v>
      </c>
      <c r="S28" s="193">
        <f t="shared" si="14"/>
        <v>242</v>
      </c>
      <c r="T28" s="193">
        <f t="shared" si="14"/>
        <v>293</v>
      </c>
      <c r="U28" s="213">
        <f>SUM(C28:T28)</f>
        <v>1144</v>
      </c>
    </row>
    <row r="29" spans="1:21" ht="14.25">
      <c r="A29" s="154"/>
      <c r="B29" s="94" t="s">
        <v>1235</v>
      </c>
      <c r="C29" s="94"/>
      <c r="D29" s="776"/>
      <c r="E29" s="776"/>
      <c r="F29" s="776"/>
      <c r="G29" s="776"/>
      <c r="H29" s="776"/>
      <c r="I29" s="195"/>
      <c r="J29" s="195">
        <f t="shared" ref="J29:T29" si="15">J27-J28</f>
        <v>11.099999999999994</v>
      </c>
      <c r="K29" s="195">
        <f t="shared" si="15"/>
        <v>-361.85</v>
      </c>
      <c r="L29" s="195">
        <f t="shared" si="15"/>
        <v>376.75</v>
      </c>
      <c r="M29" s="195">
        <f t="shared" si="15"/>
        <v>86.699999999999989</v>
      </c>
      <c r="N29" s="195">
        <f t="shared" si="15"/>
        <v>-27</v>
      </c>
      <c r="O29" s="195">
        <f t="shared" si="15"/>
        <v>309.89999999999998</v>
      </c>
      <c r="P29" s="195">
        <f t="shared" si="15"/>
        <v>34.950000000000003</v>
      </c>
      <c r="Q29" s="195">
        <f t="shared" si="15"/>
        <v>0.69999999999998863</v>
      </c>
      <c r="R29" s="195">
        <f t="shared" si="15"/>
        <v>10.900000000000006</v>
      </c>
      <c r="S29" s="195">
        <f t="shared" si="15"/>
        <v>-93.199999999999989</v>
      </c>
      <c r="T29" s="195">
        <f t="shared" si="15"/>
        <v>-138.44999999999999</v>
      </c>
      <c r="U29" s="212">
        <f>SUM(C29:T29)</f>
        <v>210.5</v>
      </c>
    </row>
    <row r="30" spans="1:21" ht="14.25">
      <c r="A30" s="154"/>
      <c r="B30" s="94" t="s">
        <v>1236</v>
      </c>
      <c r="C30" s="104"/>
      <c r="D30" s="776"/>
      <c r="E30" s="776"/>
      <c r="F30" s="776"/>
      <c r="G30" s="776"/>
      <c r="H30" s="776"/>
      <c r="I30" s="210"/>
      <c r="J30" s="210">
        <f t="shared" ref="J30:T30" si="16">J29/J17</f>
        <v>2.6365795724465544E-2</v>
      </c>
      <c r="K30" s="210">
        <f t="shared" si="16"/>
        <v>-0.53096111518708733</v>
      </c>
      <c r="L30" s="210">
        <f t="shared" si="16"/>
        <v>0.4784126984126984</v>
      </c>
      <c r="M30" s="210">
        <f t="shared" si="16"/>
        <v>0.1262008733624454</v>
      </c>
      <c r="N30" s="210">
        <f t="shared" si="16"/>
        <v>-3.4615384615384617E-2</v>
      </c>
      <c r="O30" s="210">
        <f t="shared" si="16"/>
        <v>0.40830039525691697</v>
      </c>
      <c r="P30" s="210">
        <f t="shared" si="16"/>
        <v>4.9260042283298104E-2</v>
      </c>
      <c r="Q30" s="210">
        <f t="shared" si="16"/>
        <v>8.5679314565482089E-4</v>
      </c>
      <c r="R30" s="210">
        <f t="shared" si="16"/>
        <v>1.1608093716719921E-2</v>
      </c>
      <c r="S30" s="210">
        <f t="shared" si="16"/>
        <v>-8.3363148479427537E-2</v>
      </c>
      <c r="T30" s="210">
        <f t="shared" si="16"/>
        <v>-9.9927823890292311E-2</v>
      </c>
      <c r="U30" s="204">
        <f>AVERAGE(C30:T30)</f>
        <v>3.2012474520909752E-2</v>
      </c>
    </row>
    <row r="31" spans="1:21" ht="15">
      <c r="A31" s="155"/>
      <c r="B31" s="108"/>
      <c r="C31" s="87"/>
      <c r="D31" s="776"/>
      <c r="E31" s="776"/>
      <c r="F31" s="776"/>
      <c r="G31" s="776"/>
      <c r="H31" s="776"/>
      <c r="I31" s="214"/>
      <c r="J31" s="215"/>
      <c r="K31" s="215"/>
      <c r="L31" s="215"/>
      <c r="M31" s="215"/>
      <c r="N31" s="215"/>
      <c r="O31" s="215"/>
      <c r="P31" s="215"/>
      <c r="Q31" s="216"/>
      <c r="R31" s="215"/>
      <c r="S31" s="215"/>
      <c r="T31" s="215"/>
      <c r="U31" s="215"/>
    </row>
    <row r="32" spans="1:21" s="132" customFormat="1" ht="15">
      <c r="A32" s="156">
        <v>4</v>
      </c>
      <c r="B32" s="86" t="s">
        <v>1237</v>
      </c>
      <c r="C32" s="134"/>
      <c r="D32" s="776"/>
      <c r="E32" s="776"/>
      <c r="F32" s="776"/>
      <c r="G32" s="776"/>
      <c r="H32" s="776"/>
      <c r="I32" s="217" t="s">
        <v>776</v>
      </c>
      <c r="J32" s="218">
        <f>J35/J38</f>
        <v>0.18292682926829268</v>
      </c>
      <c r="K32" s="218">
        <f t="shared" ref="K32:T32" si="17">K35/K38</f>
        <v>-6.4279155188246104E-2</v>
      </c>
      <c r="L32" s="218">
        <f t="shared" si="17"/>
        <v>0.16080055210489994</v>
      </c>
      <c r="M32" s="218">
        <f t="shared" si="17"/>
        <v>-1.3953488372093023E-2</v>
      </c>
      <c r="N32" s="218">
        <f t="shared" si="17"/>
        <v>0.30459126539753639</v>
      </c>
      <c r="O32" s="218">
        <f t="shared" si="17"/>
        <v>0.1053864168618267</v>
      </c>
      <c r="P32" s="218">
        <f t="shared" si="17"/>
        <v>-4.5529801324503308E-2</v>
      </c>
      <c r="Q32" s="218">
        <f t="shared" si="17"/>
        <v>-6.7984189723320154E-2</v>
      </c>
      <c r="R32" s="218">
        <f t="shared" si="17"/>
        <v>0.13942931258106356</v>
      </c>
      <c r="S32" s="218">
        <f t="shared" si="17"/>
        <v>-0.19717261904761904</v>
      </c>
      <c r="T32" s="218">
        <f t="shared" si="17"/>
        <v>7.6923076923076927E-2</v>
      </c>
      <c r="U32" s="219"/>
    </row>
    <row r="33" spans="1:22" s="132" customFormat="1" ht="15">
      <c r="A33" s="155"/>
      <c r="B33" s="108"/>
      <c r="C33" s="87"/>
      <c r="D33" s="776"/>
      <c r="E33" s="776"/>
      <c r="F33" s="776"/>
      <c r="G33" s="776"/>
      <c r="H33" s="776"/>
      <c r="I33" s="214"/>
      <c r="J33" s="215"/>
      <c r="K33" s="215"/>
      <c r="L33" s="215"/>
      <c r="M33" s="215"/>
      <c r="N33" s="215"/>
      <c r="O33" s="215"/>
      <c r="P33" s="215"/>
      <c r="Q33" s="216"/>
      <c r="R33" s="215"/>
      <c r="S33" s="215"/>
      <c r="T33" s="215"/>
      <c r="U33" s="219"/>
      <c r="V33" s="776"/>
    </row>
    <row r="34" spans="1:22" s="132" customFormat="1" ht="15">
      <c r="A34" s="156">
        <v>5</v>
      </c>
      <c r="B34" s="86" t="s">
        <v>1238</v>
      </c>
      <c r="C34" s="134"/>
      <c r="D34" s="776"/>
      <c r="E34" s="776"/>
      <c r="F34" s="776"/>
      <c r="G34" s="776"/>
      <c r="H34" s="776"/>
      <c r="I34" s="217"/>
      <c r="J34" s="219"/>
      <c r="K34" s="219"/>
      <c r="L34" s="219"/>
      <c r="M34" s="219"/>
      <c r="N34" s="219"/>
      <c r="O34" s="219"/>
      <c r="P34" s="219"/>
      <c r="Q34" s="220"/>
      <c r="R34" s="219"/>
      <c r="S34" s="219"/>
      <c r="T34" s="219"/>
      <c r="U34" s="219"/>
      <c r="V34" s="776"/>
    </row>
    <row r="35" spans="1:22" s="132" customFormat="1">
      <c r="A35" s="368"/>
      <c r="B35" s="776" t="s">
        <v>770</v>
      </c>
      <c r="C35" s="3" t="s">
        <v>631</v>
      </c>
      <c r="D35" s="776"/>
      <c r="E35" s="776"/>
      <c r="F35" s="776"/>
      <c r="G35" s="776"/>
      <c r="H35" s="776"/>
      <c r="I35" s="170"/>
      <c r="J35" s="221">
        <f>J38-J37-J36</f>
        <v>180</v>
      </c>
      <c r="K35" s="221">
        <f t="shared" ref="K35:T35" si="18">K38-K37-K36</f>
        <v>-70</v>
      </c>
      <c r="L35" s="221">
        <f t="shared" si="18"/>
        <v>233</v>
      </c>
      <c r="M35" s="221">
        <f t="shared" si="18"/>
        <v>-18</v>
      </c>
      <c r="N35" s="221">
        <f t="shared" si="18"/>
        <v>544</v>
      </c>
      <c r="O35" s="221">
        <f t="shared" si="18"/>
        <v>135</v>
      </c>
      <c r="P35" s="221">
        <f t="shared" si="18"/>
        <v>-55</v>
      </c>
      <c r="Q35" s="221">
        <f t="shared" si="18"/>
        <v>-86</v>
      </c>
      <c r="R35" s="221">
        <f t="shared" si="18"/>
        <v>215</v>
      </c>
      <c r="S35" s="221">
        <f t="shared" si="18"/>
        <v>-265</v>
      </c>
      <c r="T35" s="221">
        <f t="shared" si="18"/>
        <v>141</v>
      </c>
      <c r="U35" s="170"/>
      <c r="V35" s="776"/>
    </row>
    <row r="36" spans="1:22">
      <c r="A36" s="368"/>
      <c r="B36" s="776" t="s">
        <v>771</v>
      </c>
      <c r="C36" s="3" t="s">
        <v>631</v>
      </c>
      <c r="D36" s="776"/>
      <c r="E36" s="776"/>
      <c r="F36" s="776"/>
      <c r="G36" s="776"/>
      <c r="H36" s="776"/>
      <c r="I36" s="170"/>
      <c r="J36" s="222">
        <f>J16/J21</f>
        <v>350</v>
      </c>
      <c r="K36" s="222">
        <f t="shared" ref="K36:T36" si="19">K16/K21</f>
        <v>250</v>
      </c>
      <c r="L36" s="222">
        <f t="shared" si="19"/>
        <v>550</v>
      </c>
      <c r="M36" s="222">
        <f t="shared" si="19"/>
        <v>600</v>
      </c>
      <c r="N36" s="222">
        <f t="shared" si="19"/>
        <v>390</v>
      </c>
      <c r="O36" s="222">
        <f t="shared" si="19"/>
        <v>480</v>
      </c>
      <c r="P36" s="222">
        <f t="shared" si="19"/>
        <v>510</v>
      </c>
      <c r="Q36" s="222">
        <f t="shared" si="19"/>
        <v>470</v>
      </c>
      <c r="R36" s="222">
        <f t="shared" si="19"/>
        <v>330</v>
      </c>
      <c r="S36" s="222">
        <f t="shared" si="19"/>
        <v>370</v>
      </c>
      <c r="T36" s="222">
        <f t="shared" si="19"/>
        <v>160</v>
      </c>
      <c r="U36" s="170"/>
      <c r="V36" s="776"/>
    </row>
    <row r="37" spans="1:22" s="132" customFormat="1">
      <c r="A37" s="368"/>
      <c r="B37" s="776" t="s">
        <v>608</v>
      </c>
      <c r="C37" s="3" t="s">
        <v>631</v>
      </c>
      <c r="D37" s="776"/>
      <c r="E37" s="776"/>
      <c r="F37" s="776"/>
      <c r="G37" s="776"/>
      <c r="H37" s="776"/>
      <c r="I37" s="170"/>
      <c r="J37" s="223">
        <f>J9</f>
        <v>454</v>
      </c>
      <c r="K37" s="223">
        <f t="shared" ref="K37:T37" si="20">K9</f>
        <v>909</v>
      </c>
      <c r="L37" s="223">
        <f t="shared" si="20"/>
        <v>666</v>
      </c>
      <c r="M37" s="223">
        <f t="shared" si="20"/>
        <v>708</v>
      </c>
      <c r="N37" s="223">
        <f t="shared" si="20"/>
        <v>852</v>
      </c>
      <c r="O37" s="223">
        <f t="shared" si="20"/>
        <v>666</v>
      </c>
      <c r="P37" s="223">
        <f t="shared" si="20"/>
        <v>753</v>
      </c>
      <c r="Q37" s="223">
        <f t="shared" si="20"/>
        <v>881</v>
      </c>
      <c r="R37" s="223">
        <f t="shared" si="20"/>
        <v>997</v>
      </c>
      <c r="S37" s="223">
        <f t="shared" si="20"/>
        <v>1239</v>
      </c>
      <c r="T37" s="223">
        <f t="shared" si="20"/>
        <v>1532</v>
      </c>
      <c r="U37" s="170"/>
      <c r="V37" s="776"/>
    </row>
    <row r="38" spans="1:22">
      <c r="A38" s="368"/>
      <c r="B38" s="776" t="s">
        <v>1239</v>
      </c>
      <c r="C38" s="776"/>
      <c r="D38" s="776"/>
      <c r="E38" s="776"/>
      <c r="F38" s="776"/>
      <c r="G38" s="776"/>
      <c r="H38" s="776"/>
      <c r="I38" s="170"/>
      <c r="J38" s="54">
        <f>I8</f>
        <v>984</v>
      </c>
      <c r="K38" s="54">
        <f t="shared" ref="K38:T38" si="21">J8</f>
        <v>1089</v>
      </c>
      <c r="L38" s="54">
        <f t="shared" si="21"/>
        <v>1449</v>
      </c>
      <c r="M38" s="54">
        <f t="shared" si="21"/>
        <v>1290</v>
      </c>
      <c r="N38" s="54">
        <f t="shared" si="21"/>
        <v>1786</v>
      </c>
      <c r="O38" s="54">
        <f t="shared" si="21"/>
        <v>1281</v>
      </c>
      <c r="P38" s="54">
        <f t="shared" si="21"/>
        <v>1208</v>
      </c>
      <c r="Q38" s="54">
        <f t="shared" si="21"/>
        <v>1265</v>
      </c>
      <c r="R38" s="54">
        <f t="shared" si="21"/>
        <v>1542</v>
      </c>
      <c r="S38" s="54">
        <f t="shared" si="21"/>
        <v>1344</v>
      </c>
      <c r="T38" s="54">
        <f t="shared" si="21"/>
        <v>1833</v>
      </c>
      <c r="U38" s="170"/>
      <c r="V38" s="776"/>
    </row>
    <row r="39" spans="1:22">
      <c r="A39" s="368"/>
      <c r="B39" s="776"/>
      <c r="C39" s="776"/>
      <c r="D39" s="776"/>
      <c r="E39" s="776"/>
      <c r="F39" s="776"/>
      <c r="G39" s="776"/>
      <c r="H39" s="776"/>
      <c r="I39" s="170"/>
      <c r="J39" s="170"/>
      <c r="K39" s="170"/>
      <c r="L39" s="170"/>
      <c r="M39" s="170"/>
      <c r="N39" s="170"/>
      <c r="O39" s="170"/>
      <c r="P39" s="170"/>
      <c r="Q39" s="170"/>
      <c r="R39" s="170"/>
      <c r="S39" s="170"/>
      <c r="T39" s="170"/>
      <c r="U39" s="170"/>
      <c r="V39" s="776"/>
    </row>
    <row r="40" spans="1:22">
      <c r="A40" s="368"/>
      <c r="B40" s="776" t="s">
        <v>770</v>
      </c>
      <c r="C40" s="3" t="s">
        <v>629</v>
      </c>
      <c r="D40" s="776"/>
      <c r="E40" s="776"/>
      <c r="F40" s="776"/>
      <c r="G40" s="776"/>
      <c r="H40" s="776"/>
      <c r="I40" s="170"/>
      <c r="J40" s="224">
        <f t="shared" ref="J40:T40" si="22">J35/J38</f>
        <v>0.18292682926829268</v>
      </c>
      <c r="K40" s="224">
        <f t="shared" si="22"/>
        <v>-6.4279155188246104E-2</v>
      </c>
      <c r="L40" s="224">
        <f t="shared" si="22"/>
        <v>0.16080055210489994</v>
      </c>
      <c r="M40" s="224">
        <f t="shared" si="22"/>
        <v>-1.3953488372093023E-2</v>
      </c>
      <c r="N40" s="224">
        <f t="shared" si="22"/>
        <v>0.30459126539753639</v>
      </c>
      <c r="O40" s="224">
        <f t="shared" si="22"/>
        <v>0.1053864168618267</v>
      </c>
      <c r="P40" s="224">
        <f t="shared" si="22"/>
        <v>-4.5529801324503308E-2</v>
      </c>
      <c r="Q40" s="224">
        <f t="shared" si="22"/>
        <v>-6.7984189723320154E-2</v>
      </c>
      <c r="R40" s="224">
        <f t="shared" si="22"/>
        <v>0.13942931258106356</v>
      </c>
      <c r="S40" s="224">
        <f t="shared" si="22"/>
        <v>-0.19717261904761904</v>
      </c>
      <c r="T40" s="224">
        <f t="shared" si="22"/>
        <v>7.6923076923076927E-2</v>
      </c>
      <c r="U40" s="170"/>
      <c r="V40" s="776"/>
    </row>
    <row r="41" spans="1:22" s="132" customFormat="1">
      <c r="A41" s="368"/>
      <c r="B41" s="776" t="s">
        <v>771</v>
      </c>
      <c r="C41" s="3" t="s">
        <v>629</v>
      </c>
      <c r="D41" s="776"/>
      <c r="E41" s="776"/>
      <c r="F41" s="776"/>
      <c r="G41" s="776"/>
      <c r="H41" s="776"/>
      <c r="I41" s="170"/>
      <c r="J41" s="225">
        <f t="shared" ref="J41:T41" si="23">J36/J38</f>
        <v>0.35569105691056913</v>
      </c>
      <c r="K41" s="225">
        <f t="shared" si="23"/>
        <v>0.2295684113865932</v>
      </c>
      <c r="L41" s="225">
        <f t="shared" si="23"/>
        <v>0.37957211870255347</v>
      </c>
      <c r="M41" s="225">
        <f t="shared" si="23"/>
        <v>0.46511627906976744</v>
      </c>
      <c r="N41" s="225">
        <f t="shared" si="23"/>
        <v>0.21836506159014557</v>
      </c>
      <c r="O41" s="225">
        <f t="shared" si="23"/>
        <v>0.37470725995316162</v>
      </c>
      <c r="P41" s="225">
        <f t="shared" si="23"/>
        <v>0.42218543046357615</v>
      </c>
      <c r="Q41" s="225">
        <f t="shared" si="23"/>
        <v>0.3715415019762846</v>
      </c>
      <c r="R41" s="225">
        <f t="shared" si="23"/>
        <v>0.2140077821011673</v>
      </c>
      <c r="S41" s="225">
        <f t="shared" si="23"/>
        <v>0.27529761904761907</v>
      </c>
      <c r="T41" s="225">
        <f t="shared" si="23"/>
        <v>8.7288597926895806E-2</v>
      </c>
      <c r="U41" s="170"/>
      <c r="V41" s="776"/>
    </row>
    <row r="42" spans="1:22" s="132" customFormat="1">
      <c r="A42" s="368"/>
      <c r="B42" s="776" t="s">
        <v>608</v>
      </c>
      <c r="C42" s="3" t="s">
        <v>629</v>
      </c>
      <c r="D42" s="776"/>
      <c r="E42" s="776"/>
      <c r="F42" s="776"/>
      <c r="G42" s="776"/>
      <c r="H42" s="776"/>
      <c r="I42" s="170"/>
      <c r="J42" s="226">
        <f>J37/J38</f>
        <v>0.4613821138211382</v>
      </c>
      <c r="K42" s="226">
        <f t="shared" ref="K42:T42" si="24">K37/K38</f>
        <v>0.83471074380165289</v>
      </c>
      <c r="L42" s="226">
        <f t="shared" si="24"/>
        <v>0.45962732919254656</v>
      </c>
      <c r="M42" s="226">
        <f t="shared" si="24"/>
        <v>0.5488372093023256</v>
      </c>
      <c r="N42" s="226">
        <f t="shared" si="24"/>
        <v>0.47704367301231804</v>
      </c>
      <c r="O42" s="226">
        <f t="shared" si="24"/>
        <v>0.51990632318501173</v>
      </c>
      <c r="P42" s="226">
        <f t="shared" si="24"/>
        <v>0.6233443708609272</v>
      </c>
      <c r="Q42" s="226">
        <f t="shared" si="24"/>
        <v>0.69644268774703555</v>
      </c>
      <c r="R42" s="226">
        <f t="shared" si="24"/>
        <v>0.64656290531776917</v>
      </c>
      <c r="S42" s="226">
        <f t="shared" si="24"/>
        <v>0.921875</v>
      </c>
      <c r="T42" s="226">
        <f t="shared" si="24"/>
        <v>0.83578832515002732</v>
      </c>
      <c r="U42" s="171"/>
      <c r="V42" s="776"/>
    </row>
    <row r="43" spans="1:22">
      <c r="A43" s="368"/>
      <c r="B43" s="776" t="s">
        <v>1239</v>
      </c>
      <c r="C43" s="776"/>
      <c r="D43" s="776"/>
      <c r="E43" s="776"/>
      <c r="F43" s="776"/>
      <c r="G43" s="776"/>
      <c r="H43" s="776"/>
      <c r="I43" s="170"/>
      <c r="J43" s="227">
        <f t="shared" ref="J43:T43" si="25">J41+J40</f>
        <v>0.53861788617886175</v>
      </c>
      <c r="K43" s="227">
        <f t="shared" si="25"/>
        <v>0.16528925619834711</v>
      </c>
      <c r="L43" s="227">
        <f t="shared" si="25"/>
        <v>0.54037267080745344</v>
      </c>
      <c r="M43" s="227">
        <f t="shared" si="25"/>
        <v>0.4511627906976744</v>
      </c>
      <c r="N43" s="227">
        <f t="shared" si="25"/>
        <v>0.52295632698768202</v>
      </c>
      <c r="O43" s="227">
        <f t="shared" si="25"/>
        <v>0.48009367681498832</v>
      </c>
      <c r="P43" s="227">
        <f t="shared" si="25"/>
        <v>0.37665562913907286</v>
      </c>
      <c r="Q43" s="227">
        <f t="shared" si="25"/>
        <v>0.30355731225296445</v>
      </c>
      <c r="R43" s="227">
        <f t="shared" si="25"/>
        <v>0.35343709468223083</v>
      </c>
      <c r="S43" s="227">
        <f t="shared" si="25"/>
        <v>7.8125000000000028E-2</v>
      </c>
      <c r="T43" s="227">
        <f t="shared" si="25"/>
        <v>0.16421167484997273</v>
      </c>
      <c r="U43" s="170"/>
      <c r="V43" s="776"/>
    </row>
    <row r="44" spans="1:22">
      <c r="A44" s="151"/>
      <c r="B44" s="4"/>
      <c r="C44" s="4"/>
      <c r="D44" s="776"/>
      <c r="E44" s="776"/>
      <c r="F44" s="776"/>
      <c r="G44" s="776"/>
      <c r="H44" s="776"/>
      <c r="I44" s="228"/>
      <c r="J44" s="228"/>
      <c r="K44" s="228"/>
      <c r="L44" s="228"/>
      <c r="M44" s="228"/>
      <c r="N44" s="228"/>
      <c r="O44" s="228"/>
      <c r="P44" s="228"/>
      <c r="Q44" s="228"/>
      <c r="R44" s="228"/>
      <c r="S44" s="228"/>
      <c r="T44" s="228"/>
      <c r="U44" s="228"/>
      <c r="V44" s="776"/>
    </row>
    <row r="45" spans="1:22">
      <c r="A45" s="368"/>
      <c r="B45" s="776"/>
      <c r="C45" s="776"/>
      <c r="D45" s="776"/>
      <c r="E45" s="776"/>
      <c r="F45" s="776"/>
      <c r="G45" s="776"/>
      <c r="H45" s="776"/>
      <c r="I45" s="170"/>
      <c r="J45" s="170"/>
      <c r="K45" s="170"/>
      <c r="L45" s="170"/>
      <c r="M45" s="170"/>
      <c r="N45" s="170"/>
      <c r="O45" s="170"/>
      <c r="P45" s="170"/>
      <c r="Q45" s="170"/>
      <c r="R45" s="170"/>
      <c r="S45" s="170"/>
      <c r="T45" s="170"/>
      <c r="U45" s="170"/>
      <c r="V45" s="776"/>
    </row>
    <row r="46" spans="1:22" ht="15">
      <c r="A46" s="157">
        <v>6</v>
      </c>
      <c r="B46" s="145" t="s">
        <v>728</v>
      </c>
      <c r="C46" s="15"/>
      <c r="D46" s="776"/>
      <c r="E46" s="776"/>
      <c r="F46" s="776"/>
      <c r="G46" s="776"/>
      <c r="H46" s="776"/>
      <c r="I46" s="229"/>
      <c r="J46" s="230">
        <f t="shared" ref="J46:T46" si="26">J8/J9</f>
        <v>2.3986784140969162</v>
      </c>
      <c r="K46" s="230">
        <f t="shared" si="26"/>
        <v>1.5940594059405941</v>
      </c>
      <c r="L46" s="230">
        <f t="shared" si="26"/>
        <v>1.9369369369369369</v>
      </c>
      <c r="M46" s="230">
        <f t="shared" si="26"/>
        <v>2.522598870056497</v>
      </c>
      <c r="N46" s="230">
        <f t="shared" si="26"/>
        <v>1.5035211267605635</v>
      </c>
      <c r="O46" s="230">
        <f t="shared" si="26"/>
        <v>1.8138138138138138</v>
      </c>
      <c r="P46" s="230">
        <f t="shared" si="26"/>
        <v>1.6799468791500665</v>
      </c>
      <c r="Q46" s="230">
        <f t="shared" si="26"/>
        <v>1.7502837684449488</v>
      </c>
      <c r="R46" s="230">
        <f t="shared" si="26"/>
        <v>1.3480441323971917</v>
      </c>
      <c r="S46" s="230">
        <f t="shared" si="26"/>
        <v>1.4794188861985471</v>
      </c>
      <c r="T46" s="230">
        <f t="shared" si="26"/>
        <v>1.2826370757180157</v>
      </c>
      <c r="U46" s="229"/>
      <c r="V46" s="15"/>
    </row>
    <row r="47" spans="1:22" ht="14.25">
      <c r="A47" s="158"/>
      <c r="B47" s="14"/>
      <c r="C47" s="14"/>
      <c r="D47" s="776"/>
      <c r="E47" s="776"/>
      <c r="F47" s="776"/>
      <c r="G47" s="776"/>
      <c r="H47" s="776"/>
      <c r="I47" s="231"/>
      <c r="J47" s="231"/>
      <c r="K47" s="231"/>
      <c r="L47" s="231"/>
      <c r="M47" s="231"/>
      <c r="N47" s="231"/>
      <c r="O47" s="231"/>
      <c r="P47" s="231"/>
      <c r="Q47" s="231"/>
      <c r="R47" s="231"/>
      <c r="S47" s="231"/>
      <c r="T47" s="231"/>
      <c r="U47" s="231"/>
      <c r="V47" s="15"/>
    </row>
    <row r="48" spans="1:22" ht="14.25" hidden="1">
      <c r="A48" s="159"/>
      <c r="B48" s="15" t="s">
        <v>712</v>
      </c>
      <c r="C48" s="15"/>
      <c r="D48" s="15" t="s">
        <v>1240</v>
      </c>
      <c r="E48" s="15"/>
      <c r="F48" s="53">
        <f t="shared" ref="F48:O48" si="27">K16*100/F49</f>
        <v>1.4846302172132778E-3</v>
      </c>
      <c r="G48" s="53">
        <f t="shared" si="27"/>
        <v>3.1967841513903979E-3</v>
      </c>
      <c r="H48" s="53">
        <f t="shared" si="27"/>
        <v>3.4064083625054359E-3</v>
      </c>
      <c r="I48" s="53">
        <f t="shared" si="27"/>
        <v>2.2477997498602329E-3</v>
      </c>
      <c r="J48" s="53">
        <f t="shared" si="27"/>
        <v>2.7894732254155879E-3</v>
      </c>
      <c r="K48" s="53">
        <f t="shared" si="27"/>
        <v>3.0489718687507286E-3</v>
      </c>
      <c r="L48" s="53">
        <f t="shared" si="27"/>
        <v>2.8181225667460339E-3</v>
      </c>
      <c r="M48" s="53">
        <f t="shared" si="27"/>
        <v>1.9051269853732433E-3</v>
      </c>
      <c r="N48" s="53">
        <f t="shared" si="27"/>
        <v>1.6521308916327161E-3</v>
      </c>
      <c r="O48" s="53">
        <f t="shared" si="27"/>
        <v>6.0412055527740835E-4</v>
      </c>
      <c r="P48" s="15"/>
      <c r="Q48" s="15"/>
      <c r="R48" s="776"/>
      <c r="S48" s="776"/>
      <c r="T48" s="776"/>
      <c r="U48" s="776"/>
      <c r="V48" s="776"/>
    </row>
    <row r="49" spans="1:18" ht="14.25" hidden="1">
      <c r="A49" s="158"/>
      <c r="B49" s="14" t="s">
        <v>704</v>
      </c>
      <c r="C49" s="14"/>
      <c r="D49" s="14" t="s">
        <v>1241</v>
      </c>
      <c r="E49" s="119"/>
      <c r="F49" s="119">
        <v>1683921</v>
      </c>
      <c r="G49" s="119">
        <v>1720479</v>
      </c>
      <c r="H49" s="119">
        <v>1761386</v>
      </c>
      <c r="I49" s="119">
        <v>1735030</v>
      </c>
      <c r="J49" s="119">
        <v>1720755</v>
      </c>
      <c r="K49" s="119">
        <v>1672695</v>
      </c>
      <c r="L49" s="119">
        <v>1667777</v>
      </c>
      <c r="M49" s="119">
        <v>1732168</v>
      </c>
      <c r="N49" s="119">
        <v>2239532</v>
      </c>
      <c r="O49" s="119">
        <v>2648478</v>
      </c>
      <c r="P49" s="119"/>
      <c r="Q49" s="111"/>
      <c r="R49" s="109"/>
    </row>
    <row r="50" spans="1:18" s="117" customFormat="1" ht="14.25" hidden="1">
      <c r="A50" s="159"/>
      <c r="B50" s="15"/>
      <c r="C50" s="15"/>
      <c r="D50" s="15"/>
      <c r="E50" s="111"/>
      <c r="F50" s="111"/>
      <c r="G50" s="111"/>
      <c r="H50" s="111"/>
      <c r="I50" s="111"/>
      <c r="J50" s="111"/>
      <c r="K50" s="111"/>
      <c r="L50" s="111"/>
      <c r="M50" s="111"/>
      <c r="N50" s="111"/>
      <c r="O50" s="111"/>
      <c r="P50" s="111"/>
      <c r="Q50" s="111"/>
      <c r="R50" s="109"/>
    </row>
    <row r="51" spans="1:18" ht="14.25" hidden="1">
      <c r="A51" s="159"/>
      <c r="B51" s="15"/>
      <c r="C51" s="15"/>
      <c r="D51" s="15"/>
      <c r="E51" s="111"/>
      <c r="F51" s="111"/>
      <c r="G51" s="111">
        <f t="shared" ref="G51:O51" si="28">G49-F49</f>
        <v>36558</v>
      </c>
      <c r="H51" s="111">
        <f t="shared" si="28"/>
        <v>40907</v>
      </c>
      <c r="I51" s="111">
        <f t="shared" si="28"/>
        <v>-26356</v>
      </c>
      <c r="J51" s="111">
        <f t="shared" si="28"/>
        <v>-14275</v>
      </c>
      <c r="K51" s="111">
        <f t="shared" si="28"/>
        <v>-48060</v>
      </c>
      <c r="L51" s="111">
        <f t="shared" si="28"/>
        <v>-4918</v>
      </c>
      <c r="M51" s="111">
        <f t="shared" si="28"/>
        <v>64391</v>
      </c>
      <c r="N51" s="111">
        <f t="shared" si="28"/>
        <v>507364</v>
      </c>
      <c r="O51" s="111">
        <f t="shared" si="28"/>
        <v>408946</v>
      </c>
      <c r="P51" s="111"/>
      <c r="Q51" s="111"/>
      <c r="R51" s="109"/>
    </row>
    <row r="52" spans="1:18" ht="14.25" hidden="1">
      <c r="A52" s="159"/>
      <c r="B52" s="15"/>
      <c r="C52" s="15"/>
      <c r="D52" s="15"/>
      <c r="E52" s="111"/>
      <c r="F52" s="111"/>
      <c r="G52" s="53">
        <f t="shared" ref="G52:O52" si="29">G51/F49</f>
        <v>2.1710044592353206E-2</v>
      </c>
      <c r="H52" s="53">
        <f t="shared" si="29"/>
        <v>2.3776518051077635E-2</v>
      </c>
      <c r="I52" s="53">
        <f t="shared" si="29"/>
        <v>-1.4963216467032213E-2</v>
      </c>
      <c r="J52" s="53">
        <f t="shared" si="29"/>
        <v>-8.2275234433986724E-3</v>
      </c>
      <c r="K52" s="53">
        <f t="shared" si="29"/>
        <v>-2.7929600669473573E-2</v>
      </c>
      <c r="L52" s="53">
        <f t="shared" si="29"/>
        <v>-2.9401654216698204E-3</v>
      </c>
      <c r="M52" s="53">
        <f t="shared" si="29"/>
        <v>3.8608878764966777E-2</v>
      </c>
      <c r="N52" s="53">
        <f t="shared" si="29"/>
        <v>0.29290692357785159</v>
      </c>
      <c r="O52" s="53">
        <f t="shared" si="29"/>
        <v>0.18260332962422507</v>
      </c>
      <c r="P52" s="111"/>
      <c r="Q52" s="111"/>
      <c r="R52" s="109"/>
    </row>
    <row r="53" spans="1:18" ht="14.25" hidden="1">
      <c r="A53" s="159"/>
      <c r="B53" s="15"/>
      <c r="C53" s="15"/>
      <c r="D53" s="15"/>
      <c r="E53" s="111"/>
      <c r="F53" s="111"/>
      <c r="G53" s="111"/>
      <c r="H53" s="111"/>
      <c r="I53" s="111"/>
      <c r="J53" s="111"/>
      <c r="K53" s="111"/>
      <c r="L53" s="111"/>
      <c r="M53" s="111"/>
      <c r="N53" s="111"/>
      <c r="O53" s="111"/>
      <c r="P53" s="111"/>
      <c r="Q53" s="111"/>
      <c r="R53" s="109"/>
    </row>
    <row r="54" spans="1:18" ht="14.25" hidden="1">
      <c r="A54" s="159"/>
      <c r="B54" s="15" t="s">
        <v>1242</v>
      </c>
      <c r="C54" s="15"/>
      <c r="D54" s="15"/>
      <c r="E54" s="114" t="e">
        <f>+#REF!</f>
        <v>#REF!</v>
      </c>
      <c r="F54" s="114" t="e">
        <f>+#REF!</f>
        <v>#REF!</v>
      </c>
      <c r="G54" s="114" t="e">
        <f>+#REF!</f>
        <v>#REF!</v>
      </c>
      <c r="H54" s="114" t="e">
        <f>+#REF!</f>
        <v>#REF!</v>
      </c>
      <c r="I54" s="114" t="e">
        <f>+#REF!</f>
        <v>#REF!</v>
      </c>
      <c r="J54" s="114" t="e">
        <f>+#REF!</f>
        <v>#REF!</v>
      </c>
      <c r="K54" s="114" t="e">
        <f>+#REF!</f>
        <v>#REF!</v>
      </c>
      <c r="L54" s="114" t="e">
        <f>+#REF!</f>
        <v>#REF!</v>
      </c>
      <c r="M54" s="114" t="e">
        <f>+#REF!</f>
        <v>#REF!</v>
      </c>
      <c r="N54" s="114" t="e">
        <f>+#REF!</f>
        <v>#REF!</v>
      </c>
      <c r="O54" s="114" t="e">
        <f>+#REF!</f>
        <v>#REF!</v>
      </c>
      <c r="P54" s="111"/>
      <c r="Q54" s="111"/>
      <c r="R54" s="109"/>
    </row>
    <row r="55" spans="1:18" ht="14.25" hidden="1">
      <c r="A55" s="159"/>
      <c r="B55" s="15"/>
      <c r="C55" s="15"/>
      <c r="D55" s="15"/>
      <c r="E55" s="111"/>
      <c r="F55" s="111"/>
      <c r="G55" s="111"/>
      <c r="H55" s="111"/>
      <c r="I55" s="111"/>
      <c r="J55" s="111"/>
      <c r="K55" s="111"/>
      <c r="L55" s="111"/>
      <c r="M55" s="111"/>
      <c r="N55" s="111"/>
      <c r="O55" s="111"/>
      <c r="P55" s="111"/>
      <c r="Q55" s="111"/>
      <c r="R55" s="109"/>
    </row>
    <row r="56" spans="1:18" ht="14.25" hidden="1">
      <c r="A56" s="159"/>
      <c r="B56" s="15"/>
      <c r="C56" s="15"/>
      <c r="D56" s="15"/>
      <c r="E56" s="111"/>
      <c r="F56" s="111" t="e">
        <f>F49*F54/100</f>
        <v>#REF!</v>
      </c>
      <c r="G56" s="111" t="e">
        <f t="shared" ref="G56:O56" si="30">G49*G54/100</f>
        <v>#REF!</v>
      </c>
      <c r="H56" s="111" t="e">
        <f t="shared" si="30"/>
        <v>#REF!</v>
      </c>
      <c r="I56" s="111" t="e">
        <f t="shared" si="30"/>
        <v>#REF!</v>
      </c>
      <c r="J56" s="111" t="e">
        <f t="shared" si="30"/>
        <v>#REF!</v>
      </c>
      <c r="K56" s="111" t="e">
        <f t="shared" si="30"/>
        <v>#REF!</v>
      </c>
      <c r="L56" s="111" t="e">
        <f t="shared" si="30"/>
        <v>#REF!</v>
      </c>
      <c r="M56" s="111" t="e">
        <f t="shared" si="30"/>
        <v>#REF!</v>
      </c>
      <c r="N56" s="111" t="e">
        <f t="shared" si="30"/>
        <v>#REF!</v>
      </c>
      <c r="O56" s="111" t="e">
        <f t="shared" si="30"/>
        <v>#REF!</v>
      </c>
      <c r="P56" s="111"/>
      <c r="Q56" s="111"/>
      <c r="R56" s="109"/>
    </row>
    <row r="57" spans="1:18" ht="14.25" hidden="1">
      <c r="A57" s="159"/>
      <c r="B57" s="15"/>
      <c r="C57" s="15"/>
      <c r="D57" s="15"/>
      <c r="E57" s="111"/>
      <c r="F57" s="111"/>
      <c r="G57" s="111" t="e">
        <f>G56-F56</f>
        <v>#REF!</v>
      </c>
      <c r="H57" s="111" t="e">
        <f t="shared" ref="H57:O57" si="31">H56-G56</f>
        <v>#REF!</v>
      </c>
      <c r="I57" s="111" t="e">
        <f t="shared" si="31"/>
        <v>#REF!</v>
      </c>
      <c r="J57" s="111" t="e">
        <f t="shared" si="31"/>
        <v>#REF!</v>
      </c>
      <c r="K57" s="111" t="e">
        <f t="shared" si="31"/>
        <v>#REF!</v>
      </c>
      <c r="L57" s="111" t="e">
        <f t="shared" si="31"/>
        <v>#REF!</v>
      </c>
      <c r="M57" s="111" t="e">
        <f>M56-L56</f>
        <v>#REF!</v>
      </c>
      <c r="N57" s="111" t="e">
        <f>N56-M56</f>
        <v>#REF!</v>
      </c>
      <c r="O57" s="111" t="e">
        <f t="shared" si="31"/>
        <v>#REF!</v>
      </c>
      <c r="P57" s="111"/>
      <c r="Q57" s="111"/>
      <c r="R57" s="109"/>
    </row>
    <row r="58" spans="1:18" ht="14.25" hidden="1">
      <c r="A58" s="159"/>
      <c r="B58" s="15"/>
      <c r="C58" s="15"/>
      <c r="D58" s="15"/>
      <c r="E58" s="111"/>
      <c r="F58" s="111"/>
      <c r="G58" s="53" t="e">
        <f>G57/F56</f>
        <v>#REF!</v>
      </c>
      <c r="H58" s="53" t="e">
        <f t="shared" ref="H58:O58" si="32">H57/G56</f>
        <v>#REF!</v>
      </c>
      <c r="I58" s="53" t="e">
        <f t="shared" si="32"/>
        <v>#REF!</v>
      </c>
      <c r="J58" s="53" t="e">
        <f t="shared" si="32"/>
        <v>#REF!</v>
      </c>
      <c r="K58" s="53" t="e">
        <f t="shared" si="32"/>
        <v>#REF!</v>
      </c>
      <c r="L58" s="53" t="e">
        <f t="shared" si="32"/>
        <v>#REF!</v>
      </c>
      <c r="M58" s="53" t="e">
        <f>M57/L56</f>
        <v>#REF!</v>
      </c>
      <c r="N58" s="53" t="e">
        <f>N57/M56</f>
        <v>#REF!</v>
      </c>
      <c r="O58" s="53" t="e">
        <f t="shared" si="32"/>
        <v>#REF!</v>
      </c>
      <c r="P58" s="111"/>
      <c r="Q58" s="111"/>
      <c r="R58" s="109"/>
    </row>
    <row r="59" spans="1:18" ht="14.25" hidden="1">
      <c r="A59" s="159"/>
      <c r="B59" s="15"/>
      <c r="C59" s="15"/>
      <c r="D59" s="15"/>
      <c r="E59" s="111"/>
      <c r="F59" s="111"/>
      <c r="G59" s="111"/>
      <c r="H59" s="111"/>
      <c r="I59" s="111"/>
      <c r="J59" s="111"/>
      <c r="K59" s="111"/>
      <c r="L59" s="111"/>
      <c r="M59" s="111"/>
      <c r="N59" s="111"/>
      <c r="O59" s="111"/>
      <c r="P59" s="111"/>
      <c r="Q59" s="111"/>
      <c r="R59" s="109"/>
    </row>
    <row r="60" spans="1:18" ht="14.25" hidden="1">
      <c r="A60" s="159"/>
      <c r="B60" s="15"/>
      <c r="C60" s="15"/>
      <c r="D60" s="15"/>
      <c r="E60" s="111"/>
      <c r="F60" s="111"/>
      <c r="G60" s="111"/>
      <c r="H60" s="111"/>
      <c r="I60" s="111"/>
      <c r="J60" s="111"/>
      <c r="K60" s="111"/>
      <c r="L60" s="111"/>
      <c r="M60" s="111"/>
      <c r="N60" s="111"/>
      <c r="O60" s="111"/>
      <c r="P60" s="111"/>
      <c r="Q60" s="111"/>
      <c r="R60" s="109"/>
    </row>
    <row r="61" spans="1:18" ht="14.25" hidden="1">
      <c r="A61" s="159"/>
      <c r="B61" s="15"/>
      <c r="C61" s="15"/>
      <c r="D61" s="15"/>
      <c r="E61" s="111"/>
      <c r="F61" s="111"/>
      <c r="G61" s="111"/>
      <c r="H61" s="111"/>
      <c r="I61" s="111"/>
      <c r="J61" s="111"/>
      <c r="K61" s="111"/>
      <c r="L61" s="111"/>
      <c r="M61" s="111"/>
      <c r="N61" s="111"/>
      <c r="O61" s="111"/>
      <c r="P61" s="111"/>
      <c r="Q61" s="111"/>
      <c r="R61" s="109"/>
    </row>
    <row r="62" spans="1:18" ht="14.25">
      <c r="A62" s="159"/>
      <c r="B62" s="15"/>
      <c r="C62" s="15"/>
      <c r="D62" s="15"/>
      <c r="E62" s="111"/>
      <c r="F62" s="111"/>
      <c r="G62" s="111"/>
      <c r="H62" s="111"/>
      <c r="I62" s="111"/>
      <c r="J62" s="111"/>
      <c r="K62" s="111"/>
      <c r="L62" s="111"/>
      <c r="M62" s="111"/>
      <c r="N62" s="111"/>
      <c r="O62" s="111"/>
      <c r="P62" s="111"/>
      <c r="Q62" s="111"/>
      <c r="R62" s="109"/>
    </row>
    <row r="63" spans="1:18">
      <c r="A63" s="368"/>
      <c r="B63" s="776"/>
      <c r="C63" s="776"/>
      <c r="D63" s="776"/>
      <c r="E63" s="109"/>
      <c r="F63" s="109"/>
      <c r="G63" s="109"/>
      <c r="H63" s="109"/>
      <c r="I63" s="109"/>
      <c r="J63" s="109"/>
      <c r="K63" s="109"/>
      <c r="L63" s="109"/>
      <c r="M63" s="109"/>
      <c r="N63" s="109"/>
      <c r="O63" s="109"/>
      <c r="P63" s="109"/>
      <c r="Q63" s="109"/>
      <c r="R63" s="109"/>
    </row>
    <row r="64" spans="1:18">
      <c r="A64" s="368"/>
      <c r="B64" s="776"/>
      <c r="C64" s="776"/>
      <c r="D64" s="776"/>
      <c r="E64" s="776"/>
      <c r="F64" s="776"/>
      <c r="G64" s="776"/>
      <c r="H64" s="776"/>
      <c r="I64" s="776"/>
      <c r="J64" s="776"/>
      <c r="K64" s="776"/>
      <c r="L64" s="776"/>
      <c r="M64" s="776"/>
      <c r="N64" s="776"/>
      <c r="O64" s="776"/>
      <c r="P64" s="776"/>
      <c r="Q64" s="776"/>
      <c r="R64" s="776"/>
    </row>
    <row r="65" spans="1:1">
      <c r="A65" s="368"/>
    </row>
    <row r="66" spans="1:1">
      <c r="A66" s="368"/>
    </row>
    <row r="67" spans="1:1">
      <c r="A67" s="368"/>
    </row>
    <row r="68" spans="1:1">
      <c r="A68" s="368"/>
    </row>
    <row r="69" spans="1:1">
      <c r="A69" s="368"/>
    </row>
    <row r="70" spans="1:1">
      <c r="A70" s="368"/>
    </row>
    <row r="71" spans="1:1">
      <c r="A71" s="368"/>
    </row>
    <row r="72" spans="1:1">
      <c r="A72" s="368"/>
    </row>
    <row r="73" spans="1:1">
      <c r="A73" s="368"/>
    </row>
    <row r="74" spans="1:1">
      <c r="A74" s="368"/>
    </row>
    <row r="75" spans="1:1">
      <c r="A75" s="368"/>
    </row>
    <row r="76" spans="1:1">
      <c r="A76" s="368"/>
    </row>
    <row r="77" spans="1:1">
      <c r="A77" s="368"/>
    </row>
    <row r="78" spans="1:1">
      <c r="A78" s="368"/>
    </row>
    <row r="79" spans="1:1">
      <c r="A79" s="368"/>
    </row>
    <row r="80" spans="1:1">
      <c r="A80" s="368"/>
    </row>
    <row r="81" spans="1:1">
      <c r="A81" s="368"/>
    </row>
    <row r="82" spans="1:1">
      <c r="A82" s="368"/>
    </row>
    <row r="83" spans="1:1">
      <c r="A83" s="368"/>
    </row>
    <row r="84" spans="1:1">
      <c r="A84" s="368"/>
    </row>
    <row r="85" spans="1:1">
      <c r="A85" s="368"/>
    </row>
    <row r="86" spans="1:1">
      <c r="A86" s="368"/>
    </row>
    <row r="87" spans="1:1">
      <c r="A87" s="368"/>
    </row>
    <row r="88" spans="1:1">
      <c r="A88" s="368"/>
    </row>
    <row r="89" spans="1:1">
      <c r="A89" s="368"/>
    </row>
    <row r="90" spans="1:1">
      <c r="A90" s="368"/>
    </row>
    <row r="91" spans="1:1">
      <c r="A91" s="368"/>
    </row>
    <row r="92" spans="1:1">
      <c r="A92" s="368"/>
    </row>
    <row r="93" spans="1:1">
      <c r="A93" s="368"/>
    </row>
    <row r="94" spans="1:1">
      <c r="A94" s="368"/>
    </row>
    <row r="95" spans="1:1">
      <c r="A95" s="368"/>
    </row>
    <row r="96" spans="1:1">
      <c r="A96" s="368"/>
    </row>
    <row r="97" spans="1:1">
      <c r="A97" s="368"/>
    </row>
    <row r="98" spans="1:1">
      <c r="A98" s="368"/>
    </row>
    <row r="99" spans="1:1">
      <c r="A99" s="368"/>
    </row>
    <row r="100" spans="1:1">
      <c r="A100" s="368"/>
    </row>
    <row r="101" spans="1:1">
      <c r="A101" s="368"/>
    </row>
    <row r="102" spans="1:1">
      <c r="A102" s="368"/>
    </row>
    <row r="103" spans="1:1">
      <c r="A103" s="368"/>
    </row>
    <row r="104" spans="1:1">
      <c r="A104" s="368"/>
    </row>
    <row r="105" spans="1:1">
      <c r="A105" s="368"/>
    </row>
    <row r="106" spans="1:1">
      <c r="A106" s="368"/>
    </row>
    <row r="107" spans="1:1">
      <c r="A107" s="368"/>
    </row>
    <row r="108" spans="1:1">
      <c r="A108" s="368"/>
    </row>
    <row r="109" spans="1:1">
      <c r="A109" s="368"/>
    </row>
    <row r="110" spans="1:1">
      <c r="A110" s="368"/>
    </row>
    <row r="111" spans="1:1">
      <c r="A111" s="368"/>
    </row>
    <row r="112" spans="1:1">
      <c r="A112" s="368"/>
    </row>
    <row r="113" spans="1:1">
      <c r="A113" s="368"/>
    </row>
    <row r="114" spans="1:1">
      <c r="A114" s="368"/>
    </row>
    <row r="115" spans="1:1">
      <c r="A115" s="368"/>
    </row>
    <row r="116" spans="1:1">
      <c r="A116" s="368"/>
    </row>
    <row r="117" spans="1:1">
      <c r="A117" s="368"/>
    </row>
    <row r="118" spans="1:1">
      <c r="A118" s="368"/>
    </row>
    <row r="119" spans="1:1">
      <c r="A119" s="368"/>
    </row>
    <row r="120" spans="1:1">
      <c r="A120" s="368"/>
    </row>
    <row r="121" spans="1:1">
      <c r="A121" s="368"/>
    </row>
    <row r="122" spans="1:1">
      <c r="A122" s="368"/>
    </row>
    <row r="123" spans="1:1">
      <c r="A123" s="368"/>
    </row>
    <row r="124" spans="1:1">
      <c r="A124" s="368"/>
    </row>
    <row r="125" spans="1:1">
      <c r="A125" s="368"/>
    </row>
  </sheetData>
  <customSheetViews>
    <customSheetView guid="{5826E3E6-173D-429F-ABE1-D868EE9E034B}" scale="78" showGridLines="0" fitToPage="1" hiddenRows="1" topLeftCell="J1">
      <selection activeCell="U31" sqref="U31"/>
      <pageMargins left="0" right="0" top="0" bottom="0" header="0" footer="0"/>
      <pageSetup paperSize="9" scale="79" orientation="landscape" horizontalDpi="1200" verticalDpi="1200" r:id="rId1"/>
    </customSheetView>
  </customSheetViews>
  <mergeCells count="3">
    <mergeCell ref="A5:B5"/>
    <mergeCell ref="A1:B1"/>
    <mergeCell ref="I2:K2"/>
  </mergeCells>
  <pageMargins left="0.70866141732283472" right="0.70866141732283472" top="0.74803149606299213" bottom="0.74803149606299213" header="0.31496062992125984" footer="0.31496062992125984"/>
  <pageSetup paperSize="9" scale="79" orientation="landscape" horizontalDpi="1200" verticalDpi="1200"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V57"/>
  <sheetViews>
    <sheetView workbookViewId="0"/>
  </sheetViews>
  <sheetFormatPr defaultRowHeight="12.75"/>
  <sheetData>
    <row r="1" spans="1:20" s="189" customFormat="1">
      <c r="A1" s="776"/>
      <c r="B1" s="776"/>
      <c r="C1" s="776"/>
      <c r="D1" s="776"/>
      <c r="E1" s="776"/>
      <c r="F1" s="776"/>
      <c r="G1" s="776"/>
      <c r="H1" s="776"/>
      <c r="I1" s="776"/>
      <c r="J1" s="776"/>
      <c r="K1" s="776"/>
      <c r="L1" s="776"/>
      <c r="M1" s="776"/>
      <c r="N1" s="776"/>
      <c r="O1" s="776"/>
      <c r="P1" s="776"/>
      <c r="Q1" s="776"/>
      <c r="R1" s="776"/>
      <c r="S1" s="776"/>
      <c r="T1" s="776"/>
    </row>
    <row r="2" spans="1:20">
      <c r="A2" s="1511" t="e">
        <f>'1_Contents'!#REF!</f>
        <v>#REF!</v>
      </c>
      <c r="B2" s="1511"/>
      <c r="C2" s="1511"/>
      <c r="D2" s="1511"/>
      <c r="E2" s="776"/>
      <c r="F2" s="776"/>
      <c r="G2" s="776"/>
      <c r="H2" s="776"/>
      <c r="I2" s="776"/>
      <c r="J2" s="776"/>
      <c r="K2" s="776"/>
      <c r="L2" s="776"/>
      <c r="M2" s="776"/>
      <c r="N2" s="776"/>
      <c r="O2" s="776"/>
      <c r="P2" s="1266" t="e">
        <f>'1_Contents'!#REF!</f>
        <v>#REF!</v>
      </c>
      <c r="Q2" s="776"/>
      <c r="R2" s="776"/>
      <c r="S2" s="776"/>
      <c r="T2" s="776"/>
    </row>
    <row r="3" spans="1:20">
      <c r="A3" s="1511" t="s">
        <v>636</v>
      </c>
      <c r="B3" s="1511"/>
      <c r="C3" s="1511"/>
      <c r="D3" s="1511"/>
      <c r="E3" s="4"/>
      <c r="F3" s="4"/>
      <c r="G3" s="67"/>
      <c r="H3" s="67">
        <f>+G3+1</f>
        <v>1</v>
      </c>
      <c r="I3" s="67">
        <f t="shared" ref="I3:Q3" si="0">+H3+1</f>
        <v>2</v>
      </c>
      <c r="J3" s="67">
        <f t="shared" si="0"/>
        <v>3</v>
      </c>
      <c r="K3" s="67">
        <f t="shared" si="0"/>
        <v>4</v>
      </c>
      <c r="L3" s="67">
        <f t="shared" si="0"/>
        <v>5</v>
      </c>
      <c r="M3" s="67">
        <f t="shared" si="0"/>
        <v>6</v>
      </c>
      <c r="N3" s="67">
        <f t="shared" si="0"/>
        <v>7</v>
      </c>
      <c r="O3" s="67">
        <f t="shared" si="0"/>
        <v>8</v>
      </c>
      <c r="P3" s="67">
        <f t="shared" si="0"/>
        <v>9</v>
      </c>
      <c r="Q3" s="67">
        <f t="shared" si="0"/>
        <v>10</v>
      </c>
      <c r="R3" s="776"/>
      <c r="S3" s="776"/>
      <c r="T3" s="776"/>
    </row>
    <row r="4" spans="1:20">
      <c r="A4" s="776"/>
      <c r="B4" s="776"/>
      <c r="C4" s="776"/>
      <c r="D4" s="776"/>
      <c r="E4" s="3" t="s">
        <v>652</v>
      </c>
      <c r="F4" s="57">
        <v>2005</v>
      </c>
      <c r="G4" s="162">
        <v>2006</v>
      </c>
      <c r="H4" s="162">
        <f>G4+1</f>
        <v>2007</v>
      </c>
      <c r="I4" s="162">
        <f t="shared" ref="I4:P4" si="1">H4+1</f>
        <v>2008</v>
      </c>
      <c r="J4" s="162">
        <f t="shared" si="1"/>
        <v>2009</v>
      </c>
      <c r="K4" s="162">
        <f t="shared" si="1"/>
        <v>2010</v>
      </c>
      <c r="L4" s="162">
        <f t="shared" si="1"/>
        <v>2011</v>
      </c>
      <c r="M4" s="162">
        <f t="shared" si="1"/>
        <v>2012</v>
      </c>
      <c r="N4" s="162">
        <f t="shared" si="1"/>
        <v>2013</v>
      </c>
      <c r="O4" s="162">
        <f t="shared" si="1"/>
        <v>2014</v>
      </c>
      <c r="P4" s="162">
        <f t="shared" si="1"/>
        <v>2015</v>
      </c>
      <c r="Q4" s="163">
        <f>P4+1</f>
        <v>2016</v>
      </c>
      <c r="R4" s="776" t="s">
        <v>17</v>
      </c>
      <c r="S4" s="776"/>
      <c r="T4" s="776"/>
    </row>
    <row r="5" spans="1:20">
      <c r="A5" s="776" t="s">
        <v>643</v>
      </c>
      <c r="B5" s="776"/>
      <c r="C5" s="776">
        <v>1</v>
      </c>
      <c r="D5" s="17"/>
      <c r="E5" s="17"/>
      <c r="F5" s="776">
        <v>14268</v>
      </c>
      <c r="G5" s="17">
        <v>15664</v>
      </c>
      <c r="H5" s="17">
        <v>20602</v>
      </c>
      <c r="I5" s="17">
        <v>22979</v>
      </c>
      <c r="J5" s="17">
        <v>24247</v>
      </c>
      <c r="K5" s="17">
        <v>24837</v>
      </c>
      <c r="L5" s="17">
        <v>23514</v>
      </c>
      <c r="M5" s="17">
        <v>22339</v>
      </c>
      <c r="N5" s="17">
        <v>22645</v>
      </c>
      <c r="O5" s="17">
        <v>23351</v>
      </c>
      <c r="P5" s="17">
        <v>23731</v>
      </c>
      <c r="Q5" s="54"/>
      <c r="R5" s="17">
        <f>P5/$P$11</f>
        <v>337567.56756756757</v>
      </c>
      <c r="S5" s="17"/>
      <c r="T5" s="17"/>
    </row>
    <row r="6" spans="1:20">
      <c r="A6" s="776" t="s">
        <v>644</v>
      </c>
      <c r="B6" s="776"/>
      <c r="C6" s="776">
        <v>2</v>
      </c>
      <c r="D6" s="17"/>
      <c r="E6" s="17"/>
      <c r="F6" s="776">
        <v>12357</v>
      </c>
      <c r="G6" s="17">
        <v>12352</v>
      </c>
      <c r="H6" s="17">
        <v>18542</v>
      </c>
      <c r="I6" s="17">
        <v>20546</v>
      </c>
      <c r="J6" s="17">
        <v>21036</v>
      </c>
      <c r="K6" s="17">
        <v>21464</v>
      </c>
      <c r="L6" s="17">
        <v>20083</v>
      </c>
      <c r="M6" s="17">
        <v>18740</v>
      </c>
      <c r="N6" s="17">
        <v>18333</v>
      </c>
      <c r="O6" s="17">
        <v>20267</v>
      </c>
      <c r="P6" s="17">
        <v>19012</v>
      </c>
      <c r="Q6" s="54"/>
      <c r="R6" s="17"/>
      <c r="S6" s="17"/>
      <c r="T6" s="17"/>
    </row>
    <row r="7" spans="1:20">
      <c r="A7" s="776" t="s">
        <v>645</v>
      </c>
      <c r="B7" s="776"/>
      <c r="C7" s="776">
        <v>3</v>
      </c>
      <c r="D7" s="17"/>
      <c r="E7" s="17"/>
      <c r="F7" s="776">
        <f>20804/2</f>
        <v>10402</v>
      </c>
      <c r="G7" s="17">
        <v>12448</v>
      </c>
      <c r="H7" s="17">
        <f>36629/2</f>
        <v>18314.5</v>
      </c>
      <c r="I7" s="17">
        <f>41689/2</f>
        <v>20844.5</v>
      </c>
      <c r="J7" s="17">
        <f>43381/2</f>
        <v>21690.5</v>
      </c>
      <c r="K7" s="17">
        <f>39808/2</f>
        <v>19904</v>
      </c>
      <c r="L7" s="17">
        <f>33170/2</f>
        <v>16585</v>
      </c>
      <c r="M7" s="17">
        <v>14634</v>
      </c>
      <c r="N7" s="17">
        <v>15816.5</v>
      </c>
      <c r="O7" s="17">
        <f>34177/2</f>
        <v>17088.5</v>
      </c>
      <c r="P7" s="17">
        <f>35548/2</f>
        <v>17774</v>
      </c>
      <c r="Q7" s="54"/>
      <c r="R7" s="17"/>
      <c r="S7" s="17"/>
      <c r="T7" s="17"/>
    </row>
    <row r="8" spans="1:20">
      <c r="A8" s="776"/>
      <c r="B8" s="776"/>
      <c r="C8" s="776">
        <v>4</v>
      </c>
      <c r="D8" s="17"/>
      <c r="E8" s="17"/>
      <c r="F8" s="17">
        <f t="shared" ref="F8:M8" si="2">+F7</f>
        <v>10402</v>
      </c>
      <c r="G8" s="17">
        <f t="shared" si="2"/>
        <v>12448</v>
      </c>
      <c r="H8" s="17">
        <f t="shared" si="2"/>
        <v>18314.5</v>
      </c>
      <c r="I8" s="17">
        <f t="shared" si="2"/>
        <v>20844.5</v>
      </c>
      <c r="J8" s="17">
        <f t="shared" si="2"/>
        <v>21690.5</v>
      </c>
      <c r="K8" s="17">
        <f t="shared" si="2"/>
        <v>19904</v>
      </c>
      <c r="L8" s="17">
        <f t="shared" si="2"/>
        <v>16585</v>
      </c>
      <c r="M8" s="17">
        <f t="shared" si="2"/>
        <v>14634</v>
      </c>
      <c r="N8" s="17">
        <f>+N7</f>
        <v>15816.5</v>
      </c>
      <c r="O8" s="17">
        <f>+O7</f>
        <v>17088.5</v>
      </c>
      <c r="P8" s="17">
        <f>+P7</f>
        <v>17774</v>
      </c>
      <c r="Q8" s="54"/>
      <c r="R8" s="17"/>
      <c r="S8" s="17"/>
      <c r="T8" s="17"/>
    </row>
    <row r="9" spans="1:20">
      <c r="A9" s="776" t="s">
        <v>646</v>
      </c>
      <c r="B9" s="776"/>
      <c r="C9" s="776">
        <v>5</v>
      </c>
      <c r="D9" s="17"/>
      <c r="E9" s="17"/>
      <c r="F9" s="17">
        <f t="shared" ref="F9:M9" si="3">F8</f>
        <v>10402</v>
      </c>
      <c r="G9" s="17">
        <f t="shared" si="3"/>
        <v>12448</v>
      </c>
      <c r="H9" s="17">
        <f t="shared" si="3"/>
        <v>18314.5</v>
      </c>
      <c r="I9" s="17">
        <f t="shared" si="3"/>
        <v>20844.5</v>
      </c>
      <c r="J9" s="17">
        <f t="shared" si="3"/>
        <v>21690.5</v>
      </c>
      <c r="K9" s="17">
        <f t="shared" si="3"/>
        <v>19904</v>
      </c>
      <c r="L9" s="17">
        <f t="shared" si="3"/>
        <v>16585</v>
      </c>
      <c r="M9" s="17">
        <f t="shared" si="3"/>
        <v>14634</v>
      </c>
      <c r="N9" s="17">
        <f>N8</f>
        <v>15816.5</v>
      </c>
      <c r="O9" s="17">
        <f>O8</f>
        <v>17088.5</v>
      </c>
      <c r="P9" s="17">
        <f>P8</f>
        <v>17774</v>
      </c>
      <c r="Q9" s="54"/>
      <c r="R9" s="17">
        <f>SUM(P5:P9)</f>
        <v>96065</v>
      </c>
      <c r="S9" s="17"/>
      <c r="T9" s="17"/>
    </row>
    <row r="10" spans="1:20">
      <c r="A10" s="776"/>
      <c r="B10" s="776"/>
      <c r="C10" s="776"/>
      <c r="D10" s="17"/>
      <c r="E10" s="17"/>
      <c r="F10" s="776"/>
      <c r="G10" s="17"/>
      <c r="H10" s="17"/>
      <c r="I10" s="17"/>
      <c r="J10" s="17"/>
      <c r="K10" s="17"/>
      <c r="L10" s="17"/>
      <c r="M10" s="17"/>
      <c r="N10" s="17"/>
      <c r="O10" s="17"/>
      <c r="P10" s="17"/>
      <c r="Q10" s="54"/>
      <c r="R10" s="17"/>
      <c r="S10" s="17"/>
      <c r="T10" s="17"/>
    </row>
    <row r="11" spans="1:20">
      <c r="A11" s="776" t="s">
        <v>648</v>
      </c>
      <c r="B11" s="776"/>
      <c r="C11" s="776"/>
      <c r="D11" s="17"/>
      <c r="E11" s="17"/>
      <c r="F11" s="25">
        <v>7.0300000000000001E-2</v>
      </c>
      <c r="G11" s="25">
        <v>7.0300000000000001E-2</v>
      </c>
      <c r="H11" s="25">
        <v>7.0300000000000001E-2</v>
      </c>
      <c r="I11" s="25">
        <v>7.0300000000000001E-2</v>
      </c>
      <c r="J11" s="25">
        <v>7.0300000000000001E-2</v>
      </c>
      <c r="K11" s="25">
        <v>7.0300000000000001E-2</v>
      </c>
      <c r="L11" s="25">
        <v>7.0300000000000001E-2</v>
      </c>
      <c r="M11" s="25">
        <v>7.0300000000000001E-2</v>
      </c>
      <c r="N11" s="25">
        <v>7.0300000000000001E-2</v>
      </c>
      <c r="O11" s="25">
        <v>7.0300000000000001E-2</v>
      </c>
      <c r="P11" s="25">
        <v>7.0300000000000001E-2</v>
      </c>
      <c r="Q11" s="54"/>
      <c r="R11" s="17"/>
      <c r="S11" s="17"/>
      <c r="T11" s="17"/>
    </row>
    <row r="12" spans="1:20">
      <c r="A12" s="776"/>
      <c r="B12" s="776"/>
      <c r="C12" s="776"/>
      <c r="D12" s="17"/>
      <c r="E12" s="17"/>
      <c r="F12" s="17"/>
      <c r="G12" s="17"/>
      <c r="H12" s="17"/>
      <c r="I12" s="17"/>
      <c r="J12" s="17"/>
      <c r="K12" s="17"/>
      <c r="L12" s="17"/>
      <c r="M12" s="17"/>
      <c r="N12" s="17"/>
      <c r="O12" s="17"/>
      <c r="P12" s="17"/>
      <c r="Q12" s="54"/>
      <c r="R12" s="17"/>
      <c r="S12" s="17"/>
      <c r="T12" s="17"/>
    </row>
    <row r="13" spans="1:20">
      <c r="A13" s="776" t="s">
        <v>649</v>
      </c>
      <c r="B13" s="776"/>
      <c r="C13" s="776">
        <v>1</v>
      </c>
      <c r="D13" s="17"/>
      <c r="E13" s="17"/>
      <c r="F13" s="115">
        <f t="shared" ref="F13:N13" si="4">1/(1+F$11)^($C$13-0.5)</f>
        <v>0.96660099373012809</v>
      </c>
      <c r="G13" s="115">
        <f t="shared" si="4"/>
        <v>0.96660099373012809</v>
      </c>
      <c r="H13" s="115">
        <f t="shared" si="4"/>
        <v>0.96660099373012809</v>
      </c>
      <c r="I13" s="115">
        <f t="shared" si="4"/>
        <v>0.96660099373012809</v>
      </c>
      <c r="J13" s="115">
        <f t="shared" si="4"/>
        <v>0.96660099373012809</v>
      </c>
      <c r="K13" s="115">
        <f t="shared" si="4"/>
        <v>0.96660099373012809</v>
      </c>
      <c r="L13" s="115">
        <f t="shared" si="4"/>
        <v>0.96660099373012809</v>
      </c>
      <c r="M13" s="115">
        <f t="shared" si="4"/>
        <v>0.96660099373012809</v>
      </c>
      <c r="N13" s="115">
        <f t="shared" si="4"/>
        <v>0.96660099373012809</v>
      </c>
      <c r="O13" s="115">
        <f>1/(1+O$11)^($C$13-0.5)</f>
        <v>0.96660099373012809</v>
      </c>
      <c r="P13" s="115">
        <f>1/(1+P$11)^($C$13-0.5)</f>
        <v>0.96660099373012809</v>
      </c>
      <c r="Q13" s="54"/>
      <c r="R13" s="17"/>
      <c r="S13" s="17"/>
      <c r="T13" s="17"/>
    </row>
    <row r="14" spans="1:20">
      <c r="A14" s="776"/>
      <c r="B14" s="776"/>
      <c r="C14" s="776">
        <v>2</v>
      </c>
      <c r="D14" s="17"/>
      <c r="E14" s="17"/>
      <c r="F14" s="115">
        <f>1/(1+$F$11)^($C$14-0.5)</f>
        <v>0.90311220567142669</v>
      </c>
      <c r="G14" s="115">
        <f t="shared" ref="G14:P14" si="5">1/(1+$F$11)^($C$14-0.5)</f>
        <v>0.90311220567142669</v>
      </c>
      <c r="H14" s="115">
        <f t="shared" si="5"/>
        <v>0.90311220567142669</v>
      </c>
      <c r="I14" s="115">
        <f t="shared" si="5"/>
        <v>0.90311220567142669</v>
      </c>
      <c r="J14" s="115">
        <f t="shared" si="5"/>
        <v>0.90311220567142669</v>
      </c>
      <c r="K14" s="115">
        <f t="shared" si="5"/>
        <v>0.90311220567142669</v>
      </c>
      <c r="L14" s="115">
        <f t="shared" si="5"/>
        <v>0.90311220567142669</v>
      </c>
      <c r="M14" s="115">
        <f t="shared" si="5"/>
        <v>0.90311220567142669</v>
      </c>
      <c r="N14" s="115">
        <f t="shared" si="5"/>
        <v>0.90311220567142669</v>
      </c>
      <c r="O14" s="115">
        <f t="shared" si="5"/>
        <v>0.90311220567142669</v>
      </c>
      <c r="P14" s="115">
        <f t="shared" si="5"/>
        <v>0.90311220567142669</v>
      </c>
      <c r="Q14" s="54"/>
      <c r="R14" s="17"/>
      <c r="S14" s="17"/>
      <c r="T14" s="17"/>
    </row>
    <row r="15" spans="1:20">
      <c r="A15" s="776"/>
      <c r="B15" s="776"/>
      <c r="C15" s="776">
        <v>3</v>
      </c>
      <c r="D15" s="17"/>
      <c r="E15" s="17"/>
      <c r="F15" s="115">
        <f>1/(1+$F$11)^($C$15-0.5)</f>
        <v>0.84379352113559425</v>
      </c>
      <c r="G15" s="115">
        <f t="shared" ref="G15:P15" si="6">1/(1+$F$11)^($C$15-0.5)</f>
        <v>0.84379352113559425</v>
      </c>
      <c r="H15" s="115">
        <f t="shared" si="6"/>
        <v>0.84379352113559425</v>
      </c>
      <c r="I15" s="115">
        <f t="shared" si="6"/>
        <v>0.84379352113559425</v>
      </c>
      <c r="J15" s="115">
        <f t="shared" si="6"/>
        <v>0.84379352113559425</v>
      </c>
      <c r="K15" s="115">
        <f t="shared" si="6"/>
        <v>0.84379352113559425</v>
      </c>
      <c r="L15" s="115">
        <f t="shared" si="6"/>
        <v>0.84379352113559425</v>
      </c>
      <c r="M15" s="115">
        <f t="shared" si="6"/>
        <v>0.84379352113559425</v>
      </c>
      <c r="N15" s="115">
        <f t="shared" si="6"/>
        <v>0.84379352113559425</v>
      </c>
      <c r="O15" s="115">
        <f t="shared" si="6"/>
        <v>0.84379352113559425</v>
      </c>
      <c r="P15" s="115">
        <f t="shared" si="6"/>
        <v>0.84379352113559425</v>
      </c>
      <c r="Q15" s="54"/>
      <c r="R15" s="17"/>
      <c r="S15" s="17"/>
      <c r="T15" s="17"/>
    </row>
    <row r="16" spans="1:20">
      <c r="A16" s="776"/>
      <c r="B16" s="776"/>
      <c r="C16" s="776">
        <v>4</v>
      </c>
      <c r="D16" s="17"/>
      <c r="E16" s="17"/>
      <c r="F16" s="115">
        <f>1/(1+$F$11)^($C$16-0.5)</f>
        <v>0.78837103721909219</v>
      </c>
      <c r="G16" s="115">
        <f t="shared" ref="G16:P16" si="7">1/(1+$F$11)^($C$16-0.5)</f>
        <v>0.78837103721909219</v>
      </c>
      <c r="H16" s="115">
        <f t="shared" si="7"/>
        <v>0.78837103721909219</v>
      </c>
      <c r="I16" s="115">
        <f t="shared" si="7"/>
        <v>0.78837103721909219</v>
      </c>
      <c r="J16" s="115">
        <f t="shared" si="7"/>
        <v>0.78837103721909219</v>
      </c>
      <c r="K16" s="115">
        <f t="shared" si="7"/>
        <v>0.78837103721909219</v>
      </c>
      <c r="L16" s="115">
        <f t="shared" si="7"/>
        <v>0.78837103721909219</v>
      </c>
      <c r="M16" s="115">
        <f t="shared" si="7"/>
        <v>0.78837103721909219</v>
      </c>
      <c r="N16" s="115">
        <f t="shared" si="7"/>
        <v>0.78837103721909219</v>
      </c>
      <c r="O16" s="115">
        <f t="shared" si="7"/>
        <v>0.78837103721909219</v>
      </c>
      <c r="P16" s="115">
        <f t="shared" si="7"/>
        <v>0.78837103721909219</v>
      </c>
      <c r="Q16" s="54"/>
      <c r="R16" s="17"/>
      <c r="S16" s="17"/>
      <c r="T16" s="17"/>
    </row>
    <row r="17" spans="1:22">
      <c r="A17" s="776"/>
      <c r="B17" s="776"/>
      <c r="C17" s="776">
        <v>5</v>
      </c>
      <c r="D17" s="17"/>
      <c r="E17" s="17"/>
      <c r="F17" s="115">
        <f>1/(1+$F$11)^($C$17-0.5)</f>
        <v>0.73658884165102512</v>
      </c>
      <c r="G17" s="115">
        <f t="shared" ref="G17:P17" si="8">1/(1+$F$11)^($C$17-0.5)</f>
        <v>0.73658884165102512</v>
      </c>
      <c r="H17" s="115">
        <f t="shared" si="8"/>
        <v>0.73658884165102512</v>
      </c>
      <c r="I17" s="115">
        <f t="shared" si="8"/>
        <v>0.73658884165102512</v>
      </c>
      <c r="J17" s="115">
        <f t="shared" si="8"/>
        <v>0.73658884165102512</v>
      </c>
      <c r="K17" s="115">
        <f t="shared" si="8"/>
        <v>0.73658884165102512</v>
      </c>
      <c r="L17" s="115">
        <f t="shared" si="8"/>
        <v>0.73658884165102512</v>
      </c>
      <c r="M17" s="115">
        <f t="shared" si="8"/>
        <v>0.73658884165102512</v>
      </c>
      <c r="N17" s="115">
        <f t="shared" si="8"/>
        <v>0.73658884165102512</v>
      </c>
      <c r="O17" s="115">
        <f t="shared" si="8"/>
        <v>0.73658884165102512</v>
      </c>
      <c r="P17" s="115">
        <f t="shared" si="8"/>
        <v>0.73658884165102512</v>
      </c>
      <c r="Q17" s="54"/>
      <c r="R17" s="17"/>
      <c r="S17" s="17"/>
      <c r="T17" s="17"/>
      <c r="U17" s="776"/>
      <c r="V17" s="776"/>
    </row>
    <row r="18" spans="1:22">
      <c r="A18" s="776"/>
      <c r="B18" s="776"/>
      <c r="C18" s="776"/>
      <c r="D18" s="17"/>
      <c r="E18" s="17"/>
      <c r="F18" s="17"/>
      <c r="G18" s="17"/>
      <c r="H18" s="17"/>
      <c r="I18" s="17"/>
      <c r="J18" s="17"/>
      <c r="K18" s="17"/>
      <c r="L18" s="17"/>
      <c r="M18" s="17"/>
      <c r="N18" s="17"/>
      <c r="O18" s="17"/>
      <c r="P18" s="17"/>
      <c r="Q18" s="54"/>
      <c r="R18" s="17"/>
      <c r="S18" s="17"/>
      <c r="T18" s="17"/>
      <c r="U18" s="776"/>
      <c r="V18" s="776"/>
    </row>
    <row r="19" spans="1:22">
      <c r="A19" s="776" t="s">
        <v>650</v>
      </c>
      <c r="B19" s="776"/>
      <c r="C19" s="776"/>
      <c r="D19" s="17"/>
      <c r="E19" s="17"/>
      <c r="F19" s="17">
        <f t="shared" ref="F19:O23" si="9">F13*F5</f>
        <v>13791.462978541467</v>
      </c>
      <c r="G19" s="17">
        <f t="shared" si="9"/>
        <v>15140.837965788727</v>
      </c>
      <c r="H19" s="17">
        <f t="shared" si="9"/>
        <v>19913.913672828097</v>
      </c>
      <c r="I19" s="17">
        <f t="shared" si="9"/>
        <v>22211.524234924615</v>
      </c>
      <c r="J19" s="17">
        <f t="shared" si="9"/>
        <v>23437.174294974415</v>
      </c>
      <c r="K19" s="17">
        <f t="shared" si="9"/>
        <v>24007.468881275192</v>
      </c>
      <c r="L19" s="17">
        <f t="shared" si="9"/>
        <v>22728.655766570231</v>
      </c>
      <c r="M19" s="17">
        <f t="shared" si="9"/>
        <v>21592.899598937332</v>
      </c>
      <c r="N19" s="17">
        <f t="shared" si="9"/>
        <v>21888.67950301875</v>
      </c>
      <c r="O19" s="17">
        <f t="shared" si="9"/>
        <v>22571.099804592221</v>
      </c>
      <c r="P19" s="17">
        <f>P13*P5</f>
        <v>22938.40818220967</v>
      </c>
      <c r="Q19" s="54"/>
      <c r="R19" s="17"/>
      <c r="S19" s="17"/>
      <c r="T19" s="17"/>
      <c r="U19" s="776"/>
      <c r="V19" s="776"/>
    </row>
    <row r="20" spans="1:22">
      <c r="A20" s="776"/>
      <c r="B20" s="776"/>
      <c r="C20" s="776"/>
      <c r="D20" s="17"/>
      <c r="E20" s="17"/>
      <c r="F20" s="17">
        <f t="shared" si="9"/>
        <v>11159.75752548182</v>
      </c>
      <c r="G20" s="17">
        <f t="shared" si="9"/>
        <v>11155.241964453462</v>
      </c>
      <c r="H20" s="17">
        <f t="shared" si="9"/>
        <v>16745.506517559596</v>
      </c>
      <c r="I20" s="17">
        <f t="shared" si="9"/>
        <v>18555.343377725134</v>
      </c>
      <c r="J20" s="17">
        <f t="shared" si="9"/>
        <v>18997.868358504133</v>
      </c>
      <c r="K20" s="17">
        <f t="shared" si="9"/>
        <v>19384.400382531501</v>
      </c>
      <c r="L20" s="17">
        <f t="shared" si="9"/>
        <v>18137.202426499261</v>
      </c>
      <c r="M20" s="17">
        <f t="shared" si="9"/>
        <v>16924.322734282538</v>
      </c>
      <c r="N20" s="17">
        <f t="shared" si="9"/>
        <v>16556.756066574264</v>
      </c>
      <c r="O20" s="17">
        <f t="shared" si="9"/>
        <v>18303.375072342806</v>
      </c>
      <c r="P20" s="17">
        <f>P14*P6</f>
        <v>17169.969254225165</v>
      </c>
      <c r="Q20" s="54"/>
      <c r="R20" s="17"/>
      <c r="S20" s="17"/>
      <c r="T20" s="17"/>
      <c r="U20" s="776"/>
      <c r="V20" s="776"/>
    </row>
    <row r="21" spans="1:22">
      <c r="A21" s="776"/>
      <c r="B21" s="776"/>
      <c r="C21" s="776"/>
      <c r="D21" s="17"/>
      <c r="E21" s="17"/>
      <c r="F21" s="17">
        <f t="shared" si="9"/>
        <v>8777.1402068524512</v>
      </c>
      <c r="G21" s="17">
        <f t="shared" si="9"/>
        <v>10503.541751095878</v>
      </c>
      <c r="H21" s="17">
        <f t="shared" si="9"/>
        <v>15453.656442837841</v>
      </c>
      <c r="I21" s="17">
        <f t="shared" si="9"/>
        <v>17588.454051310895</v>
      </c>
      <c r="J21" s="17">
        <f t="shared" si="9"/>
        <v>18302.303370191607</v>
      </c>
      <c r="K21" s="17">
        <f t="shared" si="9"/>
        <v>16794.866244682868</v>
      </c>
      <c r="L21" s="17">
        <f t="shared" si="9"/>
        <v>13994.31554803383</v>
      </c>
      <c r="M21" s="17">
        <f t="shared" si="9"/>
        <v>12348.074388298286</v>
      </c>
      <c r="N21" s="17">
        <f t="shared" si="9"/>
        <v>13345.860227041127</v>
      </c>
      <c r="O21" s="17">
        <f t="shared" si="9"/>
        <v>14419.165585925602</v>
      </c>
      <c r="P21" s="17">
        <f>P15*P7</f>
        <v>14997.586044664053</v>
      </c>
      <c r="Q21" s="54"/>
      <c r="R21" s="17"/>
      <c r="S21" s="17"/>
      <c r="T21" s="17"/>
      <c r="U21" s="776"/>
      <c r="V21" s="776"/>
    </row>
    <row r="22" spans="1:22">
      <c r="A22" s="776"/>
      <c r="B22" s="776"/>
      <c r="C22" s="776"/>
      <c r="D22" s="17"/>
      <c r="E22" s="17"/>
      <c r="F22" s="17">
        <f t="shared" si="9"/>
        <v>8200.6355291529962</v>
      </c>
      <c r="G22" s="17">
        <f t="shared" si="9"/>
        <v>9813.6426713032597</v>
      </c>
      <c r="H22" s="17">
        <f t="shared" si="9"/>
        <v>14438.621361149064</v>
      </c>
      <c r="I22" s="17">
        <f t="shared" si="9"/>
        <v>16433.200085313369</v>
      </c>
      <c r="J22" s="17">
        <f t="shared" si="9"/>
        <v>17100.161982800721</v>
      </c>
      <c r="K22" s="17">
        <f t="shared" si="9"/>
        <v>15691.737124808811</v>
      </c>
      <c r="L22" s="17">
        <f t="shared" si="9"/>
        <v>13075.133652278644</v>
      </c>
      <c r="M22" s="17">
        <f t="shared" si="9"/>
        <v>11537.021758664196</v>
      </c>
      <c r="N22" s="17">
        <f t="shared" si="9"/>
        <v>12469.270510175771</v>
      </c>
      <c r="O22" s="17">
        <f t="shared" si="9"/>
        <v>13472.078469518457</v>
      </c>
      <c r="P22" s="17">
        <f>P16*P8</f>
        <v>14012.506815532144</v>
      </c>
      <c r="Q22" s="54"/>
      <c r="R22" s="17"/>
      <c r="S22" s="17"/>
      <c r="T22" s="17"/>
      <c r="U22" s="776"/>
      <c r="V22" s="776"/>
    </row>
    <row r="23" spans="1:22">
      <c r="A23" s="776"/>
      <c r="B23" s="776"/>
      <c r="C23" s="776"/>
      <c r="D23" s="17"/>
      <c r="E23" s="17"/>
      <c r="F23" s="27">
        <f t="shared" si="9"/>
        <v>7661.9971308539634</v>
      </c>
      <c r="G23" s="27">
        <f t="shared" si="9"/>
        <v>9169.0579008719615</v>
      </c>
      <c r="H23" s="27">
        <f t="shared" si="9"/>
        <v>13490.2563404177</v>
      </c>
      <c r="I23" s="27">
        <f t="shared" si="9"/>
        <v>15353.826109794793</v>
      </c>
      <c r="J23" s="27">
        <f t="shared" si="9"/>
        <v>15976.98026983156</v>
      </c>
      <c r="K23" s="27">
        <f t="shared" si="9"/>
        <v>14661.064304222004</v>
      </c>
      <c r="L23" s="27">
        <f t="shared" si="9"/>
        <v>12216.325938782251</v>
      </c>
      <c r="M23" s="27">
        <f t="shared" si="9"/>
        <v>10779.241108721102</v>
      </c>
      <c r="N23" s="27">
        <f t="shared" si="9"/>
        <v>11650.257413973439</v>
      </c>
      <c r="O23" s="27">
        <f t="shared" si="9"/>
        <v>12587.198420553543</v>
      </c>
      <c r="P23" s="27">
        <f>P17*P9</f>
        <v>13092.13007150532</v>
      </c>
      <c r="Q23" s="54"/>
      <c r="R23" s="17"/>
      <c r="S23" s="17"/>
      <c r="T23" s="17"/>
      <c r="U23" s="776"/>
      <c r="V23" s="776"/>
    </row>
    <row r="24" spans="1:22">
      <c r="A24" s="776"/>
      <c r="B24" s="776"/>
      <c r="C24" s="776"/>
      <c r="D24" s="17"/>
      <c r="E24" s="17"/>
      <c r="F24" s="17">
        <f t="shared" ref="F24:O24" si="10">SUM(F19:F23)</f>
        <v>49590.993370882701</v>
      </c>
      <c r="G24" s="17">
        <f t="shared" si="10"/>
        <v>55782.322253513295</v>
      </c>
      <c r="H24" s="17">
        <f t="shared" si="10"/>
        <v>80041.954334792303</v>
      </c>
      <c r="I24" s="17">
        <f t="shared" si="10"/>
        <v>90142.347859068803</v>
      </c>
      <c r="J24" s="17">
        <f t="shared" si="10"/>
        <v>93814.488276302436</v>
      </c>
      <c r="K24" s="17">
        <f t="shared" si="10"/>
        <v>90539.536937520374</v>
      </c>
      <c r="L24" s="17">
        <f t="shared" si="10"/>
        <v>80151.633332164216</v>
      </c>
      <c r="M24" s="17">
        <f t="shared" si="10"/>
        <v>73181.559588903459</v>
      </c>
      <c r="N24" s="17">
        <f t="shared" si="10"/>
        <v>75910.823720783344</v>
      </c>
      <c r="O24" s="17">
        <f t="shared" si="10"/>
        <v>81352.917352932622</v>
      </c>
      <c r="P24" s="17">
        <f>SUM(P19:P23)</f>
        <v>82210.600368136351</v>
      </c>
      <c r="Q24" s="170"/>
      <c r="R24" s="17"/>
      <c r="S24" s="776"/>
      <c r="T24" s="776"/>
      <c r="U24" s="776"/>
      <c r="V24" s="776"/>
    </row>
    <row r="25" spans="1:22" s="112" customFormat="1">
      <c r="A25" s="776"/>
      <c r="B25" s="776"/>
      <c r="C25" s="776"/>
      <c r="D25" s="17"/>
      <c r="E25" s="17"/>
      <c r="F25" s="17"/>
      <c r="G25" s="17"/>
      <c r="H25" s="17"/>
      <c r="I25" s="17"/>
      <c r="J25" s="17"/>
      <c r="K25" s="17"/>
      <c r="L25" s="17"/>
      <c r="M25" s="17"/>
      <c r="N25" s="17"/>
      <c r="O25" s="17"/>
      <c r="P25" s="17"/>
      <c r="Q25" s="776"/>
      <c r="R25" s="776"/>
      <c r="S25" s="776"/>
      <c r="T25" s="776"/>
      <c r="U25" s="776"/>
      <c r="V25" s="776"/>
    </row>
    <row r="26" spans="1:22" ht="15">
      <c r="A26" s="776"/>
      <c r="B26" s="776"/>
      <c r="C26" s="91"/>
      <c r="D26" s="92"/>
      <c r="E26" s="90" t="s">
        <v>651</v>
      </c>
      <c r="F26" s="165">
        <v>2005</v>
      </c>
      <c r="G26" s="165">
        <f t="shared" ref="G26:M26" si="11">F26+1</f>
        <v>2006</v>
      </c>
      <c r="H26" s="165">
        <f t="shared" si="11"/>
        <v>2007</v>
      </c>
      <c r="I26" s="165">
        <f t="shared" si="11"/>
        <v>2008</v>
      </c>
      <c r="J26" s="165">
        <f t="shared" si="11"/>
        <v>2009</v>
      </c>
      <c r="K26" s="165">
        <f t="shared" si="11"/>
        <v>2010</v>
      </c>
      <c r="L26" s="165">
        <f t="shared" si="11"/>
        <v>2011</v>
      </c>
      <c r="M26" s="165">
        <f t="shared" si="11"/>
        <v>2012</v>
      </c>
      <c r="N26" s="165">
        <f>M26+1</f>
        <v>2013</v>
      </c>
      <c r="O26" s="165">
        <f>N26+1</f>
        <v>2014</v>
      </c>
      <c r="P26" s="166" t="s">
        <v>1243</v>
      </c>
      <c r="Q26" s="164"/>
      <c r="R26" s="776"/>
      <c r="S26" s="776"/>
      <c r="T26" s="776"/>
      <c r="U26" s="776"/>
      <c r="V26" s="776"/>
    </row>
    <row r="27" spans="1:22">
      <c r="A27" s="776"/>
      <c r="B27" s="776"/>
      <c r="C27" s="776"/>
      <c r="D27" s="17"/>
      <c r="E27" s="17"/>
      <c r="F27" s="17"/>
      <c r="G27" s="17"/>
      <c r="H27" s="17"/>
      <c r="I27" s="17"/>
      <c r="J27" s="17"/>
      <c r="K27" s="17"/>
      <c r="L27" s="17"/>
      <c r="M27" s="17"/>
      <c r="N27" s="17"/>
      <c r="O27" s="17"/>
      <c r="P27" s="17"/>
      <c r="Q27" s="17"/>
      <c r="R27" s="17"/>
      <c r="S27" s="17"/>
      <c r="T27" s="17"/>
      <c r="U27" s="17"/>
      <c r="V27" s="17"/>
    </row>
    <row r="28" spans="1:22">
      <c r="A28" s="776" t="s">
        <v>643</v>
      </c>
      <c r="B28" s="776"/>
      <c r="C28" s="776">
        <v>1</v>
      </c>
      <c r="D28" s="17"/>
      <c r="E28" s="17"/>
      <c r="F28" s="17"/>
      <c r="G28" s="17"/>
      <c r="H28" s="17"/>
      <c r="I28" s="17"/>
      <c r="J28" s="17"/>
      <c r="K28" s="17"/>
      <c r="L28" s="17">
        <v>56483</v>
      </c>
      <c r="M28" s="17">
        <v>61573</v>
      </c>
      <c r="N28" s="17">
        <v>92297</v>
      </c>
      <c r="O28" s="17">
        <v>103584</v>
      </c>
      <c r="P28" s="17"/>
      <c r="Q28" s="17"/>
      <c r="R28" s="17"/>
      <c r="S28" s="17"/>
      <c r="T28" s="17"/>
      <c r="U28" s="17"/>
      <c r="V28" s="17"/>
    </row>
    <row r="29" spans="1:22">
      <c r="A29" s="776" t="s">
        <v>644</v>
      </c>
      <c r="B29" s="776"/>
      <c r="C29" s="776">
        <v>2</v>
      </c>
      <c r="D29" s="17"/>
      <c r="E29" s="17"/>
      <c r="F29" s="17"/>
      <c r="G29" s="17"/>
      <c r="H29" s="17"/>
      <c r="I29" s="17"/>
      <c r="J29" s="17"/>
      <c r="K29" s="17"/>
      <c r="L29" s="17">
        <v>46011</v>
      </c>
      <c r="M29" s="17">
        <v>50283</v>
      </c>
      <c r="N29" s="17">
        <v>70924</v>
      </c>
      <c r="O29" s="17">
        <v>85914</v>
      </c>
      <c r="P29" s="17"/>
      <c r="Q29" s="17"/>
      <c r="R29" s="17"/>
      <c r="S29" s="17"/>
      <c r="T29" s="17"/>
      <c r="U29" s="17"/>
      <c r="V29" s="17"/>
    </row>
    <row r="30" spans="1:22">
      <c r="A30" s="776" t="s">
        <v>645</v>
      </c>
      <c r="B30" s="776"/>
      <c r="C30" s="776">
        <v>3</v>
      </c>
      <c r="D30" s="17"/>
      <c r="E30" s="17"/>
      <c r="F30" s="17"/>
      <c r="G30" s="17"/>
      <c r="H30" s="17"/>
      <c r="I30" s="17"/>
      <c r="J30" s="17"/>
      <c r="K30" s="17"/>
      <c r="L30" s="17">
        <f>66607/2</f>
        <v>33303.5</v>
      </c>
      <c r="M30" s="17">
        <f>75404/2</f>
        <v>37702</v>
      </c>
      <c r="N30" s="17">
        <f>123272/2</f>
        <v>61636</v>
      </c>
      <c r="O30" s="17">
        <f>207305/2</f>
        <v>103652.5</v>
      </c>
      <c r="P30" s="17"/>
      <c r="Q30" s="17"/>
      <c r="R30" s="17"/>
      <c r="S30" s="17"/>
      <c r="T30" s="17"/>
      <c r="U30" s="17"/>
      <c r="V30" s="17"/>
    </row>
    <row r="31" spans="1:22" s="112" customFormat="1">
      <c r="A31" s="776"/>
      <c r="B31" s="776"/>
      <c r="C31" s="776">
        <v>4</v>
      </c>
      <c r="D31" s="17"/>
      <c r="E31" s="17"/>
      <c r="F31" s="17">
        <f t="shared" ref="F31:M31" si="12">+F30</f>
        <v>0</v>
      </c>
      <c r="G31" s="17">
        <f t="shared" si="12"/>
        <v>0</v>
      </c>
      <c r="H31" s="17">
        <f t="shared" si="12"/>
        <v>0</v>
      </c>
      <c r="I31" s="17">
        <f t="shared" si="12"/>
        <v>0</v>
      </c>
      <c r="J31" s="17">
        <f t="shared" si="12"/>
        <v>0</v>
      </c>
      <c r="K31" s="17">
        <f t="shared" si="12"/>
        <v>0</v>
      </c>
      <c r="L31" s="17">
        <f t="shared" si="12"/>
        <v>33303.5</v>
      </c>
      <c r="M31" s="17">
        <f t="shared" si="12"/>
        <v>37702</v>
      </c>
      <c r="N31" s="17">
        <f>+N30</f>
        <v>61636</v>
      </c>
      <c r="O31" s="17">
        <f>+O30</f>
        <v>103652.5</v>
      </c>
      <c r="P31" s="17"/>
      <c r="Q31" s="17"/>
      <c r="R31" s="17"/>
      <c r="S31" s="17"/>
      <c r="T31" s="17"/>
      <c r="U31" s="17"/>
      <c r="V31" s="17"/>
    </row>
    <row r="32" spans="1:22">
      <c r="A32" s="776" t="s">
        <v>646</v>
      </c>
      <c r="B32" s="776"/>
      <c r="C32" s="776">
        <v>5</v>
      </c>
      <c r="D32" s="17"/>
      <c r="E32" s="17"/>
      <c r="F32" s="17">
        <f t="shared" ref="F32:M32" si="13">F31</f>
        <v>0</v>
      </c>
      <c r="G32" s="17">
        <f t="shared" si="13"/>
        <v>0</v>
      </c>
      <c r="H32" s="17">
        <f t="shared" si="13"/>
        <v>0</v>
      </c>
      <c r="I32" s="17">
        <f t="shared" si="13"/>
        <v>0</v>
      </c>
      <c r="J32" s="17">
        <f t="shared" si="13"/>
        <v>0</v>
      </c>
      <c r="K32" s="17">
        <f t="shared" si="13"/>
        <v>0</v>
      </c>
      <c r="L32" s="17">
        <f t="shared" si="13"/>
        <v>33303.5</v>
      </c>
      <c r="M32" s="17">
        <f t="shared" si="13"/>
        <v>37702</v>
      </c>
      <c r="N32" s="17">
        <f>N31</f>
        <v>61636</v>
      </c>
      <c r="O32" s="17">
        <f>O31</f>
        <v>103652.5</v>
      </c>
      <c r="P32" s="17"/>
      <c r="Q32" s="17"/>
      <c r="R32" s="17"/>
      <c r="S32" s="17"/>
      <c r="T32" s="17"/>
      <c r="U32" s="17"/>
      <c r="V32" s="17"/>
    </row>
    <row r="33" spans="1:22">
      <c r="A33" s="776"/>
      <c r="B33" s="776"/>
      <c r="C33" s="776"/>
      <c r="D33" s="17"/>
      <c r="E33" s="17"/>
      <c r="F33" s="17"/>
      <c r="G33" s="17"/>
      <c r="H33" s="17"/>
      <c r="I33" s="17"/>
      <c r="J33" s="17"/>
      <c r="K33" s="17"/>
      <c r="L33" s="17"/>
      <c r="M33" s="17"/>
      <c r="N33" s="17"/>
      <c r="O33" s="17"/>
      <c r="P33" s="17"/>
      <c r="Q33" s="17"/>
      <c r="R33" s="17"/>
      <c r="S33" s="17"/>
      <c r="T33" s="17"/>
      <c r="U33" s="17"/>
      <c r="V33" s="17"/>
    </row>
    <row r="34" spans="1:22">
      <c r="A34" s="776" t="s">
        <v>648</v>
      </c>
      <c r="B34" s="776"/>
      <c r="C34" s="776"/>
      <c r="D34" s="17"/>
      <c r="E34" s="17"/>
      <c r="F34" s="25">
        <v>7.0300000000000001E-2</v>
      </c>
      <c r="G34" s="25">
        <v>7.0300000000000001E-2</v>
      </c>
      <c r="H34" s="25">
        <v>7.0300000000000001E-2</v>
      </c>
      <c r="I34" s="25">
        <v>7.0300000000000001E-2</v>
      </c>
      <c r="J34" s="25">
        <v>7.0300000000000001E-2</v>
      </c>
      <c r="K34" s="25">
        <v>7.0300000000000001E-2</v>
      </c>
      <c r="L34" s="25">
        <v>7.0300000000000001E-2</v>
      </c>
      <c r="M34" s="25">
        <v>7.0300000000000001E-2</v>
      </c>
      <c r="N34" s="25">
        <v>7.0300000000000001E-2</v>
      </c>
      <c r="O34" s="25">
        <v>7.0300000000000001E-2</v>
      </c>
      <c r="P34" s="17"/>
      <c r="Q34" s="17"/>
      <c r="R34" s="17"/>
      <c r="S34" s="17"/>
      <c r="T34" s="17"/>
      <c r="U34" s="17"/>
      <c r="V34" s="17"/>
    </row>
    <row r="35" spans="1:22">
      <c r="A35" s="776"/>
      <c r="B35" s="776"/>
      <c r="C35" s="776"/>
      <c r="D35" s="17"/>
      <c r="E35" s="17"/>
      <c r="F35" s="17"/>
      <c r="G35" s="17"/>
      <c r="H35" s="17"/>
      <c r="I35" s="17"/>
      <c r="J35" s="17"/>
      <c r="K35" s="17"/>
      <c r="L35" s="17"/>
      <c r="M35" s="17"/>
      <c r="N35" s="17"/>
      <c r="O35" s="17"/>
      <c r="P35" s="17"/>
      <c r="Q35" s="17"/>
      <c r="R35" s="17"/>
      <c r="S35" s="17"/>
      <c r="T35" s="17"/>
      <c r="U35" s="17"/>
      <c r="V35" s="17"/>
    </row>
    <row r="36" spans="1:22">
      <c r="A36" s="776" t="s">
        <v>649</v>
      </c>
      <c r="B36" s="776"/>
      <c r="C36" s="776">
        <v>1</v>
      </c>
      <c r="D36" s="17"/>
      <c r="E36" s="17"/>
      <c r="F36" s="115">
        <f>1/(1+F$34)^($C$36-0.5)</f>
        <v>0.96660099373012809</v>
      </c>
      <c r="G36" s="115">
        <f t="shared" ref="G36:O36" si="14">1/(1+G$34)^($C$36-0.5)</f>
        <v>0.96660099373012809</v>
      </c>
      <c r="H36" s="115">
        <f t="shared" si="14"/>
        <v>0.96660099373012809</v>
      </c>
      <c r="I36" s="115">
        <f t="shared" si="14"/>
        <v>0.96660099373012809</v>
      </c>
      <c r="J36" s="115">
        <f t="shared" si="14"/>
        <v>0.96660099373012809</v>
      </c>
      <c r="K36" s="115">
        <f t="shared" si="14"/>
        <v>0.96660099373012809</v>
      </c>
      <c r="L36" s="115">
        <f t="shared" si="14"/>
        <v>0.96660099373012809</v>
      </c>
      <c r="M36" s="115">
        <f t="shared" si="14"/>
        <v>0.96660099373012809</v>
      </c>
      <c r="N36" s="115">
        <f t="shared" si="14"/>
        <v>0.96660099373012809</v>
      </c>
      <c r="O36" s="115">
        <f t="shared" si="14"/>
        <v>0.96660099373012809</v>
      </c>
      <c r="P36" s="17"/>
      <c r="Q36" s="17"/>
      <c r="R36" s="17"/>
      <c r="S36" s="17"/>
      <c r="T36" s="17"/>
      <c r="U36" s="17"/>
      <c r="V36" s="17"/>
    </row>
    <row r="37" spans="1:22">
      <c r="A37" s="776"/>
      <c r="B37" s="776"/>
      <c r="C37" s="776">
        <v>2</v>
      </c>
      <c r="D37" s="17"/>
      <c r="E37" s="17"/>
      <c r="F37" s="115">
        <f>1/(1+$F$34)^($C$37-0.5)</f>
        <v>0.90311220567142669</v>
      </c>
      <c r="G37" s="115">
        <f t="shared" ref="G37:O37" si="15">1/(1+$F$34)^($C$37-0.5)</f>
        <v>0.90311220567142669</v>
      </c>
      <c r="H37" s="115">
        <f t="shared" si="15"/>
        <v>0.90311220567142669</v>
      </c>
      <c r="I37" s="115">
        <f t="shared" si="15"/>
        <v>0.90311220567142669</v>
      </c>
      <c r="J37" s="115">
        <f t="shared" si="15"/>
        <v>0.90311220567142669</v>
      </c>
      <c r="K37" s="115">
        <f t="shared" si="15"/>
        <v>0.90311220567142669</v>
      </c>
      <c r="L37" s="115">
        <f t="shared" si="15"/>
        <v>0.90311220567142669</v>
      </c>
      <c r="M37" s="115">
        <f t="shared" si="15"/>
        <v>0.90311220567142669</v>
      </c>
      <c r="N37" s="115">
        <f t="shared" si="15"/>
        <v>0.90311220567142669</v>
      </c>
      <c r="O37" s="115">
        <f t="shared" si="15"/>
        <v>0.90311220567142669</v>
      </c>
      <c r="P37" s="17"/>
      <c r="Q37" s="17"/>
      <c r="R37" s="17"/>
      <c r="S37" s="17"/>
      <c r="T37" s="17"/>
      <c r="U37" s="17"/>
      <c r="V37" s="17"/>
    </row>
    <row r="38" spans="1:22">
      <c r="A38" s="776"/>
      <c r="B38" s="776"/>
      <c r="C38" s="776">
        <v>3</v>
      </c>
      <c r="D38" s="17"/>
      <c r="E38" s="17"/>
      <c r="F38" s="115">
        <f>1/(1+$F$34)^($C$38-0.5)</f>
        <v>0.84379352113559425</v>
      </c>
      <c r="G38" s="115">
        <f t="shared" ref="G38:O38" si="16">1/(1+$F$34)^($C$38-0.5)</f>
        <v>0.84379352113559425</v>
      </c>
      <c r="H38" s="115">
        <f t="shared" si="16"/>
        <v>0.84379352113559425</v>
      </c>
      <c r="I38" s="115">
        <f t="shared" si="16"/>
        <v>0.84379352113559425</v>
      </c>
      <c r="J38" s="115">
        <f t="shared" si="16"/>
        <v>0.84379352113559425</v>
      </c>
      <c r="K38" s="115">
        <f t="shared" si="16"/>
        <v>0.84379352113559425</v>
      </c>
      <c r="L38" s="115">
        <f t="shared" si="16"/>
        <v>0.84379352113559425</v>
      </c>
      <c r="M38" s="115">
        <f t="shared" si="16"/>
        <v>0.84379352113559425</v>
      </c>
      <c r="N38" s="115">
        <f t="shared" si="16"/>
        <v>0.84379352113559425</v>
      </c>
      <c r="O38" s="115">
        <f t="shared" si="16"/>
        <v>0.84379352113559425</v>
      </c>
      <c r="P38" s="17"/>
      <c r="Q38" s="17"/>
      <c r="R38" s="17"/>
      <c r="S38" s="17"/>
      <c r="T38" s="17"/>
      <c r="U38" s="17"/>
      <c r="V38" s="17"/>
    </row>
    <row r="39" spans="1:22">
      <c r="A39" s="776"/>
      <c r="B39" s="776"/>
      <c r="C39" s="776">
        <v>4</v>
      </c>
      <c r="D39" s="17"/>
      <c r="E39" s="17"/>
      <c r="F39" s="115">
        <f>1/(1+$F$34)^($C$39-0.5)</f>
        <v>0.78837103721909219</v>
      </c>
      <c r="G39" s="115">
        <f t="shared" ref="G39:O39" si="17">1/(1+$F$34)^($C$39-0.5)</f>
        <v>0.78837103721909219</v>
      </c>
      <c r="H39" s="115">
        <f t="shared" si="17"/>
        <v>0.78837103721909219</v>
      </c>
      <c r="I39" s="115">
        <f t="shared" si="17"/>
        <v>0.78837103721909219</v>
      </c>
      <c r="J39" s="115">
        <f t="shared" si="17"/>
        <v>0.78837103721909219</v>
      </c>
      <c r="K39" s="115">
        <f t="shared" si="17"/>
        <v>0.78837103721909219</v>
      </c>
      <c r="L39" s="115">
        <f t="shared" si="17"/>
        <v>0.78837103721909219</v>
      </c>
      <c r="M39" s="115">
        <f t="shared" si="17"/>
        <v>0.78837103721909219</v>
      </c>
      <c r="N39" s="115">
        <f t="shared" si="17"/>
        <v>0.78837103721909219</v>
      </c>
      <c r="O39" s="115">
        <f t="shared" si="17"/>
        <v>0.78837103721909219</v>
      </c>
      <c r="P39" s="17"/>
      <c r="Q39" s="17"/>
      <c r="R39" s="17"/>
      <c r="S39" s="17"/>
      <c r="T39" s="17"/>
      <c r="U39" s="17"/>
      <c r="V39" s="17"/>
    </row>
    <row r="40" spans="1:22">
      <c r="A40" s="776"/>
      <c r="B40" s="776"/>
      <c r="C40" s="776">
        <v>5</v>
      </c>
      <c r="D40" s="17"/>
      <c r="E40" s="17"/>
      <c r="F40" s="115">
        <f>1/(1+$F$34)^($C$40-0.5)</f>
        <v>0.73658884165102512</v>
      </c>
      <c r="G40" s="115">
        <f t="shared" ref="G40:O40" si="18">1/(1+$F$34)^($C$40-0.5)</f>
        <v>0.73658884165102512</v>
      </c>
      <c r="H40" s="115">
        <f t="shared" si="18"/>
        <v>0.73658884165102512</v>
      </c>
      <c r="I40" s="115">
        <f t="shared" si="18"/>
        <v>0.73658884165102512</v>
      </c>
      <c r="J40" s="115">
        <f t="shared" si="18"/>
        <v>0.73658884165102512</v>
      </c>
      <c r="K40" s="115">
        <f t="shared" si="18"/>
        <v>0.73658884165102512</v>
      </c>
      <c r="L40" s="115">
        <f t="shared" si="18"/>
        <v>0.73658884165102512</v>
      </c>
      <c r="M40" s="115">
        <f t="shared" si="18"/>
        <v>0.73658884165102512</v>
      </c>
      <c r="N40" s="115">
        <f t="shared" si="18"/>
        <v>0.73658884165102512</v>
      </c>
      <c r="O40" s="115">
        <f t="shared" si="18"/>
        <v>0.73658884165102512</v>
      </c>
      <c r="P40" s="17"/>
      <c r="Q40" s="17"/>
      <c r="R40" s="17"/>
      <c r="S40" s="17"/>
      <c r="T40" s="17"/>
      <c r="U40" s="17"/>
      <c r="V40" s="17"/>
    </row>
    <row r="41" spans="1:22">
      <c r="A41" s="776"/>
      <c r="B41" s="776"/>
      <c r="C41" s="776"/>
      <c r="D41" s="17"/>
      <c r="E41" s="17"/>
      <c r="F41" s="17"/>
      <c r="G41" s="17"/>
      <c r="H41" s="17"/>
      <c r="I41" s="17"/>
      <c r="J41" s="17"/>
      <c r="K41" s="17"/>
      <c r="L41" s="17"/>
      <c r="M41" s="17"/>
      <c r="N41" s="17"/>
      <c r="O41" s="17"/>
      <c r="P41" s="17"/>
      <c r="Q41" s="17"/>
      <c r="R41" s="17"/>
      <c r="S41" s="17"/>
      <c r="T41" s="17"/>
      <c r="U41" s="17"/>
      <c r="V41" s="17"/>
    </row>
    <row r="42" spans="1:22">
      <c r="A42" s="776" t="s">
        <v>650</v>
      </c>
      <c r="B42" s="776"/>
      <c r="C42" s="776"/>
      <c r="D42" s="17"/>
      <c r="E42" s="17"/>
      <c r="F42" s="17">
        <f t="shared" ref="F42:N46" si="19">F36*F28</f>
        <v>0</v>
      </c>
      <c r="G42" s="17">
        <f t="shared" si="19"/>
        <v>0</v>
      </c>
      <c r="H42" s="17">
        <f t="shared" si="19"/>
        <v>0</v>
      </c>
      <c r="I42" s="17">
        <f t="shared" si="19"/>
        <v>0</v>
      </c>
      <c r="J42" s="17">
        <f t="shared" si="19"/>
        <v>0</v>
      </c>
      <c r="K42" s="17">
        <f t="shared" si="19"/>
        <v>0</v>
      </c>
      <c r="L42" s="17">
        <f t="shared" si="19"/>
        <v>54596.523928858827</v>
      </c>
      <c r="M42" s="17">
        <f t="shared" si="19"/>
        <v>59516.52298694518</v>
      </c>
      <c r="N42" s="17">
        <f t="shared" si="19"/>
        <v>89214.371918309625</v>
      </c>
      <c r="O42" s="17">
        <f>O36*O28</f>
        <v>100124.39733454159</v>
      </c>
      <c r="P42" s="17"/>
      <c r="Q42" s="17"/>
      <c r="R42" s="17"/>
      <c r="S42" s="17"/>
      <c r="T42" s="17"/>
      <c r="U42" s="17"/>
      <c r="V42" s="17"/>
    </row>
    <row r="43" spans="1:22">
      <c r="A43" s="776"/>
      <c r="B43" s="776"/>
      <c r="C43" s="776"/>
      <c r="D43" s="17"/>
      <c r="E43" s="17"/>
      <c r="F43" s="17">
        <f t="shared" si="19"/>
        <v>0</v>
      </c>
      <c r="G43" s="17">
        <f t="shared" si="19"/>
        <v>0</v>
      </c>
      <c r="H43" s="17">
        <f t="shared" si="19"/>
        <v>0</v>
      </c>
      <c r="I43" s="17">
        <f t="shared" si="19"/>
        <v>0</v>
      </c>
      <c r="J43" s="17">
        <f t="shared" si="19"/>
        <v>0</v>
      </c>
      <c r="K43" s="17">
        <f t="shared" si="19"/>
        <v>0</v>
      </c>
      <c r="L43" s="17">
        <f t="shared" si="19"/>
        <v>41553.095695148011</v>
      </c>
      <c r="M43" s="17">
        <f t="shared" si="19"/>
        <v>45411.191037776349</v>
      </c>
      <c r="N43" s="17">
        <f t="shared" si="19"/>
        <v>64052.330075040263</v>
      </c>
      <c r="O43" s="17">
        <f>O37*O29</f>
        <v>77589.98203805495</v>
      </c>
      <c r="P43" s="17"/>
      <c r="Q43" s="17"/>
      <c r="R43" s="17"/>
      <c r="S43" s="17"/>
      <c r="T43" s="17"/>
      <c r="U43" s="17"/>
      <c r="V43" s="17"/>
    </row>
    <row r="44" spans="1:22">
      <c r="A44" s="776"/>
      <c r="B44" s="776"/>
      <c r="C44" s="776"/>
      <c r="D44" s="17"/>
      <c r="E44" s="17"/>
      <c r="F44" s="17">
        <f t="shared" si="19"/>
        <v>0</v>
      </c>
      <c r="G44" s="17">
        <f t="shared" si="19"/>
        <v>0</v>
      </c>
      <c r="H44" s="17">
        <f t="shared" si="19"/>
        <v>0</v>
      </c>
      <c r="I44" s="17">
        <f t="shared" si="19"/>
        <v>0</v>
      </c>
      <c r="J44" s="17">
        <f t="shared" si="19"/>
        <v>0</v>
      </c>
      <c r="K44" s="17">
        <f t="shared" si="19"/>
        <v>0</v>
      </c>
      <c r="L44" s="17">
        <f t="shared" si="19"/>
        <v>28101.277531139262</v>
      </c>
      <c r="M44" s="17">
        <f t="shared" si="19"/>
        <v>31812.703333854173</v>
      </c>
      <c r="N44" s="17">
        <f t="shared" si="19"/>
        <v>52008.057468713487</v>
      </c>
      <c r="O44" s="17">
        <f>O38*O30</f>
        <v>87461.307949507187</v>
      </c>
      <c r="P44" s="17"/>
      <c r="Q44" s="17"/>
      <c r="R44" s="17"/>
      <c r="S44" s="17"/>
      <c r="T44" s="17"/>
      <c r="U44" s="17"/>
      <c r="V44" s="17"/>
    </row>
    <row r="45" spans="1:22">
      <c r="A45" s="776"/>
      <c r="B45" s="776"/>
      <c r="C45" s="776"/>
      <c r="D45" s="17"/>
      <c r="E45" s="17"/>
      <c r="F45" s="17">
        <f t="shared" si="19"/>
        <v>0</v>
      </c>
      <c r="G45" s="17">
        <f t="shared" si="19"/>
        <v>0</v>
      </c>
      <c r="H45" s="17">
        <f t="shared" si="19"/>
        <v>0</v>
      </c>
      <c r="I45" s="17">
        <f t="shared" si="19"/>
        <v>0</v>
      </c>
      <c r="J45" s="17">
        <f t="shared" si="19"/>
        <v>0</v>
      </c>
      <c r="K45" s="17">
        <f t="shared" si="19"/>
        <v>0</v>
      </c>
      <c r="L45" s="17">
        <f t="shared" si="19"/>
        <v>26255.514838026036</v>
      </c>
      <c r="M45" s="17">
        <f t="shared" si="19"/>
        <v>29723.164845234212</v>
      </c>
      <c r="N45" s="17">
        <f t="shared" si="19"/>
        <v>48592.037250035966</v>
      </c>
      <c r="O45" s="17">
        <f>O39*O31</f>
        <v>81716.628935351953</v>
      </c>
      <c r="P45" s="17"/>
      <c r="Q45" s="17"/>
      <c r="R45" s="17"/>
      <c r="S45" s="17"/>
      <c r="T45" s="17"/>
      <c r="U45" s="17"/>
      <c r="V45" s="17"/>
    </row>
    <row r="46" spans="1:22">
      <c r="A46" s="776"/>
      <c r="B46" s="776"/>
      <c r="C46" s="776"/>
      <c r="D46" s="17"/>
      <c r="E46" s="17"/>
      <c r="F46" s="27">
        <f t="shared" si="19"/>
        <v>0</v>
      </c>
      <c r="G46" s="27">
        <f t="shared" si="19"/>
        <v>0</v>
      </c>
      <c r="H46" s="27">
        <f t="shared" si="19"/>
        <v>0</v>
      </c>
      <c r="I46" s="27">
        <f t="shared" si="19"/>
        <v>0</v>
      </c>
      <c r="J46" s="27">
        <f t="shared" si="19"/>
        <v>0</v>
      </c>
      <c r="K46" s="27">
        <f t="shared" si="19"/>
        <v>0</v>
      </c>
      <c r="L46" s="27">
        <f t="shared" si="19"/>
        <v>24530.986487924914</v>
      </c>
      <c r="M46" s="27">
        <f t="shared" si="19"/>
        <v>27770.87250792695</v>
      </c>
      <c r="N46" s="27">
        <f t="shared" si="19"/>
        <v>45400.389844002581</v>
      </c>
      <c r="O46" s="27">
        <f>O40*O32</f>
        <v>76349.274909232874</v>
      </c>
      <c r="P46" s="17"/>
      <c r="Q46" s="17"/>
      <c r="R46" s="17"/>
      <c r="S46" s="17"/>
      <c r="T46" s="17"/>
      <c r="U46" s="17"/>
      <c r="V46" s="17"/>
    </row>
    <row r="47" spans="1:22">
      <c r="A47" s="776"/>
      <c r="B47" s="776"/>
      <c r="C47" s="776"/>
      <c r="D47" s="17"/>
      <c r="E47" s="17"/>
      <c r="F47" s="17">
        <f t="shared" ref="F47:N47" si="20">SUM(F42:F46)</f>
        <v>0</v>
      </c>
      <c r="G47" s="17">
        <f t="shared" si="20"/>
        <v>0</v>
      </c>
      <c r="H47" s="17">
        <f t="shared" si="20"/>
        <v>0</v>
      </c>
      <c r="I47" s="17">
        <f t="shared" si="20"/>
        <v>0</v>
      </c>
      <c r="J47" s="17">
        <f t="shared" si="20"/>
        <v>0</v>
      </c>
      <c r="K47" s="17">
        <f t="shared" si="20"/>
        <v>0</v>
      </c>
      <c r="L47" s="17">
        <f t="shared" si="20"/>
        <v>175037.39848109704</v>
      </c>
      <c r="M47" s="17">
        <f t="shared" si="20"/>
        <v>194234.45471173688</v>
      </c>
      <c r="N47" s="17">
        <f t="shared" si="20"/>
        <v>299267.18655610189</v>
      </c>
      <c r="O47" s="17">
        <f>SUM(O42:O46)</f>
        <v>423241.59116668854</v>
      </c>
      <c r="P47" s="17"/>
      <c r="Q47" s="17"/>
      <c r="R47" s="17"/>
      <c r="S47" s="17"/>
      <c r="T47" s="17"/>
      <c r="U47" s="17"/>
      <c r="V47" s="17"/>
    </row>
    <row r="48" spans="1:22">
      <c r="A48" s="776"/>
      <c r="B48" s="776"/>
      <c r="C48" s="776"/>
      <c r="D48" s="17"/>
      <c r="E48" s="17"/>
      <c r="F48" s="17"/>
      <c r="G48" s="17"/>
      <c r="H48" s="17"/>
      <c r="I48" s="17"/>
      <c r="J48" s="17"/>
      <c r="K48" s="17"/>
      <c r="L48" s="17"/>
      <c r="M48" s="17"/>
      <c r="N48" s="17"/>
      <c r="O48" s="17"/>
      <c r="P48" s="17"/>
      <c r="Q48" s="17"/>
      <c r="R48" s="17"/>
      <c r="S48" s="17"/>
      <c r="T48" s="17"/>
      <c r="U48" s="17"/>
      <c r="V48" s="17"/>
    </row>
    <row r="49" spans="4:22">
      <c r="D49" s="17"/>
      <c r="E49" s="17"/>
      <c r="F49" s="17"/>
      <c r="G49" s="17"/>
      <c r="H49" s="17"/>
      <c r="I49" s="17"/>
      <c r="J49" s="17"/>
      <c r="K49" s="17"/>
      <c r="L49" s="17"/>
      <c r="M49" s="17"/>
      <c r="N49" s="17"/>
      <c r="O49" s="17"/>
      <c r="P49" s="17"/>
      <c r="Q49" s="17"/>
      <c r="R49" s="17"/>
      <c r="S49" s="17"/>
      <c r="T49" s="17"/>
      <c r="U49" s="17"/>
      <c r="V49" s="17"/>
    </row>
    <row r="50" spans="4:22">
      <c r="D50" s="17"/>
      <c r="E50" s="17"/>
      <c r="F50" s="17"/>
      <c r="G50" s="17"/>
      <c r="H50" s="17"/>
      <c r="I50" s="17"/>
      <c r="J50" s="17"/>
      <c r="K50" s="17"/>
      <c r="L50" s="17"/>
      <c r="M50" s="17"/>
      <c r="N50" s="17"/>
      <c r="O50" s="17"/>
      <c r="P50" s="17"/>
      <c r="Q50" s="17"/>
      <c r="R50" s="17"/>
      <c r="S50" s="17"/>
      <c r="T50" s="17"/>
      <c r="U50" s="17"/>
      <c r="V50" s="17"/>
    </row>
    <row r="51" spans="4:22">
      <c r="D51" s="17"/>
      <c r="E51" s="17"/>
      <c r="F51" s="17"/>
      <c r="G51" s="17"/>
      <c r="H51" s="17"/>
      <c r="I51" s="17"/>
      <c r="J51" s="17"/>
      <c r="K51" s="17"/>
      <c r="L51" s="17"/>
      <c r="M51" s="17"/>
      <c r="N51" s="17"/>
      <c r="O51" s="17"/>
      <c r="P51" s="17"/>
      <c r="Q51" s="17"/>
      <c r="R51" s="17"/>
      <c r="S51" s="17"/>
      <c r="T51" s="17"/>
      <c r="U51" s="17"/>
      <c r="V51" s="17"/>
    </row>
    <row r="52" spans="4:22">
      <c r="D52" s="17"/>
      <c r="E52" s="17"/>
      <c r="F52" s="17"/>
      <c r="G52" s="17"/>
      <c r="H52" s="17"/>
      <c r="I52" s="17"/>
      <c r="J52" s="17"/>
      <c r="K52" s="17"/>
      <c r="L52" s="17"/>
      <c r="M52" s="17"/>
      <c r="N52" s="17"/>
      <c r="O52" s="17"/>
      <c r="P52" s="17"/>
      <c r="Q52" s="17"/>
      <c r="R52" s="17"/>
      <c r="S52" s="17"/>
      <c r="T52" s="17"/>
      <c r="U52" s="17"/>
      <c r="V52" s="17"/>
    </row>
    <row r="53" spans="4:22">
      <c r="D53" s="17"/>
      <c r="E53" s="17"/>
      <c r="F53" s="17"/>
      <c r="G53" s="17"/>
      <c r="H53" s="17"/>
      <c r="I53" s="17"/>
      <c r="J53" s="17"/>
      <c r="K53" s="17"/>
      <c r="L53" s="17"/>
      <c r="M53" s="17"/>
      <c r="N53" s="17"/>
      <c r="O53" s="17"/>
      <c r="P53" s="17"/>
      <c r="Q53" s="17"/>
      <c r="R53" s="17"/>
      <c r="S53" s="17"/>
      <c r="T53" s="17"/>
      <c r="U53" s="17"/>
      <c r="V53" s="17"/>
    </row>
    <row r="54" spans="4:22">
      <c r="D54" s="17"/>
      <c r="E54" s="17"/>
      <c r="F54" s="17"/>
      <c r="G54" s="17"/>
      <c r="H54" s="17"/>
      <c r="I54" s="17"/>
      <c r="J54" s="17"/>
      <c r="K54" s="17"/>
      <c r="L54" s="17"/>
      <c r="M54" s="17"/>
      <c r="N54" s="17"/>
      <c r="O54" s="17"/>
      <c r="P54" s="17"/>
      <c r="Q54" s="17"/>
      <c r="R54" s="17"/>
      <c r="S54" s="17"/>
      <c r="T54" s="17"/>
      <c r="U54" s="17"/>
      <c r="V54" s="17"/>
    </row>
    <row r="55" spans="4:22">
      <c r="D55" s="17"/>
      <c r="E55" s="17"/>
      <c r="F55" s="17"/>
      <c r="G55" s="17"/>
      <c r="H55" s="17"/>
      <c r="I55" s="17"/>
      <c r="J55" s="17"/>
      <c r="K55" s="17"/>
      <c r="L55" s="17"/>
      <c r="M55" s="17"/>
      <c r="N55" s="17"/>
      <c r="O55" s="17"/>
      <c r="P55" s="17"/>
      <c r="Q55" s="17"/>
      <c r="R55" s="17"/>
      <c r="S55" s="17"/>
      <c r="T55" s="17"/>
      <c r="U55" s="17"/>
      <c r="V55" s="17"/>
    </row>
    <row r="56" spans="4:22">
      <c r="D56" s="17"/>
      <c r="E56" s="17"/>
      <c r="F56" s="17"/>
      <c r="G56" s="17"/>
      <c r="H56" s="17"/>
      <c r="I56" s="17"/>
      <c r="J56" s="17"/>
      <c r="K56" s="17"/>
      <c r="L56" s="17"/>
      <c r="M56" s="17"/>
      <c r="N56" s="17"/>
      <c r="O56" s="17"/>
      <c r="P56" s="17"/>
      <c r="Q56" s="17"/>
      <c r="R56" s="17"/>
      <c r="S56" s="17"/>
      <c r="T56" s="17"/>
      <c r="U56" s="17"/>
      <c r="V56" s="17"/>
    </row>
    <row r="57" spans="4:22">
      <c r="D57" s="17"/>
      <c r="E57" s="17"/>
      <c r="F57" s="17"/>
      <c r="G57" s="17"/>
      <c r="H57" s="17"/>
      <c r="I57" s="17"/>
      <c r="J57" s="17"/>
      <c r="K57" s="17"/>
      <c r="L57" s="17"/>
      <c r="M57" s="17"/>
      <c r="N57" s="17"/>
      <c r="O57" s="17"/>
      <c r="P57" s="17"/>
      <c r="Q57" s="17"/>
      <c r="R57" s="17"/>
      <c r="S57" s="17"/>
      <c r="T57" s="17"/>
      <c r="U57" s="17"/>
      <c r="V57" s="17"/>
    </row>
  </sheetData>
  <customSheetViews>
    <customSheetView guid="{5826E3E6-173D-429F-ABE1-D868EE9E034B}" fitToPage="1" topLeftCell="M1">
      <selection activeCell="V33" sqref="V33"/>
      <pageMargins left="0" right="0" top="0" bottom="0" header="0" footer="0"/>
      <pageSetup paperSize="9" scale="83" orientation="landscape" horizontalDpi="0" verticalDpi="0" r:id="rId1"/>
    </customSheetView>
  </customSheetViews>
  <mergeCells count="2">
    <mergeCell ref="A2:D2"/>
    <mergeCell ref="A3:D3"/>
  </mergeCells>
  <pageMargins left="0.7" right="0.7" top="0.75" bottom="0.75" header="0.3" footer="0.3"/>
  <pageSetup paperSize="9" scale="82" orientation="landscape" horizontalDpi="0" verticalDpi="0"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sheetPr>
  <dimension ref="A1:M73"/>
  <sheetViews>
    <sheetView workbookViewId="0">
      <selection sqref="A1:B1"/>
    </sheetView>
  </sheetViews>
  <sheetFormatPr defaultRowHeight="12.75"/>
  <cols>
    <col min="1" max="1" width="12.5703125" customWidth="1"/>
    <col min="3" max="3" width="11" customWidth="1"/>
    <col min="4" max="4" width="12.28515625" customWidth="1"/>
    <col min="5" max="5" width="10.5703125" customWidth="1"/>
    <col min="6" max="6" width="14.28515625" customWidth="1"/>
    <col min="7" max="7" width="6" customWidth="1"/>
    <col min="8" max="8" width="12.85546875" customWidth="1"/>
    <col min="9" max="9" width="13.85546875" customWidth="1"/>
    <col min="10" max="10" width="9" bestFit="1" customWidth="1"/>
  </cols>
  <sheetData>
    <row r="1" spans="1:13" s="122" customFormat="1" ht="17.25" customHeight="1">
      <c r="A1" s="1512" t="s">
        <v>1244</v>
      </c>
      <c r="B1" s="1512"/>
      <c r="C1" s="652"/>
      <c r="D1" s="652"/>
      <c r="E1" s="652"/>
      <c r="F1" s="652"/>
      <c r="G1" s="652"/>
      <c r="H1" s="652"/>
      <c r="I1" s="652"/>
      <c r="J1" s="652"/>
      <c r="K1" s="652"/>
      <c r="L1" s="776"/>
      <c r="M1" s="776"/>
    </row>
    <row r="2" spans="1:13" s="592" customFormat="1" ht="18">
      <c r="A2" s="652"/>
      <c r="B2" s="674"/>
      <c r="C2" s="672"/>
      <c r="D2" s="672"/>
      <c r="E2" s="652"/>
      <c r="F2" s="652"/>
      <c r="G2" s="652"/>
      <c r="H2" s="652"/>
      <c r="I2" s="652"/>
      <c r="J2" s="652"/>
      <c r="K2" s="652"/>
      <c r="L2" s="776"/>
      <c r="M2" s="776"/>
    </row>
    <row r="3" spans="1:13" ht="18">
      <c r="A3" s="675" t="s">
        <v>153</v>
      </c>
      <c r="B3" s="653" t="s">
        <v>1245</v>
      </c>
      <c r="C3" s="654"/>
      <c r="D3" s="654"/>
      <c r="E3" s="654"/>
      <c r="F3" s="654"/>
      <c r="G3" s="654"/>
      <c r="H3" s="654"/>
      <c r="I3" s="654"/>
      <c r="J3" s="654"/>
      <c r="K3" s="652"/>
      <c r="L3" s="776"/>
      <c r="M3" s="776"/>
    </row>
    <row r="4" spans="1:13" s="592" customFormat="1" ht="18">
      <c r="A4" s="671"/>
      <c r="B4" s="674"/>
      <c r="C4" s="672"/>
      <c r="D4" s="672"/>
      <c r="E4" s="672"/>
      <c r="F4" s="672"/>
      <c r="G4" s="672"/>
      <c r="H4" s="672"/>
      <c r="I4" s="672"/>
      <c r="J4" s="672"/>
      <c r="K4" s="652"/>
      <c r="L4" s="776"/>
      <c r="M4" s="776"/>
    </row>
    <row r="5" spans="1:13" ht="18">
      <c r="A5" s="652"/>
      <c r="B5" s="652" t="s">
        <v>33</v>
      </c>
      <c r="C5" s="652"/>
      <c r="D5" s="655">
        <v>10000</v>
      </c>
      <c r="E5" s="652"/>
      <c r="F5" s="652"/>
      <c r="G5" s="652"/>
      <c r="H5" s="652"/>
      <c r="I5" s="652"/>
      <c r="J5" s="652"/>
      <c r="K5" s="652"/>
      <c r="L5" s="776"/>
      <c r="M5" s="776"/>
    </row>
    <row r="6" spans="1:13" ht="18">
      <c r="A6" s="652"/>
      <c r="B6" s="652" t="s">
        <v>1246</v>
      </c>
      <c r="C6" s="652"/>
      <c r="D6" s="655">
        <v>-6000</v>
      </c>
      <c r="E6" s="652"/>
      <c r="F6" s="652"/>
      <c r="G6" s="652"/>
      <c r="H6" s="652"/>
      <c r="I6" s="652"/>
      <c r="J6" s="652"/>
      <c r="K6" s="652"/>
      <c r="L6" s="776"/>
      <c r="M6" s="776"/>
    </row>
    <row r="7" spans="1:13" ht="18">
      <c r="A7" s="652"/>
      <c r="B7" s="652" t="s">
        <v>60</v>
      </c>
      <c r="C7" s="652"/>
      <c r="D7" s="656">
        <v>-500</v>
      </c>
      <c r="E7" s="652"/>
      <c r="F7" s="652"/>
      <c r="G7" s="652"/>
      <c r="H7" s="652"/>
      <c r="I7" s="652"/>
      <c r="J7" s="652"/>
      <c r="K7" s="652"/>
      <c r="L7" s="776"/>
      <c r="M7" s="776"/>
    </row>
    <row r="8" spans="1:13" ht="18">
      <c r="A8" s="652"/>
      <c r="B8" s="652" t="s">
        <v>555</v>
      </c>
      <c r="C8" s="652"/>
      <c r="D8" s="655">
        <f>SUM(D5:D7)</f>
        <v>3500</v>
      </c>
      <c r="E8" s="652"/>
      <c r="F8" s="652"/>
      <c r="G8" s="652"/>
      <c r="H8" s="652"/>
      <c r="I8" s="652"/>
      <c r="J8" s="652"/>
      <c r="K8" s="652"/>
      <c r="L8" s="776"/>
      <c r="M8" s="776"/>
    </row>
    <row r="9" spans="1:13" ht="18">
      <c r="A9" s="652"/>
      <c r="B9" s="652" t="s">
        <v>145</v>
      </c>
      <c r="C9" s="652"/>
      <c r="D9" s="656">
        <v>-1000</v>
      </c>
      <c r="E9" s="652"/>
      <c r="F9" s="677" t="s">
        <v>505</v>
      </c>
      <c r="G9" s="678">
        <f>-D9/D8</f>
        <v>0.2857142857142857</v>
      </c>
      <c r="H9" s="776"/>
      <c r="I9" s="776"/>
      <c r="J9" s="652"/>
      <c r="K9" s="652"/>
      <c r="L9" s="776"/>
      <c r="M9" s="776"/>
    </row>
    <row r="10" spans="1:13" ht="18">
      <c r="A10" s="652"/>
      <c r="B10" s="658" t="s">
        <v>607</v>
      </c>
      <c r="C10" s="652"/>
      <c r="D10" s="659">
        <f>SUM(D8:D9)</f>
        <v>2500</v>
      </c>
      <c r="E10" s="652"/>
      <c r="F10" s="652"/>
      <c r="G10" s="652"/>
      <c r="H10" s="652"/>
      <c r="I10" s="652"/>
      <c r="J10" s="652"/>
      <c r="K10" s="652"/>
      <c r="L10" s="776"/>
      <c r="M10" s="776"/>
    </row>
    <row r="11" spans="1:13" ht="18">
      <c r="A11" s="652"/>
      <c r="B11" s="652"/>
      <c r="C11" s="652"/>
      <c r="D11" s="655"/>
      <c r="E11" s="652"/>
      <c r="F11" s="652"/>
      <c r="G11" s="652"/>
      <c r="H11" s="652"/>
      <c r="I11" s="652"/>
      <c r="J11" s="652"/>
      <c r="K11" s="652"/>
      <c r="L11" s="776"/>
      <c r="M11" s="776"/>
    </row>
    <row r="12" spans="1:13" ht="18">
      <c r="A12" s="652"/>
      <c r="B12" s="652" t="s">
        <v>1247</v>
      </c>
      <c r="C12" s="652"/>
      <c r="D12" s="669">
        <v>2000</v>
      </c>
      <c r="E12" s="652"/>
      <c r="F12" s="655"/>
      <c r="G12" s="657"/>
      <c r="H12" s="655"/>
      <c r="I12" s="652" t="s">
        <v>1248</v>
      </c>
      <c r="J12" s="660">
        <f>D10/F17</f>
        <v>0.125</v>
      </c>
      <c r="K12" s="652"/>
      <c r="L12" s="776"/>
      <c r="M12" s="776"/>
    </row>
    <row r="13" spans="1:13" ht="18.75" thickBot="1">
      <c r="A13" s="652"/>
      <c r="B13" s="658" t="s">
        <v>658</v>
      </c>
      <c r="C13" s="652"/>
      <c r="D13" s="661">
        <f>D10-D12</f>
        <v>500</v>
      </c>
      <c r="E13" s="652"/>
      <c r="F13" s="655"/>
      <c r="G13" s="652"/>
      <c r="H13" s="655"/>
      <c r="I13" s="652" t="s">
        <v>633</v>
      </c>
      <c r="J13" s="662">
        <f>G17</f>
        <v>0.1</v>
      </c>
      <c r="K13" s="652"/>
      <c r="L13" s="776"/>
      <c r="M13" s="776"/>
    </row>
    <row r="14" spans="1:13" ht="18.75" thickTop="1">
      <c r="A14" s="652"/>
      <c r="B14" s="652"/>
      <c r="C14" s="652"/>
      <c r="D14" s="655"/>
      <c r="E14" s="652"/>
      <c r="F14" s="655"/>
      <c r="G14" s="652"/>
      <c r="H14" s="655"/>
      <c r="I14" s="652" t="s">
        <v>1249</v>
      </c>
      <c r="J14" s="676">
        <f>J12-J13</f>
        <v>2.4999999999999994E-2</v>
      </c>
      <c r="K14" s="652"/>
      <c r="L14" s="776"/>
      <c r="M14" s="36">
        <f>D13/D5</f>
        <v>0.05</v>
      </c>
    </row>
    <row r="15" spans="1:13" ht="18">
      <c r="A15" s="652"/>
      <c r="B15" s="652" t="s">
        <v>1250</v>
      </c>
      <c r="C15" s="652"/>
      <c r="D15" s="655">
        <f>H15</f>
        <v>700.00000000000011</v>
      </c>
      <c r="E15" s="652" t="s">
        <v>556</v>
      </c>
      <c r="F15" s="655">
        <v>10000</v>
      </c>
      <c r="G15" s="663">
        <v>7.0000000000000007E-2</v>
      </c>
      <c r="H15" s="655">
        <f>F15*G15</f>
        <v>700.00000000000011</v>
      </c>
      <c r="I15" s="652"/>
      <c r="J15" s="652"/>
      <c r="K15" s="652"/>
      <c r="L15" s="776"/>
      <c r="M15" s="776"/>
    </row>
    <row r="16" spans="1:13" ht="18">
      <c r="A16" s="652"/>
      <c r="B16" s="652" t="s">
        <v>637</v>
      </c>
      <c r="C16" s="652"/>
      <c r="D16" s="655">
        <f>H16</f>
        <v>1300</v>
      </c>
      <c r="E16" s="652" t="s">
        <v>349</v>
      </c>
      <c r="F16" s="655">
        <v>10000</v>
      </c>
      <c r="G16" s="664">
        <f>H16/F16</f>
        <v>0.13</v>
      </c>
      <c r="H16" s="655">
        <f>H17-H15</f>
        <v>1300</v>
      </c>
      <c r="I16" s="652"/>
      <c r="J16" s="652"/>
      <c r="K16" s="652"/>
      <c r="L16" s="776"/>
      <c r="M16" s="776"/>
    </row>
    <row r="17" spans="1:11" ht="18.75" thickBot="1">
      <c r="A17" s="652"/>
      <c r="B17" s="652"/>
      <c r="C17" s="652"/>
      <c r="D17" s="670">
        <f>SUM(D15:D16)</f>
        <v>2000</v>
      </c>
      <c r="E17" s="658" t="s">
        <v>608</v>
      </c>
      <c r="F17" s="661">
        <f>SUM(F15:F16)</f>
        <v>20000</v>
      </c>
      <c r="G17" s="666">
        <f>((G15*F15)+(F16*G16))/F17</f>
        <v>0.1</v>
      </c>
      <c r="H17" s="670">
        <f>D12</f>
        <v>2000</v>
      </c>
      <c r="I17" s="652"/>
      <c r="J17" s="652"/>
      <c r="K17" s="652"/>
    </row>
    <row r="18" spans="1:11" ht="18.75" thickTop="1">
      <c r="A18" s="652"/>
      <c r="B18" s="672"/>
      <c r="C18" s="672"/>
      <c r="D18" s="672"/>
      <c r="E18" s="672"/>
      <c r="F18" s="655"/>
      <c r="G18" s="673"/>
      <c r="H18" s="655"/>
      <c r="I18" s="672"/>
      <c r="J18" s="672"/>
      <c r="K18" s="652"/>
    </row>
    <row r="19" spans="1:11" s="592" customFormat="1" ht="18">
      <c r="A19" s="652"/>
      <c r="B19" s="672"/>
      <c r="C19" s="672"/>
      <c r="D19" s="672"/>
      <c r="E19" s="672"/>
      <c r="F19" s="655"/>
      <c r="G19" s="673"/>
      <c r="H19" s="655"/>
      <c r="I19" s="672"/>
      <c r="J19" s="672"/>
      <c r="K19" s="652"/>
    </row>
    <row r="20" spans="1:11" ht="18">
      <c r="A20" s="675" t="s">
        <v>154</v>
      </c>
      <c r="B20" s="653" t="s">
        <v>1251</v>
      </c>
      <c r="C20" s="654"/>
      <c r="D20" s="654"/>
      <c r="E20" s="654"/>
      <c r="F20" s="654"/>
      <c r="G20" s="654"/>
      <c r="H20" s="654"/>
      <c r="I20" s="654"/>
      <c r="J20" s="654"/>
      <c r="K20" s="652"/>
    </row>
    <row r="21" spans="1:11" s="592" customFormat="1" ht="18">
      <c r="A21" s="671"/>
      <c r="B21" s="674"/>
      <c r="C21" s="672"/>
      <c r="D21" s="672"/>
      <c r="E21" s="672"/>
      <c r="F21" s="672"/>
      <c r="G21" s="672"/>
      <c r="H21" s="672"/>
      <c r="I21" s="672"/>
      <c r="J21" s="672"/>
      <c r="K21" s="652"/>
    </row>
    <row r="22" spans="1:11" ht="18">
      <c r="A22" s="652"/>
      <c r="B22" s="652" t="s">
        <v>555</v>
      </c>
      <c r="C22" s="652"/>
      <c r="D22" s="667">
        <f>D8</f>
        <v>3500</v>
      </c>
      <c r="E22" s="652"/>
      <c r="F22" s="652" t="s">
        <v>1252</v>
      </c>
      <c r="G22" s="652"/>
      <c r="H22" s="652"/>
      <c r="I22" s="657">
        <f>D26/F16</f>
        <v>0.18</v>
      </c>
      <c r="J22" s="652"/>
      <c r="K22" s="652"/>
    </row>
    <row r="23" spans="1:11" ht="18">
      <c r="A23" s="652"/>
      <c r="B23" s="652" t="s">
        <v>1253</v>
      </c>
      <c r="C23" s="652"/>
      <c r="D23" s="656">
        <f>-D15/(1-G9)</f>
        <v>-980.00000000000011</v>
      </c>
      <c r="E23" s="655"/>
      <c r="F23" s="668"/>
      <c r="G23" s="655"/>
      <c r="H23" s="655"/>
      <c r="I23" s="652"/>
      <c r="J23" s="652"/>
      <c r="K23" s="652"/>
    </row>
    <row r="24" spans="1:11" ht="18">
      <c r="A24" s="652"/>
      <c r="B24" s="652" t="s">
        <v>1254</v>
      </c>
      <c r="C24" s="652"/>
      <c r="D24" s="655">
        <f>SUM(D22:D23)</f>
        <v>2520</v>
      </c>
      <c r="E24" s="655"/>
      <c r="F24" s="652" t="s">
        <v>1255</v>
      </c>
      <c r="G24" s="655"/>
      <c r="H24" s="655"/>
      <c r="I24" s="657">
        <f>D26/F17</f>
        <v>0.09</v>
      </c>
      <c r="J24" s="652"/>
      <c r="K24" s="652"/>
    </row>
    <row r="25" spans="1:11" ht="18">
      <c r="A25" s="652"/>
      <c r="B25" s="652" t="s">
        <v>230</v>
      </c>
      <c r="C25" s="652"/>
      <c r="D25" s="655">
        <f>-G9*D24</f>
        <v>-720</v>
      </c>
      <c r="E25" s="655"/>
      <c r="F25" s="655"/>
      <c r="G25" s="655"/>
      <c r="H25" s="655"/>
      <c r="I25" s="652"/>
      <c r="J25" s="652"/>
      <c r="K25" s="652"/>
    </row>
    <row r="26" spans="1:11" ht="18.75" thickBot="1">
      <c r="A26" s="652"/>
      <c r="B26" s="652" t="s">
        <v>1256</v>
      </c>
      <c r="C26" s="652"/>
      <c r="D26" s="665">
        <f>SUM(D24:D25)</f>
        <v>1800</v>
      </c>
      <c r="E26" s="655"/>
      <c r="F26" s="655" t="s">
        <v>1257</v>
      </c>
      <c r="G26" s="655"/>
      <c r="H26" s="655"/>
      <c r="I26" s="679"/>
      <c r="J26" s="652"/>
      <c r="K26" s="652"/>
    </row>
    <row r="27" spans="1:11" ht="18.75" thickTop="1">
      <c r="A27" s="652"/>
      <c r="B27" s="654"/>
      <c r="C27" s="654"/>
      <c r="D27" s="656"/>
      <c r="E27" s="656"/>
      <c r="F27" s="656"/>
      <c r="G27" s="656"/>
      <c r="H27" s="656"/>
      <c r="I27" s="654"/>
      <c r="J27" s="654"/>
      <c r="K27" s="652"/>
    </row>
    <row r="28" spans="1:11" ht="18">
      <c r="A28" s="652"/>
      <c r="B28" s="652"/>
      <c r="C28" s="652"/>
      <c r="D28" s="655"/>
      <c r="E28" s="655"/>
      <c r="F28" s="655"/>
      <c r="G28" s="655"/>
      <c r="H28" s="655"/>
      <c r="I28" s="652"/>
      <c r="J28" s="652"/>
      <c r="K28" s="652"/>
    </row>
    <row r="29" spans="1:11">
      <c r="A29" s="776"/>
      <c r="B29" s="776"/>
      <c r="C29" s="776"/>
      <c r="D29" s="11"/>
      <c r="E29" s="11"/>
      <c r="F29" s="11"/>
      <c r="G29" s="11"/>
      <c r="H29" s="11"/>
      <c r="I29" s="776"/>
      <c r="J29" s="776"/>
      <c r="K29" s="776"/>
    </row>
    <row r="30" spans="1:11">
      <c r="A30" s="776"/>
      <c r="B30" s="776"/>
      <c r="C30" s="776"/>
      <c r="D30" s="776"/>
      <c r="E30" s="11"/>
      <c r="F30" s="11"/>
      <c r="G30" s="11"/>
      <c r="H30" s="11"/>
      <c r="I30" s="776"/>
      <c r="J30" s="776"/>
      <c r="K30" s="776"/>
    </row>
    <row r="31" spans="1:11">
      <c r="A31" s="776"/>
      <c r="B31" s="776"/>
      <c r="C31" s="776"/>
      <c r="D31" s="776"/>
      <c r="E31" s="11"/>
      <c r="F31" s="11"/>
      <c r="G31" s="11"/>
      <c r="H31" s="11"/>
      <c r="I31" s="776"/>
      <c r="J31" s="776"/>
      <c r="K31" s="776"/>
    </row>
    <row r="32" spans="1:11">
      <c r="A32" s="776"/>
      <c r="B32" s="776"/>
      <c r="C32" s="776"/>
      <c r="D32" s="776"/>
      <c r="E32" s="11"/>
      <c r="F32" s="11"/>
      <c r="G32" s="11"/>
      <c r="H32" s="11"/>
      <c r="I32" s="776"/>
      <c r="J32" s="776"/>
      <c r="K32" s="776"/>
    </row>
    <row r="33" spans="5:8">
      <c r="E33" s="11"/>
      <c r="F33" s="11"/>
      <c r="G33" s="11"/>
      <c r="H33" s="11"/>
    </row>
    <row r="34" spans="5:8">
      <c r="E34" s="10"/>
      <c r="F34" s="10"/>
      <c r="G34" s="10"/>
      <c r="H34" s="10"/>
    </row>
    <row r="37" spans="5:8" s="123" customFormat="1">
      <c r="E37" s="776"/>
      <c r="F37" s="776"/>
      <c r="G37" s="776"/>
      <c r="H37" s="776"/>
    </row>
    <row r="38" spans="5:8" s="123" customFormat="1">
      <c r="E38" s="776"/>
      <c r="F38" s="776"/>
      <c r="G38" s="776"/>
      <c r="H38" s="776"/>
    </row>
    <row r="39" spans="5:8" s="123" customFormat="1">
      <c r="E39" s="776"/>
      <c r="F39" s="776"/>
      <c r="G39" s="776"/>
      <c r="H39" s="776"/>
    </row>
    <row r="47" spans="5:8" s="123" customFormat="1">
      <c r="E47" s="776"/>
      <c r="F47" s="776"/>
      <c r="G47" s="776"/>
      <c r="H47" s="776"/>
    </row>
    <row r="48" spans="5:8" s="123" customFormat="1">
      <c r="E48" s="776"/>
      <c r="F48" s="776"/>
      <c r="G48" s="776"/>
      <c r="H48" s="776"/>
    </row>
    <row r="49" spans="4:4" s="123" customFormat="1">
      <c r="D49" s="776"/>
    </row>
    <row r="50" spans="4:4" s="123" customFormat="1">
      <c r="D50" s="776"/>
    </row>
    <row r="58" spans="4:4" s="123" customFormat="1">
      <c r="D58" s="776"/>
    </row>
    <row r="59" spans="4:4" s="123" customFormat="1">
      <c r="D59" s="776"/>
    </row>
    <row r="60" spans="4:4" s="123" customFormat="1">
      <c r="D60" s="776"/>
    </row>
    <row r="61" spans="4:4" s="123" customFormat="1">
      <c r="D61" s="776"/>
    </row>
    <row r="62" spans="4:4">
      <c r="D62" s="776"/>
    </row>
    <row r="69" spans="4:4" s="123" customFormat="1">
      <c r="D69" s="776"/>
    </row>
    <row r="70" spans="4:4" s="123" customFormat="1">
      <c r="D70" s="776"/>
    </row>
    <row r="71" spans="4:4" s="123" customFormat="1">
      <c r="D71" s="776"/>
    </row>
    <row r="72" spans="4:4" s="123" customFormat="1">
      <c r="D72" s="776"/>
    </row>
    <row r="73" spans="4:4">
      <c r="D73" s="776"/>
    </row>
  </sheetData>
  <customSheetViews>
    <customSheetView guid="{5826E3E6-173D-429F-ABE1-D868EE9E034B}" scale="121" topLeftCell="D1">
      <selection activeCell="L27" sqref="L27"/>
      <pageMargins left="0" right="0" top="0" bottom="0" header="0" footer="0"/>
      <pageSetup paperSize="9" orientation="landscape" horizontalDpi="0" verticalDpi="0" r:id="rId1"/>
    </customSheetView>
  </customSheetViews>
  <mergeCells count="1">
    <mergeCell ref="A1:B1"/>
  </mergeCells>
  <pageMargins left="0.7" right="0.7" top="0.75" bottom="0.75" header="0.3" footer="0.3"/>
  <pageSetup paperSize="9" orientation="landscape" horizontalDpi="0" verticalDpi="0"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3:M35"/>
  <sheetViews>
    <sheetView workbookViewId="0"/>
  </sheetViews>
  <sheetFormatPr defaultRowHeight="12.75"/>
  <cols>
    <col min="1" max="1" width="3" customWidth="1"/>
    <col min="2" max="2" width="6" customWidth="1"/>
    <col min="3" max="3" width="31.5703125" customWidth="1"/>
    <col min="13" max="13" width="13.5703125" style="24" bestFit="1" customWidth="1"/>
  </cols>
  <sheetData>
    <row r="3" spans="2:3" s="124" customFormat="1">
      <c r="B3" s="776"/>
      <c r="C3" s="776"/>
    </row>
    <row r="4" spans="2:3">
      <c r="B4" s="776"/>
      <c r="C4" s="776"/>
    </row>
    <row r="5" spans="2:3">
      <c r="B5" s="776"/>
      <c r="C5" s="47" t="s">
        <v>1258</v>
      </c>
    </row>
    <row r="6" spans="2:3">
      <c r="B6" s="776"/>
      <c r="C6" s="113"/>
    </row>
    <row r="7" spans="2:3">
      <c r="B7" s="776"/>
      <c r="C7" s="61">
        <v>42352</v>
      </c>
    </row>
    <row r="8" spans="2:3">
      <c r="B8" s="776"/>
      <c r="C8" s="776" t="s">
        <v>1259</v>
      </c>
    </row>
    <row r="9" spans="2:3">
      <c r="B9" s="776"/>
      <c r="C9" s="776"/>
    </row>
    <row r="10" spans="2:3">
      <c r="B10" s="776"/>
      <c r="C10" s="1" t="s">
        <v>1260</v>
      </c>
    </row>
    <row r="11" spans="2:3" s="118" customFormat="1">
      <c r="B11" s="4"/>
      <c r="C11" s="4"/>
    </row>
    <row r="12" spans="2:3" s="118" customFormat="1">
      <c r="B12" s="3" t="s">
        <v>19</v>
      </c>
      <c r="C12" s="776" t="s">
        <v>1261</v>
      </c>
    </row>
    <row r="13" spans="2:3" s="118" customFormat="1">
      <c r="B13" s="3" t="s">
        <v>610</v>
      </c>
      <c r="C13" s="776" t="s">
        <v>1262</v>
      </c>
    </row>
    <row r="14" spans="2:3" s="118" customFormat="1">
      <c r="B14" s="3"/>
      <c r="C14" s="776"/>
    </row>
    <row r="15" spans="2:3">
      <c r="B15" s="4"/>
      <c r="C15" s="4"/>
    </row>
    <row r="16" spans="2:3">
      <c r="B16" s="776">
        <v>1</v>
      </c>
      <c r="C16" s="776" t="s">
        <v>1263</v>
      </c>
    </row>
    <row r="17" spans="2:3">
      <c r="B17" s="776">
        <f t="shared" ref="B17:B34" si="0">B16+1</f>
        <v>2</v>
      </c>
      <c r="C17" s="776" t="s">
        <v>1264</v>
      </c>
    </row>
    <row r="18" spans="2:3">
      <c r="B18" s="776">
        <f t="shared" si="0"/>
        <v>3</v>
      </c>
      <c r="C18" s="776" t="s">
        <v>1265</v>
      </c>
    </row>
    <row r="19" spans="2:3">
      <c r="B19" s="776">
        <f t="shared" si="0"/>
        <v>4</v>
      </c>
      <c r="C19" s="776" t="s">
        <v>1266</v>
      </c>
    </row>
    <row r="20" spans="2:3">
      <c r="B20" s="776">
        <f t="shared" si="0"/>
        <v>5</v>
      </c>
      <c r="C20" s="776" t="s">
        <v>1267</v>
      </c>
    </row>
    <row r="21" spans="2:3">
      <c r="B21" s="776">
        <f t="shared" si="0"/>
        <v>6</v>
      </c>
      <c r="C21" s="776" t="s">
        <v>1268</v>
      </c>
    </row>
    <row r="22" spans="2:3">
      <c r="B22" s="776">
        <f t="shared" si="0"/>
        <v>7</v>
      </c>
      <c r="C22" s="776" t="s">
        <v>1269</v>
      </c>
    </row>
    <row r="23" spans="2:3">
      <c r="B23" s="776">
        <f t="shared" si="0"/>
        <v>8</v>
      </c>
      <c r="C23" s="776" t="s">
        <v>1270</v>
      </c>
    </row>
    <row r="24" spans="2:3">
      <c r="B24" s="776">
        <f t="shared" si="0"/>
        <v>9</v>
      </c>
      <c r="C24" s="776" t="s">
        <v>1271</v>
      </c>
    </row>
    <row r="25" spans="2:3">
      <c r="B25" s="776">
        <f t="shared" si="0"/>
        <v>10</v>
      </c>
      <c r="C25" s="776" t="s">
        <v>1272</v>
      </c>
    </row>
    <row r="26" spans="2:3">
      <c r="B26" s="776">
        <f t="shared" si="0"/>
        <v>11</v>
      </c>
      <c r="C26" s="776" t="s">
        <v>1273</v>
      </c>
    </row>
    <row r="27" spans="2:3">
      <c r="B27" s="776">
        <f t="shared" si="0"/>
        <v>12</v>
      </c>
      <c r="C27" s="776" t="s">
        <v>1274</v>
      </c>
    </row>
    <row r="28" spans="2:3">
      <c r="B28" s="776">
        <f t="shared" si="0"/>
        <v>13</v>
      </c>
      <c r="C28" s="776" t="s">
        <v>1275</v>
      </c>
    </row>
    <row r="29" spans="2:3">
      <c r="B29" s="776">
        <f t="shared" si="0"/>
        <v>14</v>
      </c>
      <c r="C29" s="776" t="s">
        <v>1276</v>
      </c>
    </row>
    <row r="30" spans="2:3">
      <c r="B30" s="776">
        <f t="shared" si="0"/>
        <v>15</v>
      </c>
      <c r="C30" s="776" t="s">
        <v>1277</v>
      </c>
    </row>
    <row r="31" spans="2:3">
      <c r="B31" s="776">
        <f t="shared" si="0"/>
        <v>16</v>
      </c>
      <c r="C31" s="776" t="s">
        <v>1278</v>
      </c>
    </row>
    <row r="32" spans="2:3">
      <c r="B32" s="776">
        <f t="shared" si="0"/>
        <v>17</v>
      </c>
      <c r="C32" s="776" t="s">
        <v>1279</v>
      </c>
    </row>
    <row r="33" spans="2:3">
      <c r="B33" s="776">
        <f t="shared" si="0"/>
        <v>18</v>
      </c>
      <c r="C33" s="776" t="s">
        <v>1280</v>
      </c>
    </row>
    <row r="34" spans="2:3">
      <c r="B34" s="776">
        <f t="shared" si="0"/>
        <v>19</v>
      </c>
      <c r="C34" s="776" t="s">
        <v>1281</v>
      </c>
    </row>
    <row r="35" spans="2:3">
      <c r="B35" s="4"/>
      <c r="C35" s="4"/>
    </row>
  </sheetData>
  <customSheetViews>
    <customSheetView guid="{5826E3E6-173D-429F-ABE1-D868EE9E034B}" fitToPage="1" topLeftCell="A7">
      <selection activeCell="J23" sqref="J22:J23"/>
      <pageMargins left="0" right="0" top="0" bottom="0" header="0" footer="0"/>
      <pageSetup paperSize="9" orientation="portrait" horizontalDpi="0" verticalDpi="0" r:id="rId1"/>
    </customSheetView>
  </customSheetViews>
  <pageMargins left="0.7" right="0.7" top="0.75" bottom="0.75" header="0.3" footer="0.3"/>
  <pageSetup paperSize="9" orientation="portrait" horizontalDpi="0"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R813"/>
  <sheetViews>
    <sheetView topLeftCell="A50" zoomScaleNormal="100" workbookViewId="0">
      <selection activeCell="E69" sqref="E69:H69"/>
    </sheetView>
  </sheetViews>
  <sheetFormatPr defaultColWidth="9.5703125" defaultRowHeight="12.75"/>
  <cols>
    <col min="1" max="1" width="2.7109375" customWidth="1"/>
    <col min="2" max="2" width="4.28515625" customWidth="1"/>
    <col min="3" max="3" width="9" customWidth="1"/>
    <col min="4" max="4" width="19.7109375" customWidth="1"/>
    <col min="5" max="5" width="4" style="776" customWidth="1"/>
    <col min="6" max="6" width="14.42578125" bestFit="1" customWidth="1"/>
    <col min="7" max="13" width="8.85546875" customWidth="1"/>
    <col min="14" max="14" width="8.85546875" style="776" customWidth="1"/>
    <col min="15" max="15" width="8.85546875" style="592" customWidth="1"/>
    <col min="16" max="16" width="8.85546875" customWidth="1"/>
    <col min="17" max="17" width="8.85546875" style="161" customWidth="1"/>
    <col min="18" max="28" width="8.85546875" customWidth="1"/>
    <col min="29" max="29" width="8.5703125" bestFit="1" customWidth="1"/>
    <col min="31" max="31" width="11.28515625" customWidth="1"/>
  </cols>
  <sheetData>
    <row r="1" spans="1:40" s="776" customFormat="1" ht="19.899999999999999" customHeight="1">
      <c r="A1" s="904" t="s">
        <v>0</v>
      </c>
      <c r="B1" s="904"/>
      <c r="C1" s="904"/>
      <c r="D1" s="904"/>
      <c r="E1" s="1439" t="s">
        <v>1407</v>
      </c>
      <c r="F1" s="1440"/>
      <c r="G1" s="1440"/>
      <c r="H1" s="1440"/>
      <c r="I1" s="38"/>
      <c r="J1" s="38"/>
      <c r="K1" s="38"/>
      <c r="L1" s="38"/>
      <c r="M1" s="1219"/>
      <c r="N1" s="1219"/>
      <c r="O1" s="914"/>
      <c r="P1" s="1220"/>
      <c r="Q1" s="1168"/>
      <c r="R1" s="1221"/>
      <c r="S1" s="1168"/>
      <c r="T1" s="1168"/>
      <c r="U1" s="1168"/>
      <c r="V1" s="1375"/>
      <c r="W1" s="1429" t="s">
        <v>30</v>
      </c>
      <c r="X1" s="1429"/>
      <c r="Y1" s="1429"/>
      <c r="Z1" s="1429"/>
      <c r="AA1" s="1429"/>
      <c r="AB1" s="1380">
        <v>2.1</v>
      </c>
    </row>
    <row r="2" spans="1:40" s="776" customFormat="1">
      <c r="A2" s="806" t="s">
        <v>30</v>
      </c>
      <c r="B2" s="917"/>
      <c r="C2" s="917"/>
      <c r="D2" s="917"/>
      <c r="E2" s="242"/>
      <c r="F2" s="69">
        <v>0</v>
      </c>
      <c r="G2" s="69">
        <f t="shared" ref="G2:N3" si="0">F2+1</f>
        <v>1</v>
      </c>
      <c r="H2" s="69">
        <f t="shared" si="0"/>
        <v>2</v>
      </c>
      <c r="I2" s="69">
        <f t="shared" si="0"/>
        <v>3</v>
      </c>
      <c r="J2" s="73">
        <f t="shared" si="0"/>
        <v>4</v>
      </c>
      <c r="K2" s="69">
        <f t="shared" si="0"/>
        <v>5</v>
      </c>
      <c r="L2" s="69">
        <f t="shared" si="0"/>
        <v>6</v>
      </c>
      <c r="M2" s="69">
        <f t="shared" si="0"/>
        <v>7</v>
      </c>
      <c r="N2" s="69">
        <f t="shared" si="0"/>
        <v>8</v>
      </c>
      <c r="O2" s="69">
        <f t="shared" ref="O2" si="1">N2+1</f>
        <v>9</v>
      </c>
      <c r="P2" s="69">
        <f t="shared" ref="P2:P3" si="2">O2+1</f>
        <v>10</v>
      </c>
      <c r="Q2" s="69">
        <f t="shared" ref="Q2:Q3" si="3">P2+1</f>
        <v>11</v>
      </c>
      <c r="R2" s="69">
        <f t="shared" ref="R2:R3" si="4">Q2+1</f>
        <v>12</v>
      </c>
      <c r="S2" s="69">
        <f t="shared" ref="S2:S3" si="5">R2+1</f>
        <v>13</v>
      </c>
      <c r="T2" s="69">
        <f t="shared" ref="T2:T3" si="6">S2+1</f>
        <v>14</v>
      </c>
      <c r="U2" s="69">
        <f t="shared" ref="U2:U3" si="7">T2+1</f>
        <v>15</v>
      </c>
      <c r="V2" s="69">
        <f t="shared" ref="V2:V3" si="8">U2+1</f>
        <v>16</v>
      </c>
      <c r="W2" s="69">
        <f t="shared" ref="W2:W3" si="9">V2+1</f>
        <v>17</v>
      </c>
      <c r="X2" s="69">
        <f t="shared" ref="X2:X3" si="10">W2+1</f>
        <v>18</v>
      </c>
      <c r="Y2" s="69">
        <f t="shared" ref="Y2:Y3" si="11">X2+1</f>
        <v>19</v>
      </c>
      <c r="Z2" s="69">
        <f t="shared" ref="Z2:Z3" si="12">Y2+1</f>
        <v>20</v>
      </c>
      <c r="AA2" s="69">
        <f t="shared" ref="AA2:AB3" si="13">Z2+1</f>
        <v>21</v>
      </c>
      <c r="AB2" s="69">
        <f t="shared" si="13"/>
        <v>22</v>
      </c>
      <c r="AC2" s="52"/>
    </row>
    <row r="3" spans="1:40" s="776" customFormat="1">
      <c r="A3" s="52" t="s">
        <v>31</v>
      </c>
      <c r="D3" s="1266" t="s">
        <v>32</v>
      </c>
      <c r="E3" s="1266" t="s">
        <v>3</v>
      </c>
      <c r="F3" s="1202">
        <v>1999</v>
      </c>
      <c r="G3" s="1202">
        <f t="shared" si="0"/>
        <v>2000</v>
      </c>
      <c r="H3" s="1202">
        <f t="shared" si="0"/>
        <v>2001</v>
      </c>
      <c r="I3" s="1202">
        <f t="shared" si="0"/>
        <v>2002</v>
      </c>
      <c r="J3" s="1202">
        <f t="shared" si="0"/>
        <v>2003</v>
      </c>
      <c r="K3" s="1202">
        <f t="shared" si="0"/>
        <v>2004</v>
      </c>
      <c r="L3" s="1202">
        <f t="shared" si="0"/>
        <v>2005</v>
      </c>
      <c r="M3" s="1202">
        <f t="shared" si="0"/>
        <v>2006</v>
      </c>
      <c r="N3" s="1202">
        <v>2007</v>
      </c>
      <c r="O3" s="1202">
        <f>N3+1</f>
        <v>2008</v>
      </c>
      <c r="P3" s="1202">
        <f t="shared" si="2"/>
        <v>2009</v>
      </c>
      <c r="Q3" s="1202">
        <f t="shared" si="3"/>
        <v>2010</v>
      </c>
      <c r="R3" s="1202">
        <f t="shared" si="4"/>
        <v>2011</v>
      </c>
      <c r="S3" s="1202">
        <f t="shared" si="5"/>
        <v>2012</v>
      </c>
      <c r="T3" s="1202">
        <f t="shared" si="6"/>
        <v>2013</v>
      </c>
      <c r="U3" s="1202">
        <f t="shared" si="7"/>
        <v>2014</v>
      </c>
      <c r="V3" s="1202">
        <f t="shared" si="8"/>
        <v>2015</v>
      </c>
      <c r="W3" s="1202">
        <f t="shared" si="9"/>
        <v>2016</v>
      </c>
      <c r="X3" s="1202">
        <f t="shared" si="10"/>
        <v>2017</v>
      </c>
      <c r="Y3" s="1202">
        <f t="shared" si="11"/>
        <v>2018</v>
      </c>
      <c r="Z3" s="1202">
        <f t="shared" si="12"/>
        <v>2019</v>
      </c>
      <c r="AA3" s="1202">
        <f t="shared" si="13"/>
        <v>2020</v>
      </c>
      <c r="AB3" s="1202">
        <f t="shared" si="13"/>
        <v>2021</v>
      </c>
      <c r="AC3" s="52"/>
    </row>
    <row r="4" spans="1:40">
      <c r="A4" s="918" t="s">
        <v>33</v>
      </c>
      <c r="B4" s="67"/>
      <c r="C4" s="67"/>
      <c r="D4" s="892"/>
      <c r="E4" s="793"/>
      <c r="F4" s="889" t="s">
        <v>34</v>
      </c>
      <c r="G4" s="889"/>
      <c r="H4" s="889"/>
      <c r="I4" s="889"/>
      <c r="J4" s="889"/>
      <c r="K4" s="889"/>
      <c r="L4" s="888" t="s">
        <v>35</v>
      </c>
      <c r="M4" s="889" t="s">
        <v>36</v>
      </c>
      <c r="N4" s="889" t="s">
        <v>37</v>
      </c>
      <c r="O4" s="889" t="s">
        <v>37</v>
      </c>
      <c r="P4" s="889"/>
      <c r="Q4" s="889"/>
      <c r="R4" s="889"/>
      <c r="S4" s="889"/>
      <c r="T4" s="889" t="s">
        <v>38</v>
      </c>
      <c r="U4" s="889"/>
      <c r="V4" s="889" t="s">
        <v>39</v>
      </c>
      <c r="W4" s="889"/>
      <c r="X4" s="889" t="s">
        <v>40</v>
      </c>
      <c r="Y4" s="889"/>
      <c r="Z4" s="889"/>
      <c r="AA4" s="892"/>
      <c r="AB4" s="892"/>
      <c r="AC4" s="793"/>
      <c r="AD4" s="793"/>
      <c r="AE4" s="793"/>
      <c r="AF4" s="793"/>
      <c r="AG4" s="793"/>
      <c r="AH4" s="11"/>
      <c r="AI4" s="11"/>
      <c r="AJ4" s="11"/>
      <c r="AK4" s="11"/>
      <c r="AL4" s="11"/>
      <c r="AM4" s="11"/>
      <c r="AN4" s="11"/>
    </row>
    <row r="5" spans="1:40" s="592" customFormat="1">
      <c r="A5" s="52"/>
      <c r="B5" s="52" t="s">
        <v>41</v>
      </c>
      <c r="C5" s="52"/>
      <c r="D5" s="793"/>
      <c r="E5" s="793"/>
      <c r="F5" s="793">
        <v>138295</v>
      </c>
      <c r="G5" s="793">
        <v>570280</v>
      </c>
      <c r="H5" s="793">
        <v>768095</v>
      </c>
      <c r="I5" s="793">
        <v>1121171</v>
      </c>
      <c r="J5" s="793">
        <v>1361241</v>
      </c>
      <c r="K5" s="793">
        <v>1297154</v>
      </c>
      <c r="L5" s="793">
        <v>1642774</v>
      </c>
      <c r="M5" s="793">
        <v>2176848</v>
      </c>
      <c r="N5" s="793">
        <v>1771174</v>
      </c>
      <c r="O5" s="793">
        <v>2578128</v>
      </c>
      <c r="P5" s="793">
        <v>1865340</v>
      </c>
      <c r="Q5" s="793">
        <v>2023136</v>
      </c>
      <c r="R5" s="793">
        <v>2010432</v>
      </c>
      <c r="S5" s="793">
        <v>2542900</v>
      </c>
      <c r="T5" s="793">
        <v>2681500</v>
      </c>
      <c r="U5" s="793">
        <v>2481500</v>
      </c>
      <c r="V5" s="793">
        <v>1416000</v>
      </c>
      <c r="W5" s="793">
        <v>1500000</v>
      </c>
      <c r="X5" s="793">
        <v>1526000</v>
      </c>
      <c r="Y5" s="793">
        <v>1652000</v>
      </c>
      <c r="Z5" s="793">
        <v>1773000</v>
      </c>
      <c r="AA5" s="793">
        <v>1994000</v>
      </c>
      <c r="AB5" s="793">
        <v>2165000</v>
      </c>
      <c r="AC5" s="793"/>
      <c r="AD5" s="793"/>
      <c r="AE5" s="793"/>
      <c r="AF5" s="793"/>
      <c r="AG5" s="793"/>
      <c r="AH5" s="11"/>
      <c r="AI5" s="11"/>
      <c r="AJ5" s="11"/>
      <c r="AK5" s="11"/>
      <c r="AL5" s="11"/>
      <c r="AM5" s="11"/>
      <c r="AN5" s="11"/>
    </row>
    <row r="6" spans="1:40" s="592" customFormat="1">
      <c r="A6" s="52"/>
      <c r="B6" s="52" t="s">
        <v>42</v>
      </c>
      <c r="C6" s="52"/>
      <c r="D6" s="793"/>
      <c r="E6" s="793"/>
      <c r="F6" s="793"/>
      <c r="G6" s="793"/>
      <c r="H6" s="793"/>
      <c r="I6" s="793"/>
      <c r="J6" s="793"/>
      <c r="K6" s="793"/>
      <c r="L6" s="793"/>
      <c r="M6" s="793"/>
      <c r="N6" s="793">
        <v>0</v>
      </c>
      <c r="O6" s="793">
        <v>0</v>
      </c>
      <c r="P6" s="793">
        <v>0</v>
      </c>
      <c r="Q6" s="793">
        <v>0</v>
      </c>
      <c r="R6" s="793">
        <v>0</v>
      </c>
      <c r="S6" s="793">
        <v>0</v>
      </c>
      <c r="T6" s="793">
        <v>0</v>
      </c>
      <c r="U6" s="793">
        <v>0</v>
      </c>
      <c r="V6" s="793">
        <v>962000</v>
      </c>
      <c r="W6" s="793">
        <v>858000</v>
      </c>
      <c r="X6" s="793">
        <v>775000</v>
      </c>
      <c r="Y6" s="793">
        <v>1088000</v>
      </c>
      <c r="Z6" s="793">
        <v>1693000</v>
      </c>
      <c r="AA6" s="793">
        <v>1384000</v>
      </c>
      <c r="AB6" s="793">
        <v>2102000</v>
      </c>
      <c r="AC6" s="793"/>
      <c r="AD6" s="793"/>
      <c r="AE6" s="793"/>
      <c r="AF6" s="793"/>
      <c r="AG6" s="793"/>
      <c r="AH6" s="11"/>
      <c r="AI6" s="11"/>
      <c r="AJ6" s="11"/>
      <c r="AK6" s="11"/>
      <c r="AL6" s="11"/>
      <c r="AM6" s="11"/>
      <c r="AN6" s="11"/>
    </row>
    <row r="7" spans="1:40" s="592" customFormat="1">
      <c r="A7" s="52"/>
      <c r="B7" s="52" t="s">
        <v>43</v>
      </c>
      <c r="C7" s="52"/>
      <c r="D7" s="793"/>
      <c r="E7" s="793"/>
      <c r="F7" s="793"/>
      <c r="G7" s="793"/>
      <c r="H7" s="793"/>
      <c r="I7" s="793"/>
      <c r="J7" s="793"/>
      <c r="K7" s="793"/>
      <c r="L7" s="793"/>
      <c r="M7" s="793"/>
      <c r="N7" s="793">
        <v>5393</v>
      </c>
      <c r="O7" s="793">
        <v>5511</v>
      </c>
      <c r="P7" s="793">
        <v>6595</v>
      </c>
      <c r="Q7" s="793">
        <v>16463</v>
      </c>
      <c r="R7" s="793">
        <v>22284</v>
      </c>
      <c r="S7" s="793">
        <v>11100</v>
      </c>
      <c r="T7" s="793">
        <v>13300</v>
      </c>
      <c r="U7" s="793">
        <v>15800</v>
      </c>
      <c r="V7" s="793">
        <v>14000</v>
      </c>
      <c r="W7" s="793">
        <v>11000</v>
      </c>
      <c r="X7" s="793">
        <v>9000</v>
      </c>
      <c r="Y7" s="793">
        <v>7000</v>
      </c>
      <c r="Z7" s="793">
        <v>8000</v>
      </c>
      <c r="AA7" s="793">
        <v>10000</v>
      </c>
      <c r="AB7" s="793">
        <v>10000</v>
      </c>
      <c r="AC7" s="793"/>
      <c r="AD7" s="793"/>
      <c r="AE7" s="793"/>
      <c r="AF7" s="793"/>
      <c r="AG7" s="793"/>
      <c r="AH7" s="11"/>
      <c r="AI7" s="11"/>
      <c r="AJ7" s="11"/>
      <c r="AK7" s="11"/>
      <c r="AL7" s="11"/>
      <c r="AM7" s="11"/>
      <c r="AN7" s="11"/>
    </row>
    <row r="8" spans="1:40" s="776" customFormat="1">
      <c r="A8" s="52"/>
      <c r="B8" s="52" t="s">
        <v>28</v>
      </c>
      <c r="C8" s="52"/>
      <c r="D8" s="793"/>
      <c r="E8" s="793"/>
      <c r="F8" s="793">
        <v>478</v>
      </c>
      <c r="G8" s="793">
        <v>3476</v>
      </c>
      <c r="H8" s="793">
        <v>3830</v>
      </c>
      <c r="I8" s="793">
        <v>4373</v>
      </c>
      <c r="J8" s="793">
        <v>4128</v>
      </c>
      <c r="K8" s="793">
        <v>4289</v>
      </c>
      <c r="L8" s="793">
        <v>5541</v>
      </c>
      <c r="M8" s="793">
        <v>6459</v>
      </c>
      <c r="N8" s="793">
        <v>14155</v>
      </c>
      <c r="O8" s="793">
        <v>19844</v>
      </c>
      <c r="P8" s="793">
        <v>20500</v>
      </c>
      <c r="Q8" s="793">
        <v>22306</v>
      </c>
      <c r="R8" s="793">
        <v>20238</v>
      </c>
      <c r="S8" s="793">
        <v>16000</v>
      </c>
      <c r="T8" s="793">
        <v>16300</v>
      </c>
      <c r="U8" s="793">
        <v>11500</v>
      </c>
      <c r="V8" s="793">
        <v>11000</v>
      </c>
      <c r="W8" s="793">
        <v>6000</v>
      </c>
      <c r="X8" s="793">
        <v>10000</v>
      </c>
      <c r="Y8" s="793">
        <v>15000</v>
      </c>
      <c r="Z8" s="793">
        <v>17000</v>
      </c>
      <c r="AA8" s="793">
        <v>17000</v>
      </c>
      <c r="AB8" s="793">
        <v>19000</v>
      </c>
      <c r="AC8" s="793"/>
      <c r="AD8" s="793"/>
      <c r="AE8" s="793"/>
      <c r="AF8" s="793"/>
      <c r="AG8" s="793"/>
      <c r="AH8" s="11"/>
      <c r="AI8" s="11"/>
      <c r="AJ8" s="11"/>
      <c r="AK8" s="11"/>
      <c r="AL8" s="11"/>
      <c r="AM8" s="11"/>
      <c r="AN8" s="11"/>
    </row>
    <row r="9" spans="1:40" s="776" customFormat="1">
      <c r="A9" s="52"/>
      <c r="B9" s="52" t="s">
        <v>44</v>
      </c>
      <c r="C9" s="52"/>
      <c r="D9" s="793"/>
      <c r="E9" s="793"/>
      <c r="F9" s="793"/>
      <c r="G9" s="793">
        <v>600</v>
      </c>
      <c r="H9" s="793">
        <v>73</v>
      </c>
      <c r="I9" s="793">
        <v>48</v>
      </c>
      <c r="J9" s="793">
        <v>92</v>
      </c>
      <c r="K9" s="793">
        <v>22</v>
      </c>
      <c r="L9" s="793">
        <v>740</v>
      </c>
      <c r="M9" s="793">
        <v>0</v>
      </c>
      <c r="N9" s="793">
        <v>0</v>
      </c>
      <c r="O9" s="793">
        <v>0</v>
      </c>
      <c r="P9" s="793">
        <v>0</v>
      </c>
      <c r="Q9" s="793">
        <v>0</v>
      </c>
      <c r="R9" s="793">
        <v>0</v>
      </c>
      <c r="S9" s="793">
        <v>0</v>
      </c>
      <c r="T9" s="793">
        <v>0</v>
      </c>
      <c r="U9" s="793">
        <v>0</v>
      </c>
      <c r="V9" s="793">
        <v>0</v>
      </c>
      <c r="W9" s="793">
        <v>0</v>
      </c>
      <c r="X9" s="793">
        <v>0</v>
      </c>
      <c r="Y9" s="793">
        <v>0</v>
      </c>
      <c r="Z9" s="793">
        <v>0</v>
      </c>
      <c r="AA9" s="793"/>
      <c r="AB9" s="793"/>
      <c r="AC9" s="793"/>
      <c r="AD9" s="793"/>
      <c r="AE9" s="793"/>
      <c r="AF9" s="793"/>
      <c r="AG9" s="793"/>
      <c r="AH9" s="11"/>
      <c r="AI9" s="11"/>
      <c r="AJ9" s="11"/>
      <c r="AK9" s="11"/>
      <c r="AL9" s="11"/>
      <c r="AM9" s="11"/>
      <c r="AN9" s="11"/>
    </row>
    <row r="10" spans="1:40" s="776" customFormat="1">
      <c r="A10" s="52"/>
      <c r="B10" s="52" t="s">
        <v>45</v>
      </c>
      <c r="C10" s="52"/>
      <c r="D10" s="793"/>
      <c r="E10" s="793"/>
      <c r="F10" s="892">
        <v>0</v>
      </c>
      <c r="G10" s="892">
        <v>0</v>
      </c>
      <c r="H10" s="892">
        <v>0</v>
      </c>
      <c r="I10" s="892">
        <v>0</v>
      </c>
      <c r="J10" s="892">
        <v>0</v>
      </c>
      <c r="K10" s="892">
        <v>0</v>
      </c>
      <c r="L10" s="892">
        <v>0</v>
      </c>
      <c r="M10" s="892">
        <v>0</v>
      </c>
      <c r="N10" s="892">
        <v>0</v>
      </c>
      <c r="O10" s="892">
        <v>0</v>
      </c>
      <c r="P10" s="892">
        <v>0</v>
      </c>
      <c r="Q10" s="892">
        <v>0</v>
      </c>
      <c r="R10" s="892">
        <v>33</v>
      </c>
      <c r="S10" s="892">
        <v>200</v>
      </c>
      <c r="T10" s="892">
        <v>100</v>
      </c>
      <c r="U10" s="892">
        <v>0</v>
      </c>
      <c r="V10" s="892">
        <v>0</v>
      </c>
      <c r="W10" s="892">
        <v>0</v>
      </c>
      <c r="X10" s="892">
        <v>0</v>
      </c>
      <c r="Y10" s="892">
        <v>0</v>
      </c>
      <c r="Z10" s="892">
        <v>0</v>
      </c>
      <c r="AA10" s="892"/>
      <c r="AB10" s="892"/>
      <c r="AC10" s="793"/>
      <c r="AD10" s="793"/>
      <c r="AE10" s="793"/>
      <c r="AF10" s="793"/>
      <c r="AG10" s="793"/>
      <c r="AH10" s="11"/>
      <c r="AI10" s="11"/>
      <c r="AJ10" s="11"/>
      <c r="AK10" s="11"/>
      <c r="AL10" s="11"/>
      <c r="AM10" s="11"/>
      <c r="AN10" s="11"/>
    </row>
    <row r="11" spans="1:40" s="592" customFormat="1">
      <c r="A11" s="52"/>
      <c r="B11" s="919" t="s">
        <v>46</v>
      </c>
      <c r="C11" s="52"/>
      <c r="D11" s="793"/>
      <c r="E11" s="793"/>
      <c r="F11" s="793">
        <f t="shared" ref="F11:AA11" si="14">SUM(F5:F10)</f>
        <v>138773</v>
      </c>
      <c r="G11" s="793">
        <f t="shared" si="14"/>
        <v>574356</v>
      </c>
      <c r="H11" s="793">
        <f t="shared" si="14"/>
        <v>771998</v>
      </c>
      <c r="I11" s="793">
        <f t="shared" si="14"/>
        <v>1125592</v>
      </c>
      <c r="J11" s="793">
        <f t="shared" si="14"/>
        <v>1365461</v>
      </c>
      <c r="K11" s="793">
        <f t="shared" si="14"/>
        <v>1301465</v>
      </c>
      <c r="L11" s="793">
        <f t="shared" si="14"/>
        <v>1649055</v>
      </c>
      <c r="M11" s="793">
        <f t="shared" si="14"/>
        <v>2183307</v>
      </c>
      <c r="N11" s="793">
        <f t="shared" si="14"/>
        <v>1790722</v>
      </c>
      <c r="O11" s="793">
        <f t="shared" si="14"/>
        <v>2603483</v>
      </c>
      <c r="P11" s="793">
        <f t="shared" si="14"/>
        <v>1892435</v>
      </c>
      <c r="Q11" s="793">
        <f t="shared" si="14"/>
        <v>2061905</v>
      </c>
      <c r="R11" s="793">
        <f t="shared" si="14"/>
        <v>2052987</v>
      </c>
      <c r="S11" s="793">
        <f t="shared" si="14"/>
        <v>2570200</v>
      </c>
      <c r="T11" s="793">
        <f t="shared" si="14"/>
        <v>2711200</v>
      </c>
      <c r="U11" s="793">
        <f t="shared" si="14"/>
        <v>2508800</v>
      </c>
      <c r="V11" s="793">
        <f t="shared" si="14"/>
        <v>2403000</v>
      </c>
      <c r="W11" s="793">
        <f t="shared" si="14"/>
        <v>2375000</v>
      </c>
      <c r="X11" s="793">
        <f t="shared" si="14"/>
        <v>2320000</v>
      </c>
      <c r="Y11" s="793">
        <f t="shared" si="14"/>
        <v>2762000</v>
      </c>
      <c r="Z11" s="793">
        <f t="shared" si="14"/>
        <v>3491000</v>
      </c>
      <c r="AA11" s="793">
        <f t="shared" si="14"/>
        <v>3405000</v>
      </c>
      <c r="AB11" s="793">
        <f t="shared" ref="AB11" si="15">SUM(AB5:AB10)</f>
        <v>4296000</v>
      </c>
      <c r="AC11" s="793"/>
      <c r="AD11" s="793"/>
      <c r="AE11" s="793"/>
      <c r="AF11" s="793"/>
      <c r="AG11" s="793"/>
      <c r="AH11" s="11"/>
      <c r="AI11" s="11"/>
      <c r="AJ11" s="11"/>
      <c r="AK11" s="11"/>
      <c r="AL11" s="11"/>
      <c r="AM11" s="11"/>
      <c r="AN11" s="11"/>
    </row>
    <row r="12" spans="1:40" s="592" customFormat="1">
      <c r="A12" s="918" t="s">
        <v>47</v>
      </c>
      <c r="B12" s="67"/>
      <c r="C12" s="67"/>
      <c r="D12" s="892"/>
      <c r="E12" s="793"/>
      <c r="F12" s="793"/>
      <c r="G12" s="793"/>
      <c r="H12" s="793"/>
      <c r="I12" s="793"/>
      <c r="J12" s="793"/>
      <c r="K12" s="793"/>
      <c r="L12" s="793"/>
      <c r="M12" s="793"/>
      <c r="N12" s="793"/>
      <c r="O12" s="793"/>
      <c r="P12" s="793"/>
      <c r="Q12" s="793"/>
      <c r="R12" s="793"/>
      <c r="S12" s="793"/>
      <c r="T12" s="793"/>
      <c r="U12" s="793"/>
      <c r="V12" s="793"/>
      <c r="W12" s="793"/>
      <c r="X12" s="793"/>
      <c r="Y12" s="793"/>
      <c r="Z12" s="793"/>
      <c r="AA12" s="793"/>
      <c r="AB12" s="793"/>
      <c r="AC12" s="793"/>
      <c r="AD12" s="793"/>
      <c r="AE12" s="793"/>
      <c r="AF12" s="793"/>
      <c r="AG12" s="793"/>
      <c r="AH12" s="11"/>
      <c r="AI12" s="11"/>
      <c r="AJ12" s="11"/>
      <c r="AK12" s="11"/>
      <c r="AL12" s="11"/>
      <c r="AM12" s="11"/>
      <c r="AN12" s="11"/>
    </row>
    <row r="13" spans="1:40" s="776" customFormat="1">
      <c r="A13" s="52"/>
      <c r="B13" s="69" t="s">
        <v>48</v>
      </c>
      <c r="C13" s="69"/>
      <c r="D13" s="793"/>
      <c r="E13" s="793"/>
      <c r="F13" s="793"/>
      <c r="G13" s="793"/>
      <c r="H13" s="793"/>
      <c r="I13" s="793"/>
      <c r="J13" s="793"/>
      <c r="K13" s="793"/>
      <c r="L13" s="793"/>
      <c r="M13" s="793"/>
      <c r="N13" s="793">
        <v>-720378</v>
      </c>
      <c r="O13" s="793">
        <v>-1594481</v>
      </c>
      <c r="P13" s="793">
        <v>-788511</v>
      </c>
      <c r="Q13" s="793">
        <v>-743625</v>
      </c>
      <c r="R13" s="793">
        <v>-703302</v>
      </c>
      <c r="S13" s="793">
        <v>-1375500</v>
      </c>
      <c r="T13" s="793">
        <v>-1361500</v>
      </c>
      <c r="U13" s="793">
        <v>-1130500</v>
      </c>
      <c r="V13" s="793">
        <v>-943000</v>
      </c>
      <c r="W13" s="793">
        <v>-844000</v>
      </c>
      <c r="X13" s="793">
        <v>-772000</v>
      </c>
      <c r="Y13" s="793">
        <v>-1160000</v>
      </c>
      <c r="Z13" s="793">
        <v>-1662000</v>
      </c>
      <c r="AA13" s="793">
        <v>-1479000</v>
      </c>
      <c r="AB13" s="793">
        <v>-2485000</v>
      </c>
      <c r="AC13" s="793"/>
      <c r="AD13" s="793"/>
      <c r="AE13" s="793"/>
      <c r="AF13" s="793"/>
      <c r="AG13" s="793"/>
      <c r="AH13" s="11"/>
      <c r="AI13" s="11"/>
      <c r="AJ13" s="11"/>
      <c r="AK13" s="11"/>
      <c r="AL13" s="11"/>
      <c r="AM13" s="11"/>
      <c r="AN13" s="11"/>
    </row>
    <row r="14" spans="1:40" s="776" customFormat="1">
      <c r="A14" s="52"/>
      <c r="B14" s="69" t="s">
        <v>49</v>
      </c>
      <c r="C14" s="69"/>
      <c r="D14" s="793"/>
      <c r="E14" s="793"/>
      <c r="F14" s="793"/>
      <c r="G14" s="793"/>
      <c r="H14" s="793"/>
      <c r="I14" s="793"/>
      <c r="J14" s="793"/>
      <c r="K14" s="793"/>
      <c r="L14" s="793"/>
      <c r="M14" s="793"/>
      <c r="N14" s="793">
        <v>-376312</v>
      </c>
      <c r="O14" s="793">
        <v>-413661</v>
      </c>
      <c r="P14" s="793">
        <v>-373004</v>
      </c>
      <c r="Q14" s="793">
        <v>-425978</v>
      </c>
      <c r="R14" s="793"/>
      <c r="S14" s="793"/>
      <c r="T14" s="793"/>
      <c r="U14" s="793"/>
      <c r="V14" s="793"/>
      <c r="W14" s="793"/>
      <c r="X14" s="793"/>
      <c r="Y14" s="793"/>
      <c r="Z14" s="793"/>
      <c r="AA14" s="793"/>
      <c r="AB14" s="793"/>
      <c r="AC14" s="793"/>
      <c r="AD14" s="793"/>
      <c r="AE14" s="793"/>
      <c r="AF14" s="793"/>
      <c r="AG14" s="793"/>
      <c r="AH14" s="11"/>
      <c r="AI14" s="11"/>
      <c r="AJ14" s="11"/>
      <c r="AK14" s="11"/>
      <c r="AL14" s="11"/>
      <c r="AM14" s="11"/>
      <c r="AN14" s="11"/>
    </row>
    <row r="15" spans="1:40" s="776" customFormat="1">
      <c r="A15" s="52"/>
      <c r="B15" s="69" t="s">
        <v>50</v>
      </c>
      <c r="C15" s="69"/>
      <c r="D15" s="793"/>
      <c r="E15" s="793"/>
      <c r="F15" s="793"/>
      <c r="G15" s="793"/>
      <c r="H15" s="793"/>
      <c r="I15" s="793"/>
      <c r="J15" s="793"/>
      <c r="K15" s="793"/>
      <c r="L15" s="793"/>
      <c r="M15" s="793"/>
      <c r="N15" s="793"/>
      <c r="O15" s="793"/>
      <c r="P15" s="793"/>
      <c r="Q15" s="793"/>
      <c r="R15" s="793">
        <v>-367449</v>
      </c>
      <c r="S15" s="793">
        <v>-404200</v>
      </c>
      <c r="T15" s="793">
        <v>-404200</v>
      </c>
      <c r="U15" s="793">
        <v>-427600</v>
      </c>
      <c r="V15" s="793">
        <v>-481000</v>
      </c>
      <c r="W15" s="793">
        <v>-505000</v>
      </c>
      <c r="X15" s="793">
        <v>-515000</v>
      </c>
      <c r="Y15" s="793">
        <v>-550000</v>
      </c>
      <c r="Z15" s="793">
        <v>-578000</v>
      </c>
      <c r="AA15" s="793">
        <v>-655000</v>
      </c>
      <c r="AB15" s="793">
        <v>-691000</v>
      </c>
      <c r="AC15" s="793"/>
      <c r="AD15" s="793"/>
      <c r="AE15" s="793"/>
      <c r="AF15" s="793"/>
      <c r="AG15" s="793"/>
      <c r="AH15" s="11"/>
      <c r="AI15" s="11"/>
      <c r="AJ15" s="11"/>
      <c r="AK15" s="11"/>
      <c r="AL15" s="11"/>
      <c r="AM15" s="11"/>
      <c r="AN15" s="11"/>
    </row>
    <row r="16" spans="1:40" s="776" customFormat="1">
      <c r="A16" s="52"/>
      <c r="B16" s="69" t="s">
        <v>51</v>
      </c>
      <c r="C16" s="69"/>
      <c r="D16" s="793"/>
      <c r="E16" s="793"/>
      <c r="F16" s="793"/>
      <c r="G16" s="793"/>
      <c r="H16" s="793"/>
      <c r="I16" s="793"/>
      <c r="J16" s="793"/>
      <c r="K16" s="793"/>
      <c r="L16" s="793"/>
      <c r="M16" s="793"/>
      <c r="N16" s="793"/>
      <c r="O16" s="793"/>
      <c r="P16" s="793"/>
      <c r="Q16" s="793"/>
      <c r="R16" s="793">
        <v>-84188</v>
      </c>
      <c r="S16" s="793">
        <v>-86700</v>
      </c>
      <c r="T16" s="793">
        <v>-115300</v>
      </c>
      <c r="U16" s="793">
        <v>-129300</v>
      </c>
      <c r="V16" s="793">
        <v>-123000</v>
      </c>
      <c r="W16" s="793">
        <v>-128000</v>
      </c>
      <c r="X16" s="793">
        <v>-130000</v>
      </c>
      <c r="Y16" s="793">
        <v>-127000</v>
      </c>
      <c r="Z16" s="793">
        <v>-131000</v>
      </c>
      <c r="AA16" s="793">
        <v>-123000</v>
      </c>
      <c r="AB16" s="793">
        <v>-87000</v>
      </c>
      <c r="AC16" s="793"/>
      <c r="AD16" s="793"/>
      <c r="AE16" s="793"/>
      <c r="AF16" s="793"/>
      <c r="AG16" s="793"/>
      <c r="AH16" s="11"/>
      <c r="AI16" s="11"/>
      <c r="AJ16" s="11"/>
      <c r="AK16" s="11"/>
      <c r="AL16" s="11"/>
      <c r="AM16" s="11"/>
      <c r="AN16" s="11"/>
    </row>
    <row r="17" spans="1:40" s="776" customFormat="1">
      <c r="A17" s="52"/>
      <c r="B17" s="69" t="s">
        <v>52</v>
      </c>
      <c r="C17" s="69"/>
      <c r="D17" s="793"/>
      <c r="E17" s="793"/>
      <c r="F17" s="793"/>
      <c r="G17" s="793"/>
      <c r="H17" s="793"/>
      <c r="I17" s="793"/>
      <c r="J17" s="793"/>
      <c r="K17" s="793"/>
      <c r="L17" s="793"/>
      <c r="M17" s="793"/>
      <c r="N17" s="793">
        <v>-55284</v>
      </c>
      <c r="O17" s="793">
        <v>-69088</v>
      </c>
      <c r="P17" s="793">
        <v>-76068</v>
      </c>
      <c r="Q17" s="793">
        <v>-87258</v>
      </c>
      <c r="R17" s="793">
        <v>-89493</v>
      </c>
      <c r="S17" s="793">
        <v>-79600</v>
      </c>
      <c r="T17" s="793">
        <v>-88600</v>
      </c>
      <c r="U17" s="793">
        <v>-90500</v>
      </c>
      <c r="V17" s="793">
        <v>-88000</v>
      </c>
      <c r="W17" s="793">
        <v>-92000</v>
      </c>
      <c r="X17" s="793">
        <v>-92000</v>
      </c>
      <c r="Y17" s="793">
        <v>-95000</v>
      </c>
      <c r="Z17" s="793">
        <v>-102000</v>
      </c>
      <c r="AA17" s="793">
        <v>-115000</v>
      </c>
      <c r="AB17" s="793">
        <v>-112000</v>
      </c>
      <c r="AC17" s="793"/>
      <c r="AD17" s="793"/>
      <c r="AE17" s="793"/>
      <c r="AF17" s="793"/>
      <c r="AG17" s="793"/>
      <c r="AH17" s="11"/>
      <c r="AI17" s="11"/>
      <c r="AJ17" s="11"/>
      <c r="AK17" s="11"/>
      <c r="AL17" s="11"/>
      <c r="AM17" s="11"/>
      <c r="AN17" s="11"/>
    </row>
    <row r="18" spans="1:40" s="776" customFormat="1">
      <c r="A18" s="52"/>
      <c r="B18" s="73" t="s">
        <v>53</v>
      </c>
      <c r="C18" s="69"/>
      <c r="D18" s="793"/>
      <c r="E18" s="793"/>
      <c r="F18" s="793"/>
      <c r="G18" s="793"/>
      <c r="H18" s="793"/>
      <c r="I18" s="793"/>
      <c r="J18" s="793"/>
      <c r="K18" s="793"/>
      <c r="L18" s="793"/>
      <c r="M18" s="793"/>
      <c r="N18" s="793"/>
      <c r="O18" s="793"/>
      <c r="P18" s="793"/>
      <c r="Q18" s="793"/>
      <c r="R18" s="793"/>
      <c r="S18" s="793"/>
      <c r="T18" s="793"/>
      <c r="U18" s="793"/>
      <c r="V18" s="793">
        <v>-26000</v>
      </c>
      <c r="W18" s="793">
        <v>-30000</v>
      </c>
      <c r="X18" s="793">
        <v>-30000</v>
      </c>
      <c r="Y18" s="793">
        <v>-31000</v>
      </c>
      <c r="Z18" s="793">
        <v>-33000</v>
      </c>
      <c r="AA18" s="793">
        <v>-36000</v>
      </c>
      <c r="AB18" s="793">
        <v>-39000</v>
      </c>
      <c r="AC18" s="793"/>
      <c r="AD18" s="793"/>
      <c r="AE18" s="793"/>
      <c r="AF18" s="793"/>
      <c r="AG18" s="793"/>
      <c r="AH18" s="11"/>
      <c r="AI18" s="11"/>
      <c r="AJ18" s="11"/>
      <c r="AK18" s="11"/>
      <c r="AL18" s="11"/>
      <c r="AM18" s="11"/>
      <c r="AN18" s="11"/>
    </row>
    <row r="19" spans="1:40" s="776" customFormat="1">
      <c r="A19" s="52"/>
      <c r="B19" s="69" t="s">
        <v>54</v>
      </c>
      <c r="C19" s="69"/>
      <c r="D19" s="793"/>
      <c r="E19" s="793"/>
      <c r="F19" s="793"/>
      <c r="G19" s="793"/>
      <c r="H19" s="793"/>
      <c r="I19" s="793"/>
      <c r="J19" s="793"/>
      <c r="K19" s="793"/>
      <c r="L19" s="793"/>
      <c r="M19" s="793"/>
      <c r="N19" s="793">
        <v>-162327</v>
      </c>
      <c r="O19" s="793">
        <v>-155153</v>
      </c>
      <c r="P19" s="793">
        <v>-142500</v>
      </c>
      <c r="Q19" s="793">
        <v>-163364</v>
      </c>
      <c r="R19" s="793">
        <v>-148628</v>
      </c>
      <c r="S19" s="793">
        <v>-147600</v>
      </c>
      <c r="T19" s="793">
        <v>-156800</v>
      </c>
      <c r="U19" s="793">
        <v>-145600</v>
      </c>
      <c r="V19" s="793">
        <v>-124000</v>
      </c>
      <c r="W19" s="793">
        <v>-126000</v>
      </c>
      <c r="X19" s="793">
        <v>-124000</v>
      </c>
      <c r="Y19" s="793">
        <v>-133000</v>
      </c>
      <c r="Z19" s="793">
        <v>-147000</v>
      </c>
      <c r="AA19" s="793">
        <v>-143000</v>
      </c>
      <c r="AB19" s="793">
        <v>-153000</v>
      </c>
      <c r="AC19" s="793"/>
      <c r="AD19" s="793"/>
      <c r="AE19" s="793"/>
      <c r="AF19" s="793"/>
      <c r="AG19" s="793"/>
      <c r="AH19" s="11"/>
      <c r="AI19" s="11"/>
      <c r="AJ19" s="11"/>
      <c r="AK19" s="11"/>
      <c r="AL19" s="11"/>
      <c r="AM19" s="11"/>
      <c r="AN19" s="11"/>
    </row>
    <row r="20" spans="1:40" s="776" customFormat="1">
      <c r="A20" s="52"/>
      <c r="B20" s="69" t="s">
        <v>55</v>
      </c>
      <c r="C20" s="69"/>
      <c r="D20" s="793"/>
      <c r="E20" s="793"/>
      <c r="F20" s="892">
        <f t="shared" ref="F20:M20" si="16">F100</f>
        <v>-68657</v>
      </c>
      <c r="G20" s="892">
        <f t="shared" si="16"/>
        <v>-360081</v>
      </c>
      <c r="H20" s="892">
        <f t="shared" si="16"/>
        <v>-506611</v>
      </c>
      <c r="I20" s="892">
        <f t="shared" si="16"/>
        <v>-888527</v>
      </c>
      <c r="J20" s="892">
        <f t="shared" si="16"/>
        <v>-1054594</v>
      </c>
      <c r="K20" s="892">
        <f t="shared" si="16"/>
        <v>-858830</v>
      </c>
      <c r="L20" s="892">
        <f t="shared" si="16"/>
        <v>-1132644</v>
      </c>
      <c r="M20" s="892">
        <f t="shared" si="16"/>
        <v>-1756006</v>
      </c>
      <c r="N20" s="892">
        <v>0</v>
      </c>
      <c r="O20" s="892">
        <v>0</v>
      </c>
      <c r="P20" s="892">
        <v>0</v>
      </c>
      <c r="Q20" s="892">
        <v>0</v>
      </c>
      <c r="R20" s="892">
        <v>0</v>
      </c>
      <c r="S20" s="892">
        <v>0</v>
      </c>
      <c r="T20" s="892">
        <v>0</v>
      </c>
      <c r="U20" s="892">
        <v>0</v>
      </c>
      <c r="V20" s="892">
        <v>0</v>
      </c>
      <c r="W20" s="892">
        <v>0</v>
      </c>
      <c r="X20" s="892">
        <v>0</v>
      </c>
      <c r="Y20" s="892">
        <v>0</v>
      </c>
      <c r="Z20" s="892">
        <v>0</v>
      </c>
      <c r="AA20" s="892">
        <v>0</v>
      </c>
      <c r="AB20" s="892">
        <v>0</v>
      </c>
      <c r="AC20" s="793"/>
      <c r="AD20" s="793"/>
      <c r="AE20" s="793"/>
      <c r="AF20" s="793"/>
      <c r="AG20" s="793"/>
      <c r="AH20" s="11"/>
      <c r="AI20" s="11"/>
      <c r="AJ20" s="11"/>
      <c r="AK20" s="11"/>
      <c r="AL20" s="11"/>
      <c r="AM20" s="11"/>
      <c r="AN20" s="11"/>
    </row>
    <row r="21" spans="1:40" s="776" customFormat="1">
      <c r="A21" s="52"/>
      <c r="B21" s="919" t="s">
        <v>56</v>
      </c>
      <c r="C21" s="69"/>
      <c r="D21" s="793"/>
      <c r="E21" s="793"/>
      <c r="F21" s="793">
        <f>SUM(F13:F20)</f>
        <v>-68657</v>
      </c>
      <c r="G21" s="793">
        <f t="shared" ref="G21:M21" si="17">SUM(G13:G20)</f>
        <v>-360081</v>
      </c>
      <c r="H21" s="793">
        <f t="shared" si="17"/>
        <v>-506611</v>
      </c>
      <c r="I21" s="793">
        <f t="shared" si="17"/>
        <v>-888527</v>
      </c>
      <c r="J21" s="793">
        <f t="shared" si="17"/>
        <v>-1054594</v>
      </c>
      <c r="K21" s="793">
        <f t="shared" si="17"/>
        <v>-858830</v>
      </c>
      <c r="L21" s="793">
        <f t="shared" si="17"/>
        <v>-1132644</v>
      </c>
      <c r="M21" s="793">
        <f t="shared" si="17"/>
        <v>-1756006</v>
      </c>
      <c r="N21" s="793">
        <f>SUM(N13:N20)</f>
        <v>-1314301</v>
      </c>
      <c r="O21" s="793">
        <f t="shared" ref="O21:AA21" si="18">SUM(O13:O20)</f>
        <v>-2232383</v>
      </c>
      <c r="P21" s="793">
        <f t="shared" si="18"/>
        <v>-1380083</v>
      </c>
      <c r="Q21" s="793">
        <f t="shared" si="18"/>
        <v>-1420225</v>
      </c>
      <c r="R21" s="793">
        <f t="shared" si="18"/>
        <v>-1393060</v>
      </c>
      <c r="S21" s="793">
        <f t="shared" si="18"/>
        <v>-2093600</v>
      </c>
      <c r="T21" s="793">
        <f t="shared" si="18"/>
        <v>-2126400</v>
      </c>
      <c r="U21" s="793">
        <f t="shared" si="18"/>
        <v>-1923500</v>
      </c>
      <c r="V21" s="793">
        <f t="shared" si="18"/>
        <v>-1785000</v>
      </c>
      <c r="W21" s="793">
        <f t="shared" si="18"/>
        <v>-1725000</v>
      </c>
      <c r="X21" s="793">
        <f t="shared" si="18"/>
        <v>-1663000</v>
      </c>
      <c r="Y21" s="793">
        <f t="shared" si="18"/>
        <v>-2096000</v>
      </c>
      <c r="Z21" s="793">
        <f t="shared" si="18"/>
        <v>-2653000</v>
      </c>
      <c r="AA21" s="793">
        <f t="shared" si="18"/>
        <v>-2551000</v>
      </c>
      <c r="AB21" s="793">
        <f t="shared" ref="AB21" si="19">SUM(AB13:AB20)</f>
        <v>-3567000</v>
      </c>
      <c r="AC21" s="793"/>
      <c r="AD21" s="793"/>
      <c r="AE21" s="793"/>
      <c r="AF21" s="793"/>
      <c r="AG21" s="793"/>
      <c r="AH21" s="11"/>
      <c r="AI21" s="11"/>
      <c r="AJ21" s="11"/>
      <c r="AK21" s="11"/>
      <c r="AL21" s="11"/>
      <c r="AM21" s="11"/>
      <c r="AN21" s="11"/>
    </row>
    <row r="22" spans="1:40" s="776" customFormat="1">
      <c r="A22" s="52"/>
      <c r="B22" s="920"/>
      <c r="C22" s="69"/>
      <c r="D22" s="793"/>
      <c r="E22" s="793"/>
      <c r="F22" s="793"/>
      <c r="G22" s="793"/>
      <c r="H22" s="793"/>
      <c r="I22" s="793"/>
      <c r="J22" s="793"/>
      <c r="K22" s="793"/>
      <c r="L22" s="793"/>
      <c r="M22" s="793"/>
      <c r="N22" s="793"/>
      <c r="O22" s="793"/>
      <c r="P22" s="793"/>
      <c r="Q22" s="793"/>
      <c r="R22" s="793"/>
      <c r="S22" s="793"/>
      <c r="T22" s="793"/>
      <c r="U22" s="793"/>
      <c r="V22" s="793"/>
      <c r="W22" s="793"/>
      <c r="X22" s="793"/>
      <c r="Y22" s="793"/>
      <c r="Z22" s="793"/>
      <c r="AA22" s="793"/>
      <c r="AB22" s="793"/>
      <c r="AC22" s="793"/>
      <c r="AD22" s="793"/>
      <c r="AE22" s="793"/>
      <c r="AF22" s="793"/>
      <c r="AG22" s="793"/>
      <c r="AH22" s="11"/>
      <c r="AI22" s="11"/>
      <c r="AJ22" s="11"/>
      <c r="AK22" s="11"/>
      <c r="AL22" s="11"/>
      <c r="AM22" s="11"/>
      <c r="AN22" s="11"/>
    </row>
    <row r="23" spans="1:40" s="776" customFormat="1">
      <c r="A23" s="918" t="s">
        <v>57</v>
      </c>
      <c r="B23" s="67"/>
      <c r="C23" s="67"/>
      <c r="D23" s="892"/>
      <c r="E23" s="793"/>
      <c r="F23" s="892">
        <f t="shared" ref="F23:AA23" si="20">F11+F21</f>
        <v>70116</v>
      </c>
      <c r="G23" s="892">
        <f t="shared" si="20"/>
        <v>214275</v>
      </c>
      <c r="H23" s="892">
        <f t="shared" si="20"/>
        <v>265387</v>
      </c>
      <c r="I23" s="892">
        <f t="shared" si="20"/>
        <v>237065</v>
      </c>
      <c r="J23" s="892">
        <f t="shared" si="20"/>
        <v>310867</v>
      </c>
      <c r="K23" s="892">
        <f t="shared" si="20"/>
        <v>442635</v>
      </c>
      <c r="L23" s="892">
        <f t="shared" si="20"/>
        <v>516411</v>
      </c>
      <c r="M23" s="892">
        <f t="shared" si="20"/>
        <v>427301</v>
      </c>
      <c r="N23" s="892">
        <f t="shared" si="20"/>
        <v>476421</v>
      </c>
      <c r="O23" s="892">
        <f t="shared" si="20"/>
        <v>371100</v>
      </c>
      <c r="P23" s="892">
        <f t="shared" si="20"/>
        <v>512352</v>
      </c>
      <c r="Q23" s="892">
        <f t="shared" si="20"/>
        <v>641680</v>
      </c>
      <c r="R23" s="892">
        <f t="shared" si="20"/>
        <v>659927</v>
      </c>
      <c r="S23" s="892">
        <f t="shared" si="20"/>
        <v>476600</v>
      </c>
      <c r="T23" s="892">
        <f t="shared" si="20"/>
        <v>584800</v>
      </c>
      <c r="U23" s="892">
        <f t="shared" si="20"/>
        <v>585300</v>
      </c>
      <c r="V23" s="892">
        <f t="shared" si="20"/>
        <v>618000</v>
      </c>
      <c r="W23" s="892">
        <f t="shared" si="20"/>
        <v>650000</v>
      </c>
      <c r="X23" s="892">
        <f t="shared" si="20"/>
        <v>657000</v>
      </c>
      <c r="Y23" s="892">
        <f t="shared" si="20"/>
        <v>666000</v>
      </c>
      <c r="Z23" s="892">
        <f t="shared" si="20"/>
        <v>838000</v>
      </c>
      <c r="AA23" s="944">
        <f t="shared" si="20"/>
        <v>854000</v>
      </c>
      <c r="AB23" s="892">
        <f>AB11+AB21</f>
        <v>729000</v>
      </c>
      <c r="AC23" s="793"/>
      <c r="AD23" s="793"/>
      <c r="AE23" s="793"/>
      <c r="AF23" s="793"/>
      <c r="AG23" s="793"/>
      <c r="AH23" s="11"/>
      <c r="AI23" s="11"/>
      <c r="AJ23" s="11"/>
      <c r="AK23" s="11"/>
      <c r="AL23" s="11"/>
      <c r="AM23" s="11"/>
      <c r="AN23" s="11"/>
    </row>
    <row r="24" spans="1:40" s="776" customFormat="1">
      <c r="A24" s="52"/>
      <c r="B24" s="69" t="s">
        <v>58</v>
      </c>
      <c r="C24" s="69"/>
      <c r="D24" s="793"/>
      <c r="E24" s="793"/>
      <c r="F24" s="793"/>
      <c r="G24" s="793"/>
      <c r="H24" s="793"/>
      <c r="I24" s="793"/>
      <c r="J24" s="793"/>
      <c r="K24" s="793"/>
      <c r="L24" s="793"/>
      <c r="M24" s="793"/>
      <c r="N24" s="793">
        <v>658</v>
      </c>
      <c r="O24" s="793">
        <v>45497</v>
      </c>
      <c r="P24" s="793">
        <v>-114109</v>
      </c>
      <c r="Q24" s="793">
        <v>-14872</v>
      </c>
      <c r="R24" s="793">
        <v>-89270</v>
      </c>
      <c r="S24" s="793">
        <v>121300</v>
      </c>
      <c r="T24" s="793">
        <v>51100</v>
      </c>
      <c r="U24" s="793">
        <v>-8400</v>
      </c>
      <c r="V24" s="793">
        <v>-1000</v>
      </c>
      <c r="W24" s="793">
        <v>-15000</v>
      </c>
      <c r="X24" s="793">
        <v>-76000</v>
      </c>
      <c r="Y24" s="793">
        <v>-22000</v>
      </c>
      <c r="Z24" s="793">
        <v>58000</v>
      </c>
      <c r="AA24" s="793">
        <v>-113000</v>
      </c>
      <c r="AB24" s="793">
        <v>169000</v>
      </c>
      <c r="AC24" s="793"/>
      <c r="AD24" s="793"/>
      <c r="AE24" s="793"/>
      <c r="AF24" s="793"/>
      <c r="AG24" s="793"/>
      <c r="AH24" s="11"/>
      <c r="AI24" s="11"/>
      <c r="AJ24" s="11"/>
      <c r="AK24" s="11"/>
      <c r="AL24" s="11"/>
      <c r="AM24" s="11"/>
      <c r="AN24" s="11"/>
    </row>
    <row r="25" spans="1:40" s="776" customFormat="1">
      <c r="A25" s="52"/>
      <c r="B25" s="73" t="s">
        <v>59</v>
      </c>
      <c r="C25" s="69"/>
      <c r="D25" s="793"/>
      <c r="E25" s="793"/>
      <c r="F25" s="793"/>
      <c r="G25" s="793"/>
      <c r="H25" s="793"/>
      <c r="I25" s="793"/>
      <c r="J25" s="793"/>
      <c r="K25" s="793"/>
      <c r="L25" s="793"/>
      <c r="M25" s="793"/>
      <c r="N25" s="793"/>
      <c r="O25" s="793"/>
      <c r="P25" s="793"/>
      <c r="Q25" s="1373">
        <v>-33087</v>
      </c>
      <c r="R25" s="793">
        <v>0</v>
      </c>
      <c r="S25" s="793"/>
      <c r="T25" s="793"/>
      <c r="U25" s="793"/>
      <c r="V25" s="793"/>
      <c r="W25" s="793"/>
      <c r="X25" s="793"/>
      <c r="Y25" s="793"/>
      <c r="Z25" s="793"/>
      <c r="AA25" s="793"/>
      <c r="AB25" s="793"/>
      <c r="AC25" s="793"/>
      <c r="AD25" s="793"/>
      <c r="AE25" s="793"/>
      <c r="AF25" s="793"/>
      <c r="AG25" s="793"/>
      <c r="AH25" s="11"/>
      <c r="AI25" s="11"/>
      <c r="AJ25" s="11"/>
      <c r="AK25" s="11"/>
      <c r="AL25" s="11"/>
      <c r="AM25" s="11"/>
      <c r="AN25" s="11"/>
    </row>
    <row r="26" spans="1:40" s="776" customFormat="1">
      <c r="A26" s="52"/>
      <c r="B26" s="73" t="s">
        <v>60</v>
      </c>
      <c r="C26" s="69"/>
      <c r="D26" s="793"/>
      <c r="E26" s="793"/>
      <c r="F26" s="793">
        <f t="shared" ref="F26:M26" si="21">F109</f>
        <v>-14452</v>
      </c>
      <c r="G26" s="793">
        <f t="shared" si="21"/>
        <v>-48891</v>
      </c>
      <c r="H26" s="793">
        <f t="shared" si="21"/>
        <v>-52172</v>
      </c>
      <c r="I26" s="793">
        <f t="shared" si="21"/>
        <v>-58584</v>
      </c>
      <c r="J26" s="793">
        <f t="shared" si="21"/>
        <v>-59686</v>
      </c>
      <c r="K26" s="793">
        <f t="shared" si="21"/>
        <v>-74545</v>
      </c>
      <c r="L26" s="793">
        <f t="shared" si="21"/>
        <v>-81309</v>
      </c>
      <c r="M26" s="793">
        <f t="shared" si="21"/>
        <v>-77436</v>
      </c>
      <c r="N26" s="793">
        <v>-107132</v>
      </c>
      <c r="O26" s="793">
        <v>-139556</v>
      </c>
      <c r="P26" s="793">
        <v>-149793</v>
      </c>
      <c r="Q26" s="793">
        <v>-174318</v>
      </c>
      <c r="R26" s="793">
        <v>-209283</v>
      </c>
      <c r="S26" s="793">
        <v>-202900</v>
      </c>
      <c r="T26" s="793">
        <v>-201200</v>
      </c>
      <c r="U26" s="793">
        <v>-198600</v>
      </c>
      <c r="V26" s="793">
        <v>-218000</v>
      </c>
      <c r="W26" s="793">
        <v>-217000</v>
      </c>
      <c r="X26" s="793">
        <v>-245000</v>
      </c>
      <c r="Y26" s="793">
        <v>-247000</v>
      </c>
      <c r="Z26" s="793">
        <v>-250000</v>
      </c>
      <c r="AA26" s="793">
        <v>-288000</v>
      </c>
      <c r="AB26" s="793">
        <v>-285000</v>
      </c>
      <c r="AC26" s="793"/>
      <c r="AD26" s="793"/>
      <c r="AE26" s="793"/>
      <c r="AF26" s="793"/>
      <c r="AG26" s="793"/>
      <c r="AH26" s="11"/>
      <c r="AI26" s="11"/>
      <c r="AJ26" s="11"/>
      <c r="AK26" s="11"/>
      <c r="AL26" s="11"/>
      <c r="AM26" s="11"/>
      <c r="AN26" s="11"/>
    </row>
    <row r="27" spans="1:40" s="776" customFormat="1">
      <c r="A27" s="52"/>
      <c r="B27" s="73" t="s">
        <v>61</v>
      </c>
      <c r="C27" s="69"/>
      <c r="D27" s="793"/>
      <c r="E27" s="793"/>
      <c r="F27" s="793">
        <f t="shared" ref="F27:M27" si="22">F110+F111+F112+F113</f>
        <v>-425</v>
      </c>
      <c r="G27" s="793">
        <f t="shared" si="22"/>
        <v>-3386</v>
      </c>
      <c r="H27" s="793">
        <f t="shared" si="22"/>
        <v>-3457</v>
      </c>
      <c r="I27" s="793">
        <f t="shared" si="22"/>
        <v>-7547</v>
      </c>
      <c r="J27" s="793">
        <f t="shared" si="22"/>
        <v>-13878</v>
      </c>
      <c r="K27" s="793">
        <f t="shared" si="22"/>
        <v>-26201</v>
      </c>
      <c r="L27" s="793">
        <f t="shared" si="22"/>
        <v>-7699</v>
      </c>
      <c r="M27" s="793">
        <f t="shared" si="22"/>
        <v>-7304</v>
      </c>
      <c r="N27" s="793">
        <v>-10231</v>
      </c>
      <c r="O27" s="793">
        <v>-13115</v>
      </c>
      <c r="P27" s="793">
        <v>-13302</v>
      </c>
      <c r="Q27" s="793">
        <v>-13712</v>
      </c>
      <c r="R27" s="793">
        <v>-15041</v>
      </c>
      <c r="S27" s="793">
        <v>-22200</v>
      </c>
      <c r="T27" s="793">
        <v>-18500</v>
      </c>
      <c r="U27" s="793">
        <v>-21400</v>
      </c>
      <c r="V27" s="793">
        <v>-21000</v>
      </c>
      <c r="W27" s="793">
        <v>-19000</v>
      </c>
      <c r="X27" s="793">
        <v>-19000</v>
      </c>
      <c r="Y27" s="793">
        <v>-21000</v>
      </c>
      <c r="Z27" s="793">
        <v>-26000</v>
      </c>
      <c r="AA27" s="793">
        <v>-24000</v>
      </c>
      <c r="AB27" s="793">
        <v>-18000</v>
      </c>
      <c r="AC27" s="793"/>
      <c r="AD27" s="793"/>
      <c r="AE27" s="793"/>
      <c r="AF27" s="793"/>
      <c r="AG27" s="793"/>
      <c r="AH27" s="11"/>
      <c r="AI27" s="11"/>
      <c r="AJ27" s="11"/>
      <c r="AK27" s="11"/>
      <c r="AL27" s="11"/>
      <c r="AM27" s="11"/>
      <c r="AN27" s="11"/>
    </row>
    <row r="28" spans="1:40" s="776" customFormat="1">
      <c r="A28" s="52"/>
      <c r="B28" s="73" t="s">
        <v>62</v>
      </c>
      <c r="C28" s="69"/>
      <c r="D28" s="793"/>
      <c r="E28" s="793"/>
      <c r="F28" s="793"/>
      <c r="G28" s="793"/>
      <c r="H28" s="793"/>
      <c r="I28" s="793"/>
      <c r="J28" s="793"/>
      <c r="K28" s="793"/>
      <c r="L28" s="793"/>
      <c r="M28" s="793"/>
      <c r="N28" s="793"/>
      <c r="O28" s="793"/>
      <c r="P28" s="793">
        <v>-6428</v>
      </c>
      <c r="Q28" s="793">
        <v>-1200</v>
      </c>
      <c r="R28" s="793">
        <v>-6068</v>
      </c>
      <c r="S28" s="793">
        <v>-35400</v>
      </c>
      <c r="T28" s="793"/>
      <c r="U28" s="793"/>
      <c r="V28" s="793">
        <v>-33000</v>
      </c>
      <c r="W28" s="793">
        <v>4000</v>
      </c>
      <c r="X28" s="793">
        <f>-12000+2000</f>
        <v>-10000</v>
      </c>
      <c r="Y28" s="793">
        <v>-2000</v>
      </c>
      <c r="Z28" s="793">
        <v>-5000</v>
      </c>
      <c r="AA28" s="793">
        <v>-58000</v>
      </c>
      <c r="AB28" s="793">
        <v>6000</v>
      </c>
      <c r="AC28" s="793"/>
      <c r="AD28" s="793"/>
      <c r="AE28" s="793"/>
      <c r="AF28" s="793"/>
      <c r="AG28" s="793"/>
      <c r="AH28" s="11"/>
      <c r="AI28" s="11"/>
      <c r="AJ28" s="11"/>
      <c r="AK28" s="11"/>
      <c r="AL28" s="11"/>
      <c r="AM28" s="11"/>
      <c r="AN28" s="11"/>
    </row>
    <row r="29" spans="1:40" s="776" customFormat="1">
      <c r="A29" s="52"/>
      <c r="B29" s="73" t="s">
        <v>63</v>
      </c>
      <c r="C29" s="69"/>
      <c r="D29" s="793"/>
      <c r="E29" s="793"/>
      <c r="F29" s="793"/>
      <c r="G29" s="793"/>
      <c r="H29" s="793"/>
      <c r="I29" s="793"/>
      <c r="J29" s="793"/>
      <c r="K29" s="793"/>
      <c r="L29" s="793"/>
      <c r="M29" s="793" t="s">
        <v>64</v>
      </c>
      <c r="N29" s="793"/>
      <c r="O29" s="793"/>
      <c r="P29" s="793">
        <v>-2766</v>
      </c>
      <c r="Q29" s="793">
        <v>0</v>
      </c>
      <c r="R29" s="793">
        <v>-3778</v>
      </c>
      <c r="S29" s="793">
        <v>-900</v>
      </c>
      <c r="T29" s="793"/>
      <c r="U29" s="793"/>
      <c r="V29" s="793"/>
      <c r="W29" s="793"/>
      <c r="X29" s="793"/>
      <c r="Y29" s="793"/>
      <c r="Z29" s="793"/>
      <c r="AA29" s="793"/>
      <c r="AB29" s="793"/>
      <c r="AC29" s="793"/>
      <c r="AD29" s="793"/>
      <c r="AE29" s="793"/>
      <c r="AF29" s="793"/>
      <c r="AG29" s="793"/>
      <c r="AH29" s="11"/>
      <c r="AI29" s="11"/>
      <c r="AJ29" s="11"/>
      <c r="AK29" s="11"/>
      <c r="AL29" s="11"/>
      <c r="AM29" s="11"/>
      <c r="AN29" s="11"/>
    </row>
    <row r="30" spans="1:40" s="776" customFormat="1">
      <c r="A30" s="52"/>
      <c r="B30" s="73" t="s">
        <v>65</v>
      </c>
      <c r="C30" s="69"/>
      <c r="D30" s="793"/>
      <c r="E30" s="793"/>
      <c r="F30" s="793"/>
      <c r="G30" s="793"/>
      <c r="H30" s="793"/>
      <c r="I30" s="793"/>
      <c r="J30" s="793"/>
      <c r="K30" s="793"/>
      <c r="L30" s="793"/>
      <c r="M30" s="793"/>
      <c r="N30" s="793"/>
      <c r="O30" s="793"/>
      <c r="P30" s="793"/>
      <c r="Q30" s="793">
        <v>-17136</v>
      </c>
      <c r="R30" s="793">
        <v>0</v>
      </c>
      <c r="S30" s="793">
        <v>-22300</v>
      </c>
      <c r="T30" s="793"/>
      <c r="U30" s="793"/>
      <c r="V30" s="793">
        <v>-2000</v>
      </c>
      <c r="W30" s="793">
        <v>0</v>
      </c>
      <c r="X30" s="793">
        <v>0</v>
      </c>
      <c r="Y30" s="793">
        <v>0</v>
      </c>
      <c r="Z30" s="793">
        <v>0</v>
      </c>
      <c r="AA30" s="793">
        <v>0</v>
      </c>
      <c r="AB30" s="793">
        <v>0</v>
      </c>
      <c r="AC30" s="793"/>
      <c r="AD30" s="793"/>
      <c r="AE30" s="793"/>
      <c r="AF30" s="793"/>
      <c r="AG30" s="793"/>
      <c r="AH30" s="11"/>
      <c r="AI30" s="11"/>
      <c r="AJ30" s="11"/>
      <c r="AK30" s="11"/>
      <c r="AL30" s="11"/>
      <c r="AM30" s="11"/>
      <c r="AN30" s="11"/>
    </row>
    <row r="31" spans="1:40" s="776" customFormat="1">
      <c r="A31" s="52"/>
      <c r="B31" s="73" t="s">
        <v>66</v>
      </c>
      <c r="C31" s="69"/>
      <c r="D31" s="793"/>
      <c r="E31" s="793"/>
      <c r="F31" s="793"/>
      <c r="G31" s="793"/>
      <c r="H31" s="793"/>
      <c r="I31" s="793"/>
      <c r="J31" s="793"/>
      <c r="K31" s="793"/>
      <c r="L31" s="793"/>
      <c r="M31" s="793"/>
      <c r="N31" s="793"/>
      <c r="O31" s="793"/>
      <c r="P31" s="793"/>
      <c r="Q31" s="793"/>
      <c r="R31" s="793">
        <v>-1110</v>
      </c>
      <c r="S31" s="793"/>
      <c r="T31" s="793"/>
      <c r="U31" s="793"/>
      <c r="V31" s="793"/>
      <c r="W31" s="793">
        <v>0</v>
      </c>
      <c r="X31" s="793">
        <v>0</v>
      </c>
      <c r="Y31" s="793">
        <v>0</v>
      </c>
      <c r="Z31" s="793">
        <v>0</v>
      </c>
      <c r="AA31" s="793">
        <v>0</v>
      </c>
      <c r="AB31" s="793">
        <v>0</v>
      </c>
      <c r="AC31" s="793"/>
      <c r="AD31" s="793"/>
      <c r="AE31" s="793"/>
      <c r="AF31" s="793"/>
      <c r="AG31" s="793"/>
      <c r="AH31" s="11"/>
      <c r="AI31" s="11"/>
      <c r="AJ31" s="11"/>
      <c r="AK31" s="11"/>
      <c r="AL31" s="11"/>
      <c r="AM31" s="11"/>
      <c r="AN31" s="11"/>
    </row>
    <row r="32" spans="1:40" s="776" customFormat="1">
      <c r="A32" s="52"/>
      <c r="B32" s="73" t="s">
        <v>67</v>
      </c>
      <c r="C32" s="69"/>
      <c r="D32" s="793"/>
      <c r="E32" s="793"/>
      <c r="F32" s="793"/>
      <c r="G32" s="793"/>
      <c r="H32" s="793"/>
      <c r="I32" s="793"/>
      <c r="J32" s="793"/>
      <c r="K32" s="793"/>
      <c r="L32" s="793"/>
      <c r="M32" s="793"/>
      <c r="N32" s="793"/>
      <c r="O32" s="793"/>
      <c r="P32" s="793"/>
      <c r="Q32" s="793"/>
      <c r="R32" s="793"/>
      <c r="S32" s="793"/>
      <c r="T32" s="793">
        <v>-24800</v>
      </c>
      <c r="U32" s="793">
        <v>0</v>
      </c>
      <c r="V32" s="793">
        <v>-3000</v>
      </c>
      <c r="W32" s="793">
        <v>0</v>
      </c>
      <c r="X32" s="793">
        <v>0</v>
      </c>
      <c r="Y32" s="793">
        <v>0</v>
      </c>
      <c r="Z32" s="793">
        <v>0</v>
      </c>
      <c r="AA32" s="793">
        <v>0</v>
      </c>
      <c r="AB32" s="793">
        <v>0</v>
      </c>
      <c r="AC32" s="793"/>
      <c r="AD32" s="793"/>
      <c r="AE32" s="793"/>
      <c r="AF32" s="793"/>
      <c r="AG32" s="793"/>
      <c r="AH32" s="11"/>
      <c r="AI32" s="11"/>
      <c r="AJ32" s="11"/>
      <c r="AK32" s="11"/>
      <c r="AL32" s="11"/>
      <c r="AM32" s="11"/>
      <c r="AN32" s="11"/>
    </row>
    <row r="33" spans="1:40" s="776" customFormat="1">
      <c r="A33" s="52"/>
      <c r="B33" s="73" t="s">
        <v>68</v>
      </c>
      <c r="C33" s="69"/>
      <c r="D33" s="793"/>
      <c r="E33" s="793"/>
      <c r="F33" s="793"/>
      <c r="G33" s="793"/>
      <c r="H33" s="793"/>
      <c r="I33" s="793"/>
      <c r="J33" s="793"/>
      <c r="K33" s="793"/>
      <c r="L33" s="793"/>
      <c r="M33" s="793"/>
      <c r="N33" s="793"/>
      <c r="O33" s="793"/>
      <c r="P33" s="793"/>
      <c r="Q33" s="793"/>
      <c r="R33" s="793">
        <v>0</v>
      </c>
      <c r="S33" s="793">
        <v>-1500</v>
      </c>
      <c r="T33" s="793"/>
      <c r="U33" s="793"/>
      <c r="V33" s="793"/>
      <c r="W33" s="793">
        <v>0</v>
      </c>
      <c r="X33" s="793">
        <v>0</v>
      </c>
      <c r="Y33" s="793">
        <v>0</v>
      </c>
      <c r="Z33" s="793">
        <v>0</v>
      </c>
      <c r="AA33" s="793">
        <v>0</v>
      </c>
      <c r="AB33" s="793">
        <v>0</v>
      </c>
      <c r="AC33" s="793"/>
      <c r="AD33" s="793"/>
      <c r="AE33" s="793"/>
      <c r="AF33" s="793"/>
      <c r="AG33" s="793"/>
      <c r="AH33" s="11"/>
      <c r="AI33" s="11"/>
      <c r="AJ33" s="11"/>
      <c r="AK33" s="11"/>
      <c r="AL33" s="11"/>
      <c r="AM33" s="11"/>
      <c r="AN33" s="11"/>
    </row>
    <row r="34" spans="1:40" s="776" customFormat="1">
      <c r="A34" s="52"/>
      <c r="B34" s="52" t="s">
        <v>69</v>
      </c>
      <c r="C34" s="69"/>
      <c r="D34" s="793"/>
      <c r="E34" s="793"/>
      <c r="F34" s="793">
        <f t="shared" ref="F34:M34" si="23">F107</f>
        <v>0</v>
      </c>
      <c r="G34" s="793">
        <f t="shared" si="23"/>
        <v>0</v>
      </c>
      <c r="H34" s="793">
        <f t="shared" si="23"/>
        <v>0</v>
      </c>
      <c r="I34" s="793">
        <f t="shared" si="23"/>
        <v>0</v>
      </c>
      <c r="J34" s="793">
        <f t="shared" si="23"/>
        <v>0</v>
      </c>
      <c r="K34" s="793">
        <f t="shared" si="23"/>
        <v>-5085</v>
      </c>
      <c r="L34" s="793">
        <f t="shared" si="23"/>
        <v>-3456</v>
      </c>
      <c r="M34" s="793">
        <f t="shared" si="23"/>
        <v>-7191</v>
      </c>
      <c r="N34" s="793"/>
      <c r="O34" s="793"/>
      <c r="P34" s="793"/>
      <c r="Q34" s="793"/>
      <c r="R34" s="793"/>
      <c r="S34" s="793"/>
      <c r="T34" s="793"/>
      <c r="U34" s="793"/>
      <c r="V34" s="793"/>
      <c r="W34" s="793">
        <v>0</v>
      </c>
      <c r="X34" s="793">
        <v>0</v>
      </c>
      <c r="Y34" s="793">
        <v>0</v>
      </c>
      <c r="Z34" s="793">
        <v>0</v>
      </c>
      <c r="AA34" s="793">
        <v>0</v>
      </c>
      <c r="AB34" s="793">
        <v>0</v>
      </c>
      <c r="AC34" s="793"/>
      <c r="AD34" s="793"/>
      <c r="AE34" s="793"/>
      <c r="AF34" s="793"/>
      <c r="AG34" s="793"/>
      <c r="AH34" s="11"/>
      <c r="AI34" s="11"/>
      <c r="AJ34" s="11"/>
      <c r="AK34" s="11"/>
      <c r="AL34" s="11"/>
      <c r="AM34" s="11"/>
      <c r="AN34" s="11"/>
    </row>
    <row r="35" spans="1:40" s="776" customFormat="1">
      <c r="A35" s="52"/>
      <c r="B35" s="73" t="s">
        <v>70</v>
      </c>
      <c r="C35" s="69"/>
      <c r="D35" s="793"/>
      <c r="E35" s="793"/>
      <c r="F35" s="793">
        <f t="shared" ref="F35:M35" si="24">F103</f>
        <v>-4</v>
      </c>
      <c r="G35" s="793">
        <f t="shared" si="24"/>
        <v>-276</v>
      </c>
      <c r="H35" s="793">
        <f t="shared" si="24"/>
        <v>-457</v>
      </c>
      <c r="I35" s="793">
        <f t="shared" si="24"/>
        <v>-2006</v>
      </c>
      <c r="J35" s="793">
        <f t="shared" si="24"/>
        <v>-3307</v>
      </c>
      <c r="K35" s="793">
        <f t="shared" si="24"/>
        <v>-3822</v>
      </c>
      <c r="L35" s="793">
        <f t="shared" si="24"/>
        <v>-2326</v>
      </c>
      <c r="M35" s="793">
        <f t="shared" si="24"/>
        <v>-2252</v>
      </c>
      <c r="N35" s="793"/>
      <c r="O35" s="793"/>
      <c r="P35" s="793"/>
      <c r="Q35" s="793"/>
      <c r="R35" s="793"/>
      <c r="S35" s="793"/>
      <c r="T35" s="793"/>
      <c r="U35" s="793"/>
      <c r="V35" s="793"/>
      <c r="W35" s="793">
        <v>0</v>
      </c>
      <c r="X35" s="793">
        <v>0</v>
      </c>
      <c r="Y35" s="793">
        <v>0</v>
      </c>
      <c r="Z35" s="793">
        <v>0</v>
      </c>
      <c r="AA35" s="793">
        <v>0</v>
      </c>
      <c r="AB35" s="793">
        <v>0</v>
      </c>
      <c r="AC35" s="793"/>
      <c r="AD35" s="793"/>
      <c r="AE35" s="793"/>
      <c r="AF35" s="793"/>
      <c r="AG35" s="793"/>
      <c r="AH35" s="11"/>
      <c r="AI35" s="11"/>
      <c r="AJ35" s="11"/>
      <c r="AK35" s="11"/>
      <c r="AL35" s="11"/>
      <c r="AM35" s="11"/>
      <c r="AN35" s="11"/>
    </row>
    <row r="36" spans="1:40" s="776" customFormat="1">
      <c r="A36" s="52"/>
      <c r="B36" s="73" t="s">
        <v>71</v>
      </c>
      <c r="C36" s="69"/>
      <c r="D36" s="793"/>
      <c r="E36" s="793"/>
      <c r="F36" s="793">
        <f t="shared" ref="F36:M36" si="25">F120</f>
        <v>0</v>
      </c>
      <c r="G36" s="793">
        <f t="shared" si="25"/>
        <v>0</v>
      </c>
      <c r="H36" s="793">
        <f t="shared" si="25"/>
        <v>0</v>
      </c>
      <c r="I36" s="793">
        <f t="shared" si="25"/>
        <v>0</v>
      </c>
      <c r="J36" s="793">
        <f t="shared" si="25"/>
        <v>0</v>
      </c>
      <c r="K36" s="926">
        <f t="shared" si="25"/>
        <v>-38660</v>
      </c>
      <c r="L36" s="793">
        <f t="shared" si="25"/>
        <v>0</v>
      </c>
      <c r="M36" s="793">
        <f t="shared" si="25"/>
        <v>0</v>
      </c>
      <c r="N36" s="793">
        <v>1040</v>
      </c>
      <c r="O36" s="793">
        <v>508</v>
      </c>
      <c r="P36" s="793">
        <v>4797</v>
      </c>
      <c r="Q36" s="793">
        <v>275</v>
      </c>
      <c r="R36" s="926">
        <v>174125</v>
      </c>
      <c r="S36" s="793">
        <v>-1100</v>
      </c>
      <c r="T36" s="926">
        <v>106600</v>
      </c>
      <c r="U36" s="793">
        <v>6600</v>
      </c>
      <c r="V36" s="793">
        <v>19000</v>
      </c>
      <c r="W36" s="793">
        <v>-1000</v>
      </c>
      <c r="X36" s="793">
        <v>-4000</v>
      </c>
      <c r="Y36" s="793">
        <v>7000</v>
      </c>
      <c r="Z36" s="793">
        <v>3000</v>
      </c>
      <c r="AA36" s="793">
        <v>0</v>
      </c>
      <c r="AB36" s="793">
        <v>-1000</v>
      </c>
      <c r="AC36" s="793"/>
      <c r="AD36" s="793"/>
      <c r="AE36" s="793"/>
      <c r="AF36" s="793"/>
      <c r="AG36" s="793"/>
      <c r="AH36" s="11"/>
      <c r="AI36" s="11"/>
      <c r="AJ36" s="11"/>
      <c r="AK36" s="11"/>
      <c r="AL36" s="11"/>
      <c r="AM36" s="11"/>
      <c r="AN36" s="11"/>
    </row>
    <row r="37" spans="1:40" s="776" customFormat="1">
      <c r="A37" s="52"/>
      <c r="B37" s="73" t="s">
        <v>72</v>
      </c>
      <c r="C37" s="69"/>
      <c r="D37" s="793"/>
      <c r="E37" s="793"/>
      <c r="F37" s="793">
        <f t="shared" ref="F37:M37" si="26">F114+F121</f>
        <v>80911</v>
      </c>
      <c r="G37" s="793">
        <f t="shared" si="26"/>
        <v>-250</v>
      </c>
      <c r="H37" s="793">
        <f t="shared" si="26"/>
        <v>-107</v>
      </c>
      <c r="I37" s="793">
        <f t="shared" si="26"/>
        <v>-108</v>
      </c>
      <c r="J37" s="793">
        <f t="shared" si="26"/>
        <v>-22</v>
      </c>
      <c r="K37" s="793">
        <f t="shared" si="26"/>
        <v>-425</v>
      </c>
      <c r="L37" s="793">
        <f t="shared" si="26"/>
        <v>-875</v>
      </c>
      <c r="M37" s="926">
        <f t="shared" si="26"/>
        <v>652367</v>
      </c>
      <c r="N37" s="793"/>
      <c r="O37" s="793"/>
      <c r="P37" s="793"/>
      <c r="Q37" s="793"/>
      <c r="R37" s="793">
        <v>0</v>
      </c>
      <c r="S37" s="793">
        <v>-400</v>
      </c>
      <c r="T37" s="793">
        <v>0</v>
      </c>
      <c r="U37" s="793">
        <v>0</v>
      </c>
      <c r="V37" s="793">
        <v>0</v>
      </c>
      <c r="W37" s="793">
        <v>0</v>
      </c>
      <c r="X37" s="793">
        <v>0</v>
      </c>
      <c r="Y37" s="793">
        <v>0</v>
      </c>
      <c r="Z37" s="793">
        <v>0</v>
      </c>
      <c r="AA37" s="793">
        <v>0</v>
      </c>
      <c r="AB37" s="793">
        <v>0</v>
      </c>
      <c r="AC37" s="793"/>
      <c r="AD37" s="793"/>
      <c r="AE37" s="793"/>
      <c r="AF37" s="793"/>
      <c r="AG37" s="793"/>
      <c r="AH37" s="11"/>
      <c r="AI37" s="11"/>
      <c r="AJ37" s="11"/>
      <c r="AK37" s="11"/>
      <c r="AL37" s="11"/>
      <c r="AM37" s="11"/>
      <c r="AN37" s="11"/>
    </row>
    <row r="38" spans="1:40" s="776" customFormat="1">
      <c r="A38" s="52"/>
      <c r="B38" s="73" t="s">
        <v>73</v>
      </c>
      <c r="C38" s="69"/>
      <c r="D38" s="793"/>
      <c r="E38" s="793"/>
      <c r="F38" s="793">
        <f t="shared" ref="F38:M38" si="27">F119</f>
        <v>0</v>
      </c>
      <c r="G38" s="793">
        <f t="shared" si="27"/>
        <v>0</v>
      </c>
      <c r="H38" s="793">
        <f t="shared" si="27"/>
        <v>-3100</v>
      </c>
      <c r="I38" s="793">
        <f t="shared" si="27"/>
        <v>-1972</v>
      </c>
      <c r="J38" s="793">
        <f t="shared" si="27"/>
        <v>-3235</v>
      </c>
      <c r="K38" s="793">
        <f t="shared" si="27"/>
        <v>-328</v>
      </c>
      <c r="L38" s="793">
        <f t="shared" si="27"/>
        <v>125</v>
      </c>
      <c r="M38" s="793">
        <f t="shared" si="27"/>
        <v>-1430</v>
      </c>
      <c r="N38" s="793">
        <v>0</v>
      </c>
      <c r="O38" s="793">
        <v>-98</v>
      </c>
      <c r="P38" s="793">
        <v>-1883</v>
      </c>
      <c r="Q38" s="793">
        <v>-2012</v>
      </c>
      <c r="R38" s="793">
        <v>-3382</v>
      </c>
      <c r="S38" s="793">
        <v>-2700</v>
      </c>
      <c r="T38" s="793">
        <v>100</v>
      </c>
      <c r="U38" s="793">
        <v>-400</v>
      </c>
      <c r="V38" s="793"/>
      <c r="W38" s="793"/>
      <c r="X38" s="793"/>
      <c r="Y38" s="793"/>
      <c r="Z38" s="793"/>
      <c r="AA38" s="793"/>
      <c r="AB38" s="793"/>
      <c r="AC38" s="793"/>
      <c r="AD38" s="793"/>
      <c r="AE38" s="793"/>
      <c r="AF38" s="793"/>
      <c r="AG38" s="793"/>
      <c r="AH38" s="11"/>
      <c r="AI38" s="11"/>
      <c r="AJ38" s="11"/>
      <c r="AK38" s="11"/>
      <c r="AL38" s="11"/>
      <c r="AM38" s="11"/>
      <c r="AN38" s="11"/>
    </row>
    <row r="39" spans="1:40" s="776" customFormat="1">
      <c r="A39" s="52"/>
      <c r="B39" s="242" t="s">
        <v>74</v>
      </c>
      <c r="C39" s="242"/>
      <c r="D39" s="793"/>
      <c r="E39" s="793"/>
      <c r="F39" s="793">
        <f t="shared" ref="F39:M39" si="28">F88</f>
        <v>0</v>
      </c>
      <c r="G39" s="793">
        <f t="shared" si="28"/>
        <v>0</v>
      </c>
      <c r="H39" s="793">
        <f t="shared" si="28"/>
        <v>0</v>
      </c>
      <c r="I39" s="793">
        <f t="shared" si="28"/>
        <v>0</v>
      </c>
      <c r="J39" s="793">
        <f t="shared" si="28"/>
        <v>481</v>
      </c>
      <c r="K39" s="793">
        <f t="shared" si="28"/>
        <v>2027</v>
      </c>
      <c r="L39" s="793">
        <f t="shared" si="28"/>
        <v>-49</v>
      </c>
      <c r="M39" s="926">
        <f t="shared" si="28"/>
        <v>33695</v>
      </c>
      <c r="N39" s="793">
        <v>0</v>
      </c>
      <c r="O39" s="793">
        <v>0</v>
      </c>
      <c r="P39" s="793">
        <v>0</v>
      </c>
      <c r="Q39" s="793">
        <v>0</v>
      </c>
      <c r="R39" s="793">
        <v>0</v>
      </c>
      <c r="S39" s="793">
        <v>0</v>
      </c>
      <c r="T39" s="793">
        <v>0</v>
      </c>
      <c r="U39" s="793">
        <v>0</v>
      </c>
      <c r="V39" s="793">
        <v>0</v>
      </c>
      <c r="W39" s="793">
        <v>0</v>
      </c>
      <c r="X39" s="793">
        <v>0</v>
      </c>
      <c r="Y39" s="793">
        <v>0</v>
      </c>
      <c r="Z39" s="793">
        <v>0</v>
      </c>
      <c r="AA39" s="793">
        <v>0</v>
      </c>
      <c r="AB39" s="793">
        <v>0</v>
      </c>
      <c r="AC39" s="793"/>
      <c r="AD39" s="793"/>
      <c r="AE39" s="793"/>
      <c r="AF39" s="793"/>
      <c r="AG39" s="793"/>
      <c r="AH39" s="11"/>
      <c r="AI39" s="11"/>
      <c r="AJ39" s="11"/>
      <c r="AK39" s="11"/>
      <c r="AL39" s="11"/>
      <c r="AM39" s="11"/>
      <c r="AN39" s="11"/>
    </row>
    <row r="40" spans="1:40" s="776" customFormat="1">
      <c r="A40" s="52"/>
      <c r="B40" s="242" t="s">
        <v>75</v>
      </c>
      <c r="C40" s="69"/>
      <c r="D40" s="793"/>
      <c r="E40" s="793"/>
      <c r="F40" s="793">
        <f t="shared" ref="F40:M41" si="29">F122</f>
        <v>0</v>
      </c>
      <c r="G40" s="793">
        <f t="shared" si="29"/>
        <v>0</v>
      </c>
      <c r="H40" s="793">
        <f t="shared" si="29"/>
        <v>0</v>
      </c>
      <c r="I40" s="793">
        <f t="shared" si="29"/>
        <v>0</v>
      </c>
      <c r="J40" s="793">
        <f t="shared" si="29"/>
        <v>0</v>
      </c>
      <c r="K40" s="793">
        <f t="shared" si="29"/>
        <v>0</v>
      </c>
      <c r="L40" s="793">
        <f t="shared" si="29"/>
        <v>0</v>
      </c>
      <c r="M40" s="926">
        <f t="shared" si="29"/>
        <v>-26879</v>
      </c>
      <c r="N40" s="793">
        <v>0</v>
      </c>
      <c r="O40" s="793">
        <v>0</v>
      </c>
      <c r="P40" s="793">
        <v>0</v>
      </c>
      <c r="Q40" s="793">
        <v>0</v>
      </c>
      <c r="R40" s="793">
        <v>0</v>
      </c>
      <c r="S40" s="793">
        <v>0</v>
      </c>
      <c r="T40" s="793">
        <v>0</v>
      </c>
      <c r="U40" s="793">
        <v>0</v>
      </c>
      <c r="V40" s="793">
        <v>0</v>
      </c>
      <c r="W40" s="793">
        <v>0</v>
      </c>
      <c r="X40" s="793">
        <v>0</v>
      </c>
      <c r="Y40" s="793">
        <v>0</v>
      </c>
      <c r="Z40" s="793">
        <v>0</v>
      </c>
      <c r="AA40" s="793">
        <v>0</v>
      </c>
      <c r="AB40" s="793">
        <v>0</v>
      </c>
      <c r="AC40" s="793"/>
      <c r="AD40" s="793"/>
      <c r="AE40" s="793"/>
      <c r="AF40" s="793"/>
      <c r="AG40" s="793"/>
      <c r="AH40" s="11"/>
      <c r="AI40" s="11"/>
      <c r="AJ40" s="11"/>
      <c r="AK40" s="11"/>
      <c r="AL40" s="11"/>
      <c r="AM40" s="11"/>
      <c r="AN40" s="11"/>
    </row>
    <row r="41" spans="1:40" s="776" customFormat="1">
      <c r="A41" s="52"/>
      <c r="B41" s="73" t="s">
        <v>76</v>
      </c>
      <c r="C41" s="69"/>
      <c r="D41" s="793"/>
      <c r="E41" s="793"/>
      <c r="F41" s="793">
        <f t="shared" si="29"/>
        <v>-3305</v>
      </c>
      <c r="G41" s="793">
        <f t="shared" si="29"/>
        <v>0</v>
      </c>
      <c r="H41" s="793">
        <f t="shared" si="29"/>
        <v>0</v>
      </c>
      <c r="I41" s="793">
        <f t="shared" si="29"/>
        <v>0</v>
      </c>
      <c r="J41" s="793">
        <f t="shared" si="29"/>
        <v>0</v>
      </c>
      <c r="K41" s="793">
        <f t="shared" si="29"/>
        <v>0</v>
      </c>
      <c r="L41" s="793">
        <f t="shared" si="29"/>
        <v>0</v>
      </c>
      <c r="M41" s="793">
        <f t="shared" si="29"/>
        <v>0</v>
      </c>
      <c r="N41" s="793">
        <v>0</v>
      </c>
      <c r="O41" s="793">
        <v>0</v>
      </c>
      <c r="P41" s="793">
        <v>0</v>
      </c>
      <c r="Q41" s="793">
        <v>0</v>
      </c>
      <c r="R41" s="793">
        <v>0</v>
      </c>
      <c r="S41" s="793">
        <v>0</v>
      </c>
      <c r="T41" s="793">
        <v>0</v>
      </c>
      <c r="U41" s="793">
        <v>0</v>
      </c>
      <c r="V41" s="793">
        <v>0</v>
      </c>
      <c r="W41" s="793">
        <v>0</v>
      </c>
      <c r="X41" s="793">
        <v>0</v>
      </c>
      <c r="Y41" s="793">
        <v>0</v>
      </c>
      <c r="Z41" s="793">
        <v>0</v>
      </c>
      <c r="AA41" s="793">
        <v>0</v>
      </c>
      <c r="AB41" s="793">
        <v>0</v>
      </c>
      <c r="AC41" s="793"/>
      <c r="AD41" s="793"/>
      <c r="AE41" s="793"/>
      <c r="AF41" s="793"/>
      <c r="AG41" s="793"/>
      <c r="AH41" s="11"/>
      <c r="AI41" s="11"/>
      <c r="AJ41" s="11"/>
      <c r="AK41" s="11"/>
      <c r="AL41" s="11"/>
      <c r="AM41" s="11"/>
      <c r="AN41" s="11"/>
    </row>
    <row r="42" spans="1:40" s="776" customFormat="1">
      <c r="A42" s="52"/>
      <c r="B42" s="242" t="s">
        <v>28</v>
      </c>
      <c r="C42" s="69"/>
      <c r="D42" s="793"/>
      <c r="E42" s="793"/>
      <c r="F42" s="892">
        <f t="shared" ref="F42:AB42" si="30">F101+F102+F105+F106</f>
        <v>-479</v>
      </c>
      <c r="G42" s="892">
        <f t="shared" si="30"/>
        <v>-1813</v>
      </c>
      <c r="H42" s="892">
        <f t="shared" si="30"/>
        <v>-2090</v>
      </c>
      <c r="I42" s="892">
        <f t="shared" si="30"/>
        <v>-3762</v>
      </c>
      <c r="J42" s="892">
        <f t="shared" si="30"/>
        <v>-3170</v>
      </c>
      <c r="K42" s="892">
        <f t="shared" si="30"/>
        <v>-3301</v>
      </c>
      <c r="L42" s="892">
        <f t="shared" si="30"/>
        <v>-3509</v>
      </c>
      <c r="M42" s="892">
        <f t="shared" si="30"/>
        <v>-3238</v>
      </c>
      <c r="N42" s="892">
        <f t="shared" si="30"/>
        <v>0</v>
      </c>
      <c r="O42" s="892">
        <f t="shared" si="30"/>
        <v>0</v>
      </c>
      <c r="P42" s="892">
        <f t="shared" si="30"/>
        <v>0</v>
      </c>
      <c r="Q42" s="892">
        <f t="shared" si="30"/>
        <v>0</v>
      </c>
      <c r="R42" s="892">
        <f t="shared" si="30"/>
        <v>0</v>
      </c>
      <c r="S42" s="892">
        <f t="shared" si="30"/>
        <v>0</v>
      </c>
      <c r="T42" s="892">
        <f t="shared" si="30"/>
        <v>0</v>
      </c>
      <c r="U42" s="892">
        <f t="shared" si="30"/>
        <v>0</v>
      </c>
      <c r="V42" s="892">
        <f t="shared" si="30"/>
        <v>0</v>
      </c>
      <c r="W42" s="892">
        <f t="shared" si="30"/>
        <v>0</v>
      </c>
      <c r="X42" s="892">
        <f t="shared" si="30"/>
        <v>0</v>
      </c>
      <c r="Y42" s="892">
        <f t="shared" si="30"/>
        <v>0</v>
      </c>
      <c r="Z42" s="892">
        <f t="shared" si="30"/>
        <v>0</v>
      </c>
      <c r="AA42" s="892">
        <f t="shared" si="30"/>
        <v>0</v>
      </c>
      <c r="AB42" s="892">
        <f t="shared" si="30"/>
        <v>0</v>
      </c>
      <c r="AC42" s="793"/>
      <c r="AD42" s="793"/>
      <c r="AE42" s="793"/>
      <c r="AF42" s="793"/>
      <c r="AG42" s="793"/>
      <c r="AH42" s="11"/>
      <c r="AI42" s="11"/>
      <c r="AJ42" s="11"/>
      <c r="AK42" s="11"/>
      <c r="AL42" s="11"/>
      <c r="AM42" s="11"/>
      <c r="AN42" s="11"/>
    </row>
    <row r="43" spans="1:40" s="776" customFormat="1">
      <c r="A43" s="52"/>
      <c r="B43" s="919" t="s">
        <v>77</v>
      </c>
      <c r="C43" s="69"/>
      <c r="D43" s="793"/>
      <c r="E43" s="793"/>
      <c r="F43" s="793">
        <f t="shared" ref="F43:AA43" si="31">SUM(F24:F42)</f>
        <v>62246</v>
      </c>
      <c r="G43" s="793">
        <f t="shared" si="31"/>
        <v>-54616</v>
      </c>
      <c r="H43" s="793">
        <f t="shared" si="31"/>
        <v>-61383</v>
      </c>
      <c r="I43" s="793">
        <f t="shared" si="31"/>
        <v>-73979</v>
      </c>
      <c r="J43" s="793">
        <f t="shared" si="31"/>
        <v>-82817</v>
      </c>
      <c r="K43" s="793">
        <f t="shared" si="31"/>
        <v>-150340</v>
      </c>
      <c r="L43" s="793">
        <f t="shared" si="31"/>
        <v>-99098</v>
      </c>
      <c r="M43" s="793">
        <f t="shared" si="31"/>
        <v>560332</v>
      </c>
      <c r="N43" s="793">
        <f t="shared" si="31"/>
        <v>-115665</v>
      </c>
      <c r="O43" s="793">
        <f t="shared" si="31"/>
        <v>-106764</v>
      </c>
      <c r="P43" s="793">
        <f t="shared" si="31"/>
        <v>-283484</v>
      </c>
      <c r="Q43" s="793">
        <f t="shared" si="31"/>
        <v>-256062</v>
      </c>
      <c r="R43" s="793">
        <f t="shared" si="31"/>
        <v>-153807</v>
      </c>
      <c r="S43" s="793">
        <f t="shared" si="31"/>
        <v>-168100</v>
      </c>
      <c r="T43" s="793">
        <f t="shared" si="31"/>
        <v>-86700</v>
      </c>
      <c r="U43" s="793">
        <f t="shared" si="31"/>
        <v>-222200</v>
      </c>
      <c r="V43" s="793">
        <f t="shared" si="31"/>
        <v>-259000</v>
      </c>
      <c r="W43" s="793">
        <f t="shared" si="31"/>
        <v>-248000</v>
      </c>
      <c r="X43" s="793">
        <f t="shared" si="31"/>
        <v>-354000</v>
      </c>
      <c r="Y43" s="793">
        <f t="shared" si="31"/>
        <v>-285000</v>
      </c>
      <c r="Z43" s="793">
        <f t="shared" si="31"/>
        <v>-220000</v>
      </c>
      <c r="AA43" s="793">
        <f t="shared" si="31"/>
        <v>-483000</v>
      </c>
      <c r="AB43" s="793">
        <f t="shared" ref="AB43" si="32">SUM(AB24:AB42)</f>
        <v>-129000</v>
      </c>
      <c r="AC43" s="793"/>
      <c r="AD43" s="793"/>
      <c r="AE43" s="793"/>
      <c r="AF43" s="793"/>
      <c r="AG43" s="793"/>
      <c r="AH43" s="11"/>
      <c r="AI43" s="11"/>
      <c r="AJ43" s="11"/>
      <c r="AK43" s="11"/>
      <c r="AL43" s="11"/>
      <c r="AM43" s="11"/>
      <c r="AN43" s="11"/>
    </row>
    <row r="44" spans="1:40" s="776" customFormat="1">
      <c r="A44" s="52"/>
      <c r="B44" s="919"/>
      <c r="C44" s="69"/>
      <c r="D44" s="793"/>
      <c r="E44" s="793"/>
      <c r="F44" s="793"/>
      <c r="G44" s="793"/>
      <c r="H44" s="793"/>
      <c r="I44" s="793"/>
      <c r="J44" s="793"/>
      <c r="K44" s="793"/>
      <c r="L44" s="793"/>
      <c r="M44" s="793"/>
      <c r="N44" s="793"/>
      <c r="O44" s="793"/>
      <c r="P44" s="793"/>
      <c r="Q44" s="793"/>
      <c r="R44" s="793"/>
      <c r="S44" s="793"/>
      <c r="T44" s="793"/>
      <c r="U44" s="793"/>
      <c r="V44" s="793"/>
      <c r="W44" s="793"/>
      <c r="X44" s="793"/>
      <c r="Y44" s="793"/>
      <c r="Z44" s="793"/>
      <c r="AA44" s="793"/>
      <c r="AB44" s="793"/>
      <c r="AC44" s="793"/>
      <c r="AD44" s="793"/>
      <c r="AE44" s="793"/>
      <c r="AF44" s="793"/>
      <c r="AG44" s="793"/>
      <c r="AH44" s="11"/>
      <c r="AI44" s="11"/>
      <c r="AJ44" s="11"/>
      <c r="AK44" s="11"/>
      <c r="AL44" s="11"/>
      <c r="AM44" s="11"/>
      <c r="AN44" s="11"/>
    </row>
    <row r="45" spans="1:40" s="776" customFormat="1">
      <c r="A45" s="921" t="s">
        <v>78</v>
      </c>
      <c r="B45" s="67"/>
      <c r="C45" s="67"/>
      <c r="D45" s="892"/>
      <c r="E45" s="793"/>
      <c r="F45" s="892">
        <f t="shared" ref="F45:AA45" si="33">F23+F43</f>
        <v>132362</v>
      </c>
      <c r="G45" s="892">
        <f t="shared" si="33"/>
        <v>159659</v>
      </c>
      <c r="H45" s="892">
        <f t="shared" si="33"/>
        <v>204004</v>
      </c>
      <c r="I45" s="892">
        <f t="shared" si="33"/>
        <v>163086</v>
      </c>
      <c r="J45" s="892">
        <f t="shared" si="33"/>
        <v>228050</v>
      </c>
      <c r="K45" s="892">
        <f t="shared" si="33"/>
        <v>292295</v>
      </c>
      <c r="L45" s="892">
        <f t="shared" si="33"/>
        <v>417313</v>
      </c>
      <c r="M45" s="892">
        <f t="shared" si="33"/>
        <v>987633</v>
      </c>
      <c r="N45" s="892">
        <f t="shared" si="33"/>
        <v>360756</v>
      </c>
      <c r="O45" s="892">
        <f t="shared" si="33"/>
        <v>264336</v>
      </c>
      <c r="P45" s="892">
        <f t="shared" si="33"/>
        <v>228868</v>
      </c>
      <c r="Q45" s="892">
        <f t="shared" si="33"/>
        <v>385618</v>
      </c>
      <c r="R45" s="892">
        <f t="shared" si="33"/>
        <v>506120</v>
      </c>
      <c r="S45" s="892">
        <f t="shared" si="33"/>
        <v>308500</v>
      </c>
      <c r="T45" s="892">
        <f t="shared" si="33"/>
        <v>498100</v>
      </c>
      <c r="U45" s="892">
        <f t="shared" si="33"/>
        <v>363100</v>
      </c>
      <c r="V45" s="892">
        <f t="shared" si="33"/>
        <v>359000</v>
      </c>
      <c r="W45" s="892">
        <f t="shared" si="33"/>
        <v>402000</v>
      </c>
      <c r="X45" s="892">
        <f t="shared" si="33"/>
        <v>303000</v>
      </c>
      <c r="Y45" s="892">
        <f t="shared" si="33"/>
        <v>381000</v>
      </c>
      <c r="Z45" s="892">
        <f t="shared" si="33"/>
        <v>618000</v>
      </c>
      <c r="AA45" s="892">
        <f t="shared" si="33"/>
        <v>371000</v>
      </c>
      <c r="AB45" s="892">
        <f t="shared" ref="AB45" si="34">AB23+AB43</f>
        <v>600000</v>
      </c>
      <c r="AC45" s="793"/>
      <c r="AD45" s="793"/>
      <c r="AE45" s="793"/>
      <c r="AF45" s="793"/>
      <c r="AG45" s="793"/>
      <c r="AH45" s="11"/>
      <c r="AI45" s="11"/>
      <c r="AJ45" s="11"/>
      <c r="AK45" s="11"/>
      <c r="AL45" s="11"/>
      <c r="AM45" s="11"/>
      <c r="AN45" s="11"/>
    </row>
    <row r="46" spans="1:40" s="776" customFormat="1">
      <c r="A46" s="52"/>
      <c r="B46" s="922"/>
      <c r="C46" s="69"/>
      <c r="D46" s="793"/>
      <c r="E46" s="793"/>
      <c r="F46" s="793"/>
      <c r="G46" s="793"/>
      <c r="H46" s="793"/>
      <c r="I46" s="793"/>
      <c r="J46" s="793"/>
      <c r="K46" s="793"/>
      <c r="L46" s="793"/>
      <c r="M46" s="793"/>
      <c r="N46" s="793"/>
      <c r="O46" s="793"/>
      <c r="P46" s="793"/>
      <c r="Q46" s="793"/>
      <c r="R46" s="793"/>
      <c r="S46" s="793"/>
      <c r="T46" s="793"/>
      <c r="U46" s="793"/>
      <c r="V46" s="793"/>
      <c r="W46" s="793"/>
      <c r="X46" s="793"/>
      <c r="Y46" s="793"/>
      <c r="Z46" s="793"/>
      <c r="AA46" s="793"/>
      <c r="AB46" s="793"/>
      <c r="AC46" s="793"/>
      <c r="AD46" s="793"/>
      <c r="AE46" s="793"/>
      <c r="AF46" s="793"/>
      <c r="AG46" s="793"/>
      <c r="AH46" s="11"/>
      <c r="AI46" s="11"/>
      <c r="AJ46" s="11"/>
      <c r="AK46" s="11"/>
      <c r="AL46" s="11"/>
      <c r="AM46" s="11"/>
      <c r="AN46" s="11"/>
    </row>
    <row r="47" spans="1:40" s="776" customFormat="1">
      <c r="A47" s="921" t="s">
        <v>79</v>
      </c>
      <c r="B47" s="921"/>
      <c r="C47" s="67"/>
      <c r="D47" s="793"/>
      <c r="E47" s="793"/>
      <c r="F47" s="793"/>
      <c r="G47" s="793"/>
      <c r="H47" s="793"/>
      <c r="I47" s="793"/>
      <c r="J47" s="793"/>
      <c r="K47" s="793"/>
      <c r="L47" s="793"/>
      <c r="M47" s="793"/>
      <c r="N47" s="793"/>
      <c r="O47" s="793"/>
      <c r="P47" s="793"/>
      <c r="Q47" s="793"/>
      <c r="R47" s="793"/>
      <c r="S47" s="793"/>
      <c r="T47" s="793"/>
      <c r="U47" s="793"/>
      <c r="V47" s="793"/>
      <c r="W47" s="793"/>
      <c r="X47" s="793"/>
      <c r="Y47" s="793"/>
      <c r="Z47" s="793"/>
      <c r="AA47" s="793"/>
      <c r="AB47" s="793"/>
      <c r="AC47" s="793"/>
      <c r="AD47" s="793"/>
      <c r="AE47" s="793"/>
      <c r="AF47" s="793"/>
      <c r="AG47" s="793"/>
      <c r="AH47" s="11"/>
      <c r="AI47" s="11"/>
      <c r="AJ47" s="11"/>
      <c r="AK47" s="11"/>
      <c r="AL47" s="11"/>
      <c r="AM47" s="11"/>
      <c r="AN47" s="11"/>
    </row>
    <row r="48" spans="1:40" s="776" customFormat="1">
      <c r="A48" s="52"/>
      <c r="B48" s="73" t="s">
        <v>79</v>
      </c>
      <c r="C48" s="69"/>
      <c r="D48" s="793"/>
      <c r="E48" s="793"/>
      <c r="F48" s="793">
        <f t="shared" ref="F48:M49" si="35">F244</f>
        <v>-7094</v>
      </c>
      <c r="G48" s="793">
        <f t="shared" si="35"/>
        <v>-18950</v>
      </c>
      <c r="H48" s="793">
        <f t="shared" si="35"/>
        <v>-17356</v>
      </c>
      <c r="I48" s="793">
        <f t="shared" si="35"/>
        <v>-32249</v>
      </c>
      <c r="J48" s="793">
        <f t="shared" si="35"/>
        <v>-57469</v>
      </c>
      <c r="K48" s="793">
        <f t="shared" si="35"/>
        <v>-86945</v>
      </c>
      <c r="L48" s="793">
        <f t="shared" si="35"/>
        <v>-92092</v>
      </c>
      <c r="M48" s="793">
        <f t="shared" si="35"/>
        <v>-69424</v>
      </c>
      <c r="N48" s="793">
        <v>-56323</v>
      </c>
      <c r="O48" s="793">
        <v>-56898</v>
      </c>
      <c r="P48" s="793">
        <v>-73026</v>
      </c>
      <c r="Q48" s="793">
        <v>-86816</v>
      </c>
      <c r="R48" s="793">
        <v>-110460</v>
      </c>
      <c r="S48" s="793">
        <v>-90200</v>
      </c>
      <c r="T48" s="793">
        <v>-115100</v>
      </c>
      <c r="U48" s="793">
        <v>-82200</v>
      </c>
      <c r="V48" s="793">
        <v>-86000</v>
      </c>
      <c r="W48" s="793">
        <v>-80000</v>
      </c>
      <c r="X48" s="793">
        <v>-79000</v>
      </c>
      <c r="Y48" s="793">
        <v>-82000</v>
      </c>
      <c r="Z48" s="793">
        <v>-84000</v>
      </c>
      <c r="AA48" s="793">
        <v>-85000</v>
      </c>
      <c r="AB48" s="793">
        <v>-84000</v>
      </c>
      <c r="AC48" s="793"/>
      <c r="AD48" s="793"/>
      <c r="AE48" s="793"/>
      <c r="AF48" s="793"/>
      <c r="AG48" s="793"/>
      <c r="AH48" s="11"/>
      <c r="AI48" s="11"/>
      <c r="AJ48" s="11"/>
      <c r="AK48" s="11"/>
      <c r="AL48" s="11"/>
      <c r="AM48" s="11"/>
      <c r="AN48" s="11"/>
    </row>
    <row r="49" spans="1:40" s="776" customFormat="1">
      <c r="A49" s="52"/>
      <c r="B49" s="73" t="s">
        <v>80</v>
      </c>
      <c r="C49" s="69"/>
      <c r="D49" s="793"/>
      <c r="E49" s="793"/>
      <c r="F49" s="793">
        <f t="shared" si="35"/>
        <v>575</v>
      </c>
      <c r="G49" s="793">
        <f t="shared" si="35"/>
        <v>2409</v>
      </c>
      <c r="H49" s="793">
        <f t="shared" si="35"/>
        <v>4056</v>
      </c>
      <c r="I49" s="793">
        <f t="shared" si="35"/>
        <v>962</v>
      </c>
      <c r="J49" s="793">
        <f t="shared" si="35"/>
        <v>1431</v>
      </c>
      <c r="K49" s="793">
        <f t="shared" si="35"/>
        <v>6547</v>
      </c>
      <c r="L49" s="793">
        <f t="shared" si="35"/>
        <v>7015</v>
      </c>
      <c r="M49" s="793">
        <f t="shared" si="35"/>
        <v>39488</v>
      </c>
      <c r="N49" s="793">
        <v>10364</v>
      </c>
      <c r="O49" s="793">
        <v>4561</v>
      </c>
      <c r="P49" s="793">
        <v>4600</v>
      </c>
      <c r="Q49" s="793">
        <v>1730</v>
      </c>
      <c r="R49" s="793">
        <v>2786</v>
      </c>
      <c r="S49" s="793">
        <v>7700</v>
      </c>
      <c r="T49" s="793">
        <v>1600</v>
      </c>
      <c r="U49" s="793">
        <v>8500</v>
      </c>
      <c r="V49" s="793">
        <v>8000</v>
      </c>
      <c r="W49" s="793">
        <v>2000</v>
      </c>
      <c r="X49" s="793">
        <v>2000</v>
      </c>
      <c r="Y49" s="793">
        <v>1000</v>
      </c>
      <c r="Z49" s="793">
        <v>1000</v>
      </c>
      <c r="AA49" s="793">
        <v>1000</v>
      </c>
      <c r="AB49" s="793">
        <v>0</v>
      </c>
      <c r="AC49" s="793"/>
      <c r="AD49" s="793"/>
      <c r="AE49" s="793"/>
      <c r="AF49" s="793"/>
      <c r="AG49" s="793"/>
      <c r="AH49" s="11"/>
      <c r="AI49" s="11"/>
      <c r="AJ49" s="11"/>
      <c r="AK49" s="11"/>
      <c r="AL49" s="11"/>
      <c r="AM49" s="11"/>
      <c r="AN49" s="11"/>
    </row>
    <row r="50" spans="1:40" s="776" customFormat="1">
      <c r="A50" s="52"/>
      <c r="B50" s="73" t="s">
        <v>58</v>
      </c>
      <c r="C50" s="69"/>
      <c r="D50" s="793"/>
      <c r="E50" s="793"/>
      <c r="F50" s="892"/>
      <c r="G50" s="892"/>
      <c r="H50" s="892"/>
      <c r="I50" s="892"/>
      <c r="J50" s="892"/>
      <c r="K50" s="892"/>
      <c r="L50" s="892"/>
      <c r="M50" s="892"/>
      <c r="N50" s="892">
        <v>23888</v>
      </c>
      <c r="O50" s="892">
        <v>-14332</v>
      </c>
      <c r="P50" s="892">
        <v>-32489</v>
      </c>
      <c r="Q50" s="892">
        <v>-23296</v>
      </c>
      <c r="R50" s="892">
        <v>-14157</v>
      </c>
      <c r="S50" s="892">
        <v>-68000</v>
      </c>
      <c r="T50" s="892">
        <v>42700</v>
      </c>
      <c r="U50" s="892">
        <v>27000</v>
      </c>
      <c r="V50" s="892">
        <v>-32000</v>
      </c>
      <c r="W50" s="892">
        <v>-68000</v>
      </c>
      <c r="X50" s="892">
        <v>55000</v>
      </c>
      <c r="Y50" s="892">
        <v>-4000</v>
      </c>
      <c r="Z50" s="892">
        <v>-63000</v>
      </c>
      <c r="AA50" s="892">
        <v>-48000</v>
      </c>
      <c r="AB50" s="892">
        <v>79000</v>
      </c>
      <c r="AC50" s="793"/>
      <c r="AD50" s="793"/>
      <c r="AE50" s="793"/>
      <c r="AF50" s="793"/>
      <c r="AG50" s="793"/>
      <c r="AH50" s="11"/>
      <c r="AI50" s="11"/>
      <c r="AJ50" s="11"/>
      <c r="AK50" s="11"/>
      <c r="AL50" s="11"/>
      <c r="AM50" s="11"/>
      <c r="AN50" s="11"/>
    </row>
    <row r="51" spans="1:40" s="776" customFormat="1">
      <c r="A51" s="52"/>
      <c r="B51" s="922" t="s">
        <v>81</v>
      </c>
      <c r="C51" s="69"/>
      <c r="D51" s="793"/>
      <c r="E51" s="793"/>
      <c r="F51" s="793">
        <f>SUM(F48:F50)</f>
        <v>-6519</v>
      </c>
      <c r="G51" s="793">
        <f t="shared" ref="G51:M51" si="36">SUM(G48:G50)</f>
        <v>-16541</v>
      </c>
      <c r="H51" s="793">
        <f t="shared" si="36"/>
        <v>-13300</v>
      </c>
      <c r="I51" s="793">
        <f t="shared" si="36"/>
        <v>-31287</v>
      </c>
      <c r="J51" s="793">
        <f t="shared" si="36"/>
        <v>-56038</v>
      </c>
      <c r="K51" s="793">
        <f t="shared" si="36"/>
        <v>-80398</v>
      </c>
      <c r="L51" s="793">
        <f t="shared" si="36"/>
        <v>-85077</v>
      </c>
      <c r="M51" s="793">
        <f t="shared" si="36"/>
        <v>-29936</v>
      </c>
      <c r="N51" s="793">
        <f t="shared" ref="N51:AA51" si="37">SUM(N48:N50)</f>
        <v>-22071</v>
      </c>
      <c r="O51" s="793">
        <f t="shared" si="37"/>
        <v>-66669</v>
      </c>
      <c r="P51" s="793">
        <f t="shared" si="37"/>
        <v>-100915</v>
      </c>
      <c r="Q51" s="793">
        <f t="shared" si="37"/>
        <v>-108382</v>
      </c>
      <c r="R51" s="793">
        <f t="shared" si="37"/>
        <v>-121831</v>
      </c>
      <c r="S51" s="793">
        <f t="shared" si="37"/>
        <v>-150500</v>
      </c>
      <c r="T51" s="793">
        <f t="shared" si="37"/>
        <v>-70800</v>
      </c>
      <c r="U51" s="793">
        <f t="shared" si="37"/>
        <v>-46700</v>
      </c>
      <c r="V51" s="793">
        <f t="shared" si="37"/>
        <v>-110000</v>
      </c>
      <c r="W51" s="793">
        <f t="shared" si="37"/>
        <v>-146000</v>
      </c>
      <c r="X51" s="793">
        <f t="shared" si="37"/>
        <v>-22000</v>
      </c>
      <c r="Y51" s="793">
        <f t="shared" si="37"/>
        <v>-85000</v>
      </c>
      <c r="Z51" s="793">
        <f t="shared" si="37"/>
        <v>-146000</v>
      </c>
      <c r="AA51" s="793">
        <f t="shared" si="37"/>
        <v>-132000</v>
      </c>
      <c r="AB51" s="793">
        <f t="shared" ref="AB51" si="38">SUM(AB48:AB50)</f>
        <v>-5000</v>
      </c>
      <c r="AC51" s="793"/>
      <c r="AD51" s="793"/>
      <c r="AE51" s="793"/>
      <c r="AF51" s="793"/>
      <c r="AG51" s="793"/>
      <c r="AH51" s="11"/>
      <c r="AI51" s="11"/>
      <c r="AJ51" s="11"/>
      <c r="AK51" s="11"/>
      <c r="AL51" s="11"/>
      <c r="AM51" s="11"/>
      <c r="AN51" s="11"/>
    </row>
    <row r="52" spans="1:40" s="776" customFormat="1">
      <c r="A52" s="52"/>
      <c r="B52" s="922"/>
      <c r="C52" s="69"/>
      <c r="D52" s="793"/>
      <c r="E52" s="793"/>
      <c r="F52" s="793"/>
      <c r="G52" s="793"/>
      <c r="H52" s="793"/>
      <c r="I52" s="793"/>
      <c r="J52" s="793"/>
      <c r="K52" s="793"/>
      <c r="L52" s="793"/>
      <c r="M52" s="793"/>
      <c r="N52" s="793"/>
      <c r="O52" s="793"/>
      <c r="P52" s="793"/>
      <c r="Q52" s="793"/>
      <c r="R52" s="793"/>
      <c r="S52" s="793"/>
      <c r="T52" s="793"/>
      <c r="U52" s="793"/>
      <c r="V52" s="793"/>
      <c r="W52" s="793"/>
      <c r="X52" s="793"/>
      <c r="Y52" s="793"/>
      <c r="Z52" s="793"/>
      <c r="AA52" s="793"/>
      <c r="AB52" s="793"/>
      <c r="AC52" s="793"/>
      <c r="AD52" s="793"/>
      <c r="AE52" s="793"/>
      <c r="AF52" s="793"/>
      <c r="AG52" s="793"/>
      <c r="AH52" s="11"/>
      <c r="AI52" s="11"/>
      <c r="AJ52" s="11"/>
      <c r="AK52" s="11"/>
      <c r="AL52" s="11"/>
      <c r="AM52" s="11"/>
      <c r="AN52" s="11"/>
    </row>
    <row r="53" spans="1:40" s="776" customFormat="1">
      <c r="A53" s="921" t="s">
        <v>82</v>
      </c>
      <c r="B53" s="923"/>
      <c r="C53" s="924"/>
      <c r="D53" s="892"/>
      <c r="E53" s="793"/>
      <c r="F53" s="892">
        <f>F45+F51</f>
        <v>125843</v>
      </c>
      <c r="G53" s="892">
        <f t="shared" ref="G53:M53" si="39">G45+G51</f>
        <v>143118</v>
      </c>
      <c r="H53" s="892">
        <f t="shared" si="39"/>
        <v>190704</v>
      </c>
      <c r="I53" s="892">
        <f t="shared" si="39"/>
        <v>131799</v>
      </c>
      <c r="J53" s="892">
        <f t="shared" si="39"/>
        <v>172012</v>
      </c>
      <c r="K53" s="892">
        <f t="shared" si="39"/>
        <v>211897</v>
      </c>
      <c r="L53" s="892">
        <f t="shared" si="39"/>
        <v>332236</v>
      </c>
      <c r="M53" s="892">
        <f t="shared" si="39"/>
        <v>957697</v>
      </c>
      <c r="N53" s="892">
        <f t="shared" ref="N53:AB53" si="40">N45+N51</f>
        <v>338685</v>
      </c>
      <c r="O53" s="892">
        <f t="shared" si="40"/>
        <v>197667</v>
      </c>
      <c r="P53" s="892">
        <f t="shared" si="40"/>
        <v>127953</v>
      </c>
      <c r="Q53" s="892">
        <f t="shared" si="40"/>
        <v>277236</v>
      </c>
      <c r="R53" s="892">
        <f t="shared" si="40"/>
        <v>384289</v>
      </c>
      <c r="S53" s="892">
        <f t="shared" si="40"/>
        <v>158000</v>
      </c>
      <c r="T53" s="892">
        <f t="shared" si="40"/>
        <v>427300</v>
      </c>
      <c r="U53" s="892">
        <f t="shared" si="40"/>
        <v>316400</v>
      </c>
      <c r="V53" s="892">
        <f t="shared" si="40"/>
        <v>249000</v>
      </c>
      <c r="W53" s="892">
        <f t="shared" si="40"/>
        <v>256000</v>
      </c>
      <c r="X53" s="892">
        <f t="shared" si="40"/>
        <v>281000</v>
      </c>
      <c r="Y53" s="892">
        <f t="shared" si="40"/>
        <v>296000</v>
      </c>
      <c r="Z53" s="892">
        <f t="shared" si="40"/>
        <v>472000</v>
      </c>
      <c r="AA53" s="892">
        <f t="shared" si="40"/>
        <v>239000</v>
      </c>
      <c r="AB53" s="892">
        <f t="shared" si="40"/>
        <v>595000</v>
      </c>
      <c r="AC53" s="793"/>
      <c r="AD53" s="793"/>
      <c r="AE53" s="793"/>
      <c r="AF53" s="793"/>
      <c r="AG53" s="793"/>
      <c r="AH53" s="11"/>
      <c r="AI53" s="11"/>
      <c r="AJ53" s="11"/>
      <c r="AK53" s="11"/>
      <c r="AL53" s="11"/>
      <c r="AM53" s="11"/>
      <c r="AN53" s="11"/>
    </row>
    <row r="54" spans="1:40" s="776" customFormat="1">
      <c r="A54" s="899"/>
      <c r="B54" s="69"/>
      <c r="C54" s="899"/>
      <c r="D54" s="793"/>
      <c r="E54" s="793"/>
      <c r="F54" s="793"/>
      <c r="G54" s="793"/>
      <c r="H54" s="793"/>
      <c r="I54" s="793"/>
      <c r="J54" s="793"/>
      <c r="K54" s="793"/>
      <c r="L54" s="793"/>
      <c r="M54" s="793"/>
      <c r="N54" s="793"/>
      <c r="O54" s="793"/>
      <c r="P54" s="793"/>
      <c r="Q54" s="793"/>
      <c r="R54" s="793"/>
      <c r="S54" s="793"/>
      <c r="T54" s="793"/>
      <c r="U54" s="793"/>
      <c r="V54" s="793"/>
      <c r="W54" s="793"/>
      <c r="X54" s="793"/>
      <c r="Y54" s="793"/>
      <c r="Z54" s="793"/>
      <c r="AA54" s="793"/>
      <c r="AB54" s="793"/>
      <c r="AC54" s="793"/>
      <c r="AD54" s="793"/>
      <c r="AE54" s="793"/>
      <c r="AF54" s="793"/>
      <c r="AG54" s="793"/>
      <c r="AH54" s="11"/>
      <c r="AI54" s="11"/>
      <c r="AJ54" s="11"/>
      <c r="AK54" s="11"/>
      <c r="AL54" s="11"/>
      <c r="AM54" s="11"/>
      <c r="AN54" s="11"/>
    </row>
    <row r="55" spans="1:40" s="776" customFormat="1">
      <c r="A55" s="52"/>
      <c r="B55" s="73" t="s">
        <v>83</v>
      </c>
      <c r="C55" s="69"/>
      <c r="D55" s="793"/>
      <c r="E55" s="793"/>
      <c r="F55" s="793">
        <f t="shared" ref="F55:M56" si="41">F126</f>
        <v>-10489</v>
      </c>
      <c r="G55" s="793">
        <f t="shared" si="41"/>
        <v>-23070</v>
      </c>
      <c r="H55" s="793">
        <f t="shared" si="41"/>
        <v>-40118</v>
      </c>
      <c r="I55" s="793">
        <f t="shared" si="41"/>
        <v>-21199</v>
      </c>
      <c r="J55" s="793">
        <f t="shared" si="41"/>
        <v>-37996</v>
      </c>
      <c r="K55" s="793">
        <f t="shared" si="41"/>
        <v>-70955</v>
      </c>
      <c r="L55" s="793">
        <f t="shared" si="41"/>
        <v>-79870</v>
      </c>
      <c r="M55" s="793">
        <f t="shared" si="41"/>
        <v>-104359</v>
      </c>
      <c r="N55" s="793">
        <v>-102871</v>
      </c>
      <c r="O55" s="793">
        <v>-60457</v>
      </c>
      <c r="P55" s="793">
        <v>-74538</v>
      </c>
      <c r="Q55" s="793">
        <v>-103913</v>
      </c>
      <c r="R55" s="793">
        <v>-98962</v>
      </c>
      <c r="S55" s="793">
        <v>-26300</v>
      </c>
      <c r="T55" s="793">
        <v>-94600</v>
      </c>
      <c r="U55" s="793">
        <v>-104400</v>
      </c>
      <c r="V55" s="793">
        <v>-60000</v>
      </c>
      <c r="W55" s="793">
        <v>-108000</v>
      </c>
      <c r="X55" s="793">
        <v>-110000</v>
      </c>
      <c r="Y55" s="793">
        <v>-120000</v>
      </c>
      <c r="Z55" s="793">
        <v>-161000</v>
      </c>
      <c r="AA55" s="793">
        <v>-168000</v>
      </c>
      <c r="AB55" s="793">
        <v>-137000</v>
      </c>
      <c r="AC55" s="793"/>
      <c r="AD55" s="793"/>
      <c r="AE55" s="793"/>
      <c r="AF55" s="793"/>
      <c r="AG55" s="793"/>
      <c r="AH55" s="11"/>
      <c r="AI55" s="11"/>
      <c r="AJ55" s="11"/>
      <c r="AK55" s="11"/>
      <c r="AL55" s="11"/>
      <c r="AM55" s="11"/>
      <c r="AN55" s="11"/>
    </row>
    <row r="56" spans="1:40" s="776" customFormat="1">
      <c r="A56" s="52"/>
      <c r="B56" s="73" t="s">
        <v>84</v>
      </c>
      <c r="C56" s="73"/>
      <c r="D56" s="793"/>
      <c r="E56" s="793"/>
      <c r="F56" s="892">
        <f t="shared" si="41"/>
        <v>-5014</v>
      </c>
      <c r="G56" s="892">
        <f t="shared" si="41"/>
        <v>-23714</v>
      </c>
      <c r="H56" s="892">
        <f t="shared" si="41"/>
        <v>-25486</v>
      </c>
      <c r="I56" s="892">
        <f t="shared" si="41"/>
        <v>-26554</v>
      </c>
      <c r="J56" s="892">
        <f t="shared" si="41"/>
        <v>-24702</v>
      </c>
      <c r="K56" s="892">
        <f t="shared" si="41"/>
        <v>-8037</v>
      </c>
      <c r="L56" s="892">
        <f t="shared" si="41"/>
        <v>-34138</v>
      </c>
      <c r="M56" s="892">
        <f t="shared" si="41"/>
        <v>3498</v>
      </c>
      <c r="N56" s="892">
        <v>5416</v>
      </c>
      <c r="O56" s="892">
        <v>-8648</v>
      </c>
      <c r="P56" s="892">
        <v>35848</v>
      </c>
      <c r="Q56" s="892">
        <v>10726</v>
      </c>
      <c r="R56" s="892">
        <v>17784</v>
      </c>
      <c r="S56" s="892">
        <v>-57100</v>
      </c>
      <c r="T56" s="892">
        <v>-37600</v>
      </c>
      <c r="U56" s="892">
        <v>17800</v>
      </c>
      <c r="V56" s="892">
        <v>58000</v>
      </c>
      <c r="W56" s="892">
        <v>37000</v>
      </c>
      <c r="X56" s="892">
        <v>29000</v>
      </c>
      <c r="Y56" s="892">
        <v>25000</v>
      </c>
      <c r="Z56" s="892">
        <v>28000</v>
      </c>
      <c r="AA56" s="892">
        <v>105000</v>
      </c>
      <c r="AB56" s="892">
        <v>-30000</v>
      </c>
      <c r="AC56" s="793"/>
      <c r="AD56" s="793"/>
      <c r="AE56" s="793"/>
      <c r="AF56" s="793"/>
      <c r="AG56" s="793"/>
      <c r="AH56" s="11"/>
      <c r="AI56" s="11"/>
      <c r="AJ56" s="11"/>
      <c r="AK56" s="11"/>
      <c r="AL56" s="11"/>
      <c r="AM56" s="11"/>
      <c r="AN56" s="11"/>
    </row>
    <row r="57" spans="1:40" s="776" customFormat="1">
      <c r="A57" s="52"/>
      <c r="B57" s="73"/>
      <c r="C57" s="73"/>
      <c r="D57" s="793"/>
      <c r="E57" s="793"/>
      <c r="F57" s="793">
        <f>SUM(F55:F56)</f>
        <v>-15503</v>
      </c>
      <c r="G57" s="793">
        <f t="shared" ref="G57:M57" si="42">SUM(G55:G56)</f>
        <v>-46784</v>
      </c>
      <c r="H57" s="793">
        <f t="shared" si="42"/>
        <v>-65604</v>
      </c>
      <c r="I57" s="793">
        <f t="shared" si="42"/>
        <v>-47753</v>
      </c>
      <c r="J57" s="793">
        <f t="shared" si="42"/>
        <v>-62698</v>
      </c>
      <c r="K57" s="793">
        <f t="shared" si="42"/>
        <v>-78992</v>
      </c>
      <c r="L57" s="793">
        <f t="shared" si="42"/>
        <v>-114008</v>
      </c>
      <c r="M57" s="793">
        <f t="shared" si="42"/>
        <v>-100861</v>
      </c>
      <c r="N57" s="793">
        <f t="shared" ref="N57:AA57" si="43">SUM(N55:N56)</f>
        <v>-97455</v>
      </c>
      <c r="O57" s="793">
        <f t="shared" si="43"/>
        <v>-69105</v>
      </c>
      <c r="P57" s="793">
        <f t="shared" si="43"/>
        <v>-38690</v>
      </c>
      <c r="Q57" s="793">
        <f t="shared" si="43"/>
        <v>-93187</v>
      </c>
      <c r="R57" s="793">
        <f t="shared" si="43"/>
        <v>-81178</v>
      </c>
      <c r="S57" s="793">
        <f t="shared" si="43"/>
        <v>-83400</v>
      </c>
      <c r="T57" s="793">
        <f t="shared" si="43"/>
        <v>-132200</v>
      </c>
      <c r="U57" s="793">
        <f t="shared" si="43"/>
        <v>-86600</v>
      </c>
      <c r="V57" s="793">
        <f t="shared" si="43"/>
        <v>-2000</v>
      </c>
      <c r="W57" s="793">
        <f t="shared" si="43"/>
        <v>-71000</v>
      </c>
      <c r="X57" s="793">
        <f t="shared" si="43"/>
        <v>-81000</v>
      </c>
      <c r="Y57" s="793">
        <f t="shared" si="43"/>
        <v>-95000</v>
      </c>
      <c r="Z57" s="793">
        <f t="shared" si="43"/>
        <v>-133000</v>
      </c>
      <c r="AA57" s="793">
        <f t="shared" si="43"/>
        <v>-63000</v>
      </c>
      <c r="AB57" s="793">
        <f t="shared" ref="AB57" si="44">SUM(AB55:AB56)</f>
        <v>-167000</v>
      </c>
      <c r="AC57" s="793"/>
      <c r="AD57" s="793"/>
      <c r="AE57" s="793"/>
      <c r="AF57" s="793"/>
      <c r="AG57" s="793"/>
      <c r="AH57" s="11"/>
      <c r="AI57" s="11"/>
      <c r="AJ57" s="11"/>
      <c r="AK57" s="11"/>
      <c r="AL57" s="11"/>
      <c r="AM57" s="11"/>
      <c r="AN57" s="11"/>
    </row>
    <row r="58" spans="1:40" s="776" customFormat="1">
      <c r="A58" s="52"/>
      <c r="B58" s="73"/>
      <c r="C58" s="73"/>
      <c r="D58" s="793"/>
      <c r="E58" s="793"/>
      <c r="F58" s="793"/>
      <c r="G58" s="793"/>
      <c r="H58" s="793"/>
      <c r="I58" s="793"/>
      <c r="J58" s="793"/>
      <c r="K58" s="793"/>
      <c r="L58" s="793"/>
      <c r="M58" s="793"/>
      <c r="N58" s="793"/>
      <c r="O58" s="793"/>
      <c r="P58" s="793"/>
      <c r="Q58" s="793"/>
      <c r="R58" s="793"/>
      <c r="S58" s="793"/>
      <c r="T58" s="793"/>
      <c r="U58" s="793"/>
      <c r="V58" s="793"/>
      <c r="W58" s="793"/>
      <c r="X58" s="793"/>
      <c r="Y58" s="793"/>
      <c r="Z58" s="793"/>
      <c r="AA58" s="793"/>
      <c r="AB58" s="793"/>
      <c r="AC58" s="793"/>
      <c r="AD58" s="793"/>
      <c r="AE58" s="793"/>
      <c r="AF58" s="793"/>
      <c r="AG58" s="793"/>
      <c r="AH58" s="11"/>
      <c r="AI58" s="11"/>
      <c r="AJ58" s="11"/>
      <c r="AK58" s="11"/>
      <c r="AL58" s="11"/>
      <c r="AM58" s="11"/>
      <c r="AN58" s="11"/>
    </row>
    <row r="59" spans="1:40" s="776" customFormat="1">
      <c r="A59" s="921" t="s">
        <v>85</v>
      </c>
      <c r="B59" s="921"/>
      <c r="C59" s="67"/>
      <c r="D59" s="892"/>
      <c r="E59" s="793"/>
      <c r="F59" s="892">
        <f>F53+F57</f>
        <v>110340</v>
      </c>
      <c r="G59" s="892">
        <f t="shared" ref="G59:M59" si="45">G53+G57</f>
        <v>96334</v>
      </c>
      <c r="H59" s="892">
        <f t="shared" si="45"/>
        <v>125100</v>
      </c>
      <c r="I59" s="892">
        <f t="shared" si="45"/>
        <v>84046</v>
      </c>
      <c r="J59" s="892">
        <f t="shared" si="45"/>
        <v>109314</v>
      </c>
      <c r="K59" s="892">
        <f t="shared" si="45"/>
        <v>132905</v>
      </c>
      <c r="L59" s="892">
        <f t="shared" si="45"/>
        <v>218228</v>
      </c>
      <c r="M59" s="892">
        <f t="shared" si="45"/>
        <v>856836</v>
      </c>
      <c r="N59" s="892">
        <f t="shared" ref="N59:AA59" si="46">N53+N57</f>
        <v>241230</v>
      </c>
      <c r="O59" s="892">
        <f t="shared" si="46"/>
        <v>128562</v>
      </c>
      <c r="P59" s="892">
        <f t="shared" si="46"/>
        <v>89263</v>
      </c>
      <c r="Q59" s="892">
        <f t="shared" si="46"/>
        <v>184049</v>
      </c>
      <c r="R59" s="892">
        <f t="shared" si="46"/>
        <v>303111</v>
      </c>
      <c r="S59" s="892">
        <f>S53+S57</f>
        <v>74600</v>
      </c>
      <c r="T59" s="892">
        <f t="shared" si="46"/>
        <v>295100</v>
      </c>
      <c r="U59" s="892">
        <f t="shared" si="46"/>
        <v>229800</v>
      </c>
      <c r="V59" s="892">
        <f t="shared" si="46"/>
        <v>247000</v>
      </c>
      <c r="W59" s="892">
        <f t="shared" si="46"/>
        <v>185000</v>
      </c>
      <c r="X59" s="892">
        <f t="shared" si="46"/>
        <v>200000</v>
      </c>
      <c r="Y59" s="892">
        <f t="shared" si="46"/>
        <v>201000</v>
      </c>
      <c r="Z59" s="892">
        <f t="shared" si="46"/>
        <v>339000</v>
      </c>
      <c r="AA59" s="944">
        <f t="shared" si="46"/>
        <v>176000</v>
      </c>
      <c r="AB59" s="892">
        <f t="shared" ref="AB59" si="47">AB53+AB57</f>
        <v>428000</v>
      </c>
      <c r="AC59" s="793"/>
      <c r="AD59" s="793"/>
      <c r="AE59" s="793"/>
      <c r="AF59" s="793"/>
      <c r="AG59" s="793"/>
      <c r="AH59" s="11"/>
      <c r="AI59" s="11"/>
      <c r="AJ59" s="11"/>
      <c r="AK59" s="11"/>
      <c r="AL59" s="11"/>
      <c r="AM59" s="11"/>
      <c r="AN59" s="11"/>
    </row>
    <row r="60" spans="1:40" s="776" customFormat="1">
      <c r="A60" s="922"/>
      <c r="B60" s="922" t="s">
        <v>86</v>
      </c>
      <c r="C60" s="69"/>
      <c r="D60" s="793"/>
      <c r="E60" s="793"/>
      <c r="F60" s="793"/>
      <c r="G60" s="793"/>
      <c r="H60" s="793"/>
      <c r="I60" s="793"/>
      <c r="J60" s="793"/>
      <c r="K60" s="793"/>
      <c r="L60" s="893">
        <v>-21007</v>
      </c>
      <c r="M60" s="893">
        <v>613726</v>
      </c>
      <c r="N60" s="793"/>
      <c r="O60" s="793"/>
      <c r="P60" s="793"/>
      <c r="Q60" s="793"/>
      <c r="R60" s="793"/>
      <c r="S60" s="793"/>
      <c r="T60" s="793"/>
      <c r="U60" s="793"/>
      <c r="V60" s="793"/>
      <c r="W60" s="793"/>
      <c r="X60" s="793"/>
      <c r="Y60" s="793"/>
      <c r="Z60" s="793"/>
      <c r="AA60" s="793"/>
      <c r="AB60" s="793"/>
      <c r="AC60" s="793"/>
      <c r="AD60" s="793"/>
      <c r="AE60" s="793"/>
      <c r="AF60" s="793"/>
      <c r="AG60" s="793"/>
      <c r="AH60" s="11"/>
      <c r="AI60" s="11"/>
      <c r="AJ60" s="11"/>
      <c r="AK60" s="11"/>
      <c r="AL60" s="11"/>
      <c r="AM60" s="11"/>
      <c r="AN60" s="11"/>
    </row>
    <row r="61" spans="1:40" s="776" customFormat="1">
      <c r="A61" s="922"/>
      <c r="B61" s="922"/>
      <c r="C61" s="69"/>
      <c r="D61" s="793"/>
      <c r="E61" s="793"/>
      <c r="F61" s="892"/>
      <c r="G61" s="892"/>
      <c r="H61" s="892"/>
      <c r="I61" s="892"/>
      <c r="J61" s="892"/>
      <c r="K61" s="892"/>
      <c r="L61" s="892"/>
      <c r="M61" s="892"/>
      <c r="N61" s="892"/>
      <c r="O61" s="892"/>
      <c r="P61" s="892"/>
      <c r="Q61" s="892"/>
      <c r="R61" s="892"/>
      <c r="S61" s="892"/>
      <c r="T61" s="892"/>
      <c r="U61" s="892"/>
      <c r="V61" s="892"/>
      <c r="W61" s="892"/>
      <c r="X61" s="892"/>
      <c r="Y61" s="892"/>
      <c r="Z61" s="892"/>
      <c r="AA61" s="892"/>
      <c r="AB61" s="892"/>
      <c r="AC61" s="793"/>
      <c r="AD61" s="793"/>
      <c r="AE61" s="793"/>
      <c r="AF61" s="793"/>
      <c r="AG61" s="793"/>
      <c r="AH61" s="11"/>
      <c r="AI61" s="11"/>
      <c r="AJ61" s="11"/>
      <c r="AK61" s="11"/>
      <c r="AL61" s="11"/>
      <c r="AM61" s="11"/>
      <c r="AN61" s="11"/>
    </row>
    <row r="62" spans="1:40" s="776" customFormat="1">
      <c r="A62" s="921" t="s">
        <v>87</v>
      </c>
      <c r="B62" s="921"/>
      <c r="C62" s="67"/>
      <c r="D62" s="892"/>
      <c r="E62" s="793"/>
      <c r="F62" s="793"/>
      <c r="G62" s="793"/>
      <c r="H62" s="793"/>
      <c r="I62" s="793"/>
      <c r="J62" s="793"/>
      <c r="K62" s="793"/>
      <c r="L62" s="899">
        <f>L59-L60</f>
        <v>239235</v>
      </c>
      <c r="M62" s="899">
        <f>M59-M60</f>
        <v>243110</v>
      </c>
      <c r="N62" s="899">
        <f t="shared" ref="N62:AA62" si="48">N59-N60</f>
        <v>241230</v>
      </c>
      <c r="O62" s="899">
        <f t="shared" si="48"/>
        <v>128562</v>
      </c>
      <c r="P62" s="899">
        <f t="shared" si="48"/>
        <v>89263</v>
      </c>
      <c r="Q62" s="899">
        <f t="shared" si="48"/>
        <v>184049</v>
      </c>
      <c r="R62" s="899">
        <f t="shared" si="48"/>
        <v>303111</v>
      </c>
      <c r="S62" s="899">
        <f t="shared" si="48"/>
        <v>74600</v>
      </c>
      <c r="T62" s="899">
        <f t="shared" si="48"/>
        <v>295100</v>
      </c>
      <c r="U62" s="899">
        <f t="shared" si="48"/>
        <v>229800</v>
      </c>
      <c r="V62" s="899">
        <f t="shared" si="48"/>
        <v>247000</v>
      </c>
      <c r="W62" s="899">
        <f t="shared" si="48"/>
        <v>185000</v>
      </c>
      <c r="X62" s="899">
        <f t="shared" si="48"/>
        <v>200000</v>
      </c>
      <c r="Y62" s="899">
        <f t="shared" si="48"/>
        <v>201000</v>
      </c>
      <c r="Z62" s="899">
        <f t="shared" si="48"/>
        <v>339000</v>
      </c>
      <c r="AA62" s="899">
        <f t="shared" si="48"/>
        <v>176000</v>
      </c>
      <c r="AB62" s="899">
        <f t="shared" ref="AB62" si="49">AB59-AB60</f>
        <v>428000</v>
      </c>
      <c r="AC62" s="793"/>
      <c r="AD62" s="793"/>
      <c r="AE62" s="793"/>
      <c r="AF62" s="793"/>
      <c r="AG62" s="793"/>
      <c r="AH62" s="11"/>
      <c r="AI62" s="11"/>
      <c r="AJ62" s="11"/>
      <c r="AK62" s="11"/>
      <c r="AL62" s="11"/>
      <c r="AM62" s="11"/>
      <c r="AN62" s="11"/>
    </row>
    <row r="63" spans="1:40" s="776" customFormat="1">
      <c r="A63" s="922"/>
      <c r="B63" s="922"/>
      <c r="C63" s="69"/>
      <c r="D63" s="793"/>
      <c r="E63" s="793"/>
      <c r="F63" s="793"/>
      <c r="G63" s="793"/>
      <c r="H63" s="793"/>
      <c r="I63" s="793"/>
      <c r="J63" s="793"/>
      <c r="K63" s="793"/>
      <c r="L63" s="899"/>
      <c r="M63" s="899"/>
      <c r="N63" s="793"/>
      <c r="O63" s="793"/>
      <c r="P63" s="793"/>
      <c r="Q63" s="793"/>
      <c r="R63" s="793"/>
      <c r="S63" s="793"/>
      <c r="T63" s="793"/>
      <c r="U63" s="793"/>
      <c r="V63" s="793"/>
      <c r="W63" s="793"/>
      <c r="X63" s="793"/>
      <c r="Y63" s="793"/>
      <c r="Z63" s="793"/>
      <c r="AA63" s="793"/>
      <c r="AB63" s="793"/>
      <c r="AC63" s="793"/>
      <c r="AD63" s="793"/>
      <c r="AE63" s="793"/>
      <c r="AF63" s="793"/>
      <c r="AG63" s="793"/>
      <c r="AH63" s="11"/>
      <c r="AI63" s="11"/>
      <c r="AJ63" s="11"/>
      <c r="AK63" s="11"/>
      <c r="AL63" s="11"/>
      <c r="AM63" s="11"/>
      <c r="AN63" s="11"/>
    </row>
    <row r="64" spans="1:40" s="776" customFormat="1">
      <c r="A64" s="52"/>
      <c r="B64" s="922" t="s">
        <v>88</v>
      </c>
      <c r="C64" s="69"/>
      <c r="D64" s="793"/>
      <c r="E64" s="793"/>
      <c r="F64" s="793"/>
      <c r="G64" s="793"/>
      <c r="H64" s="793"/>
      <c r="I64" s="793"/>
      <c r="J64" s="793"/>
      <c r="K64" s="793"/>
      <c r="L64" s="793"/>
      <c r="M64" s="793"/>
      <c r="N64" s="793"/>
      <c r="O64" s="793"/>
      <c r="P64" s="793"/>
      <c r="Q64" s="793"/>
      <c r="R64" s="793"/>
      <c r="S64" s="793"/>
      <c r="T64" s="793"/>
      <c r="U64" s="793"/>
      <c r="V64" s="793"/>
      <c r="W64" s="793"/>
      <c r="X64" s="793"/>
      <c r="Y64" s="793"/>
      <c r="Z64" s="793"/>
      <c r="AA64" s="793"/>
      <c r="AB64" s="793"/>
      <c r="AC64" s="793"/>
      <c r="AD64" s="793"/>
      <c r="AE64" s="793"/>
      <c r="AF64" s="793"/>
      <c r="AG64" s="793"/>
      <c r="AH64" s="11"/>
      <c r="AI64" s="11"/>
      <c r="AJ64" s="11"/>
      <c r="AK64" s="11"/>
      <c r="AL64" s="11"/>
      <c r="AM64" s="11"/>
      <c r="AN64" s="11"/>
    </row>
    <row r="65" spans="1:40" s="776" customFormat="1">
      <c r="A65" s="52"/>
      <c r="B65" s="922"/>
      <c r="C65" s="69" t="s">
        <v>89</v>
      </c>
      <c r="D65" s="793"/>
      <c r="E65" s="793"/>
      <c r="F65" s="793">
        <f t="shared" ref="F65:M65" si="50">F59</f>
        <v>110340</v>
      </c>
      <c r="G65" s="793">
        <f t="shared" si="50"/>
        <v>96334</v>
      </c>
      <c r="H65" s="793">
        <f t="shared" si="50"/>
        <v>125100</v>
      </c>
      <c r="I65" s="793">
        <f t="shared" si="50"/>
        <v>84046</v>
      </c>
      <c r="J65" s="793">
        <f t="shared" si="50"/>
        <v>109314</v>
      </c>
      <c r="K65" s="793">
        <f t="shared" si="50"/>
        <v>132905</v>
      </c>
      <c r="L65" s="793">
        <f t="shared" si="50"/>
        <v>218228</v>
      </c>
      <c r="M65" s="793">
        <f t="shared" si="50"/>
        <v>856836</v>
      </c>
      <c r="N65" s="793">
        <f t="shared" ref="N65:AA65" si="51">N59-N66</f>
        <v>241230</v>
      </c>
      <c r="O65" s="793">
        <f t="shared" si="51"/>
        <v>128562</v>
      </c>
      <c r="P65" s="793">
        <f t="shared" si="51"/>
        <v>89263</v>
      </c>
      <c r="Q65" s="793">
        <f t="shared" si="51"/>
        <v>184049</v>
      </c>
      <c r="R65" s="793">
        <f t="shared" si="51"/>
        <v>303111</v>
      </c>
      <c r="S65" s="793">
        <f t="shared" si="51"/>
        <v>74600</v>
      </c>
      <c r="T65" s="793">
        <f t="shared" si="51"/>
        <v>295100</v>
      </c>
      <c r="U65" s="793">
        <f t="shared" si="51"/>
        <v>229800</v>
      </c>
      <c r="V65" s="793">
        <f t="shared" si="51"/>
        <v>247000</v>
      </c>
      <c r="W65" s="793">
        <f t="shared" si="51"/>
        <v>185000</v>
      </c>
      <c r="X65" s="793">
        <f t="shared" si="51"/>
        <v>200000</v>
      </c>
      <c r="Y65" s="793">
        <f t="shared" si="51"/>
        <v>201000</v>
      </c>
      <c r="Z65" s="793">
        <f t="shared" si="51"/>
        <v>339000</v>
      </c>
      <c r="AA65" s="793">
        <f t="shared" si="51"/>
        <v>176000</v>
      </c>
      <c r="AB65" s="793">
        <f t="shared" ref="AB65" si="52">AB59-AB66</f>
        <v>428000</v>
      </c>
      <c r="AC65" s="793"/>
      <c r="AD65" s="793"/>
      <c r="AE65" s="793"/>
      <c r="AF65" s="793"/>
      <c r="AG65" s="793"/>
      <c r="AH65" s="11"/>
      <c r="AI65" s="11"/>
      <c r="AJ65" s="11"/>
      <c r="AK65" s="11"/>
      <c r="AL65" s="11"/>
      <c r="AM65" s="11"/>
      <c r="AN65" s="11"/>
    </row>
    <row r="66" spans="1:40" s="776" customFormat="1">
      <c r="A66" s="52"/>
      <c r="B66" s="922"/>
      <c r="C66" s="69" t="s">
        <v>90</v>
      </c>
      <c r="D66" s="793"/>
      <c r="E66" s="793"/>
      <c r="F66" s="793">
        <v>0</v>
      </c>
      <c r="G66" s="793">
        <v>0</v>
      </c>
      <c r="H66" s="793">
        <v>0</v>
      </c>
      <c r="I66" s="793">
        <v>0</v>
      </c>
      <c r="J66" s="793">
        <v>0</v>
      </c>
      <c r="K66" s="793">
        <v>0</v>
      </c>
      <c r="L66" s="793">
        <v>0</v>
      </c>
      <c r="M66" s="793">
        <v>0</v>
      </c>
      <c r="N66" s="793">
        <v>0</v>
      </c>
      <c r="O66" s="793">
        <v>0</v>
      </c>
      <c r="P66" s="793">
        <v>0</v>
      </c>
      <c r="Q66" s="793">
        <v>0</v>
      </c>
      <c r="R66" s="793">
        <v>0</v>
      </c>
      <c r="S66" s="793">
        <v>0</v>
      </c>
      <c r="T66" s="793">
        <v>0</v>
      </c>
      <c r="U66" s="793">
        <v>0</v>
      </c>
      <c r="V66" s="793">
        <v>0</v>
      </c>
      <c r="W66" s="793">
        <v>0</v>
      </c>
      <c r="X66" s="793">
        <v>0</v>
      </c>
      <c r="Y66" s="793">
        <v>0</v>
      </c>
      <c r="Z66" s="793">
        <v>0</v>
      </c>
      <c r="AA66" s="793">
        <v>0</v>
      </c>
      <c r="AB66" s="793">
        <v>0</v>
      </c>
      <c r="AC66" s="793"/>
      <c r="AD66" s="793"/>
      <c r="AE66" s="793"/>
      <c r="AF66" s="793"/>
      <c r="AG66" s="793"/>
      <c r="AH66" s="11"/>
      <c r="AI66" s="11"/>
      <c r="AJ66" s="11"/>
      <c r="AK66" s="11"/>
      <c r="AL66" s="11"/>
      <c r="AM66" s="11"/>
      <c r="AN66" s="11"/>
    </row>
    <row r="67" spans="1:40" s="776" customFormat="1" ht="13.5" thickBot="1">
      <c r="A67" s="52"/>
      <c r="B67" s="922"/>
      <c r="C67" s="69"/>
      <c r="D67" s="793"/>
      <c r="E67" s="793"/>
      <c r="F67" s="925">
        <f>+F65+F66</f>
        <v>110340</v>
      </c>
      <c r="G67" s="925">
        <f t="shared" ref="G67:M67" si="53">+G65+G66</f>
        <v>96334</v>
      </c>
      <c r="H67" s="925">
        <f t="shared" si="53"/>
        <v>125100</v>
      </c>
      <c r="I67" s="925">
        <f t="shared" si="53"/>
        <v>84046</v>
      </c>
      <c r="J67" s="925">
        <f t="shared" si="53"/>
        <v>109314</v>
      </c>
      <c r="K67" s="925">
        <f t="shared" si="53"/>
        <v>132905</v>
      </c>
      <c r="L67" s="925">
        <f t="shared" si="53"/>
        <v>218228</v>
      </c>
      <c r="M67" s="925">
        <f t="shared" si="53"/>
        <v>856836</v>
      </c>
      <c r="N67" s="925">
        <f t="shared" ref="N67:S67" si="54">+N65+N66</f>
        <v>241230</v>
      </c>
      <c r="O67" s="925">
        <f t="shared" si="54"/>
        <v>128562</v>
      </c>
      <c r="P67" s="925">
        <f t="shared" si="54"/>
        <v>89263</v>
      </c>
      <c r="Q67" s="925">
        <f t="shared" si="54"/>
        <v>184049</v>
      </c>
      <c r="R67" s="925">
        <f t="shared" si="54"/>
        <v>303111</v>
      </c>
      <c r="S67" s="925">
        <f t="shared" si="54"/>
        <v>74600</v>
      </c>
      <c r="T67" s="925">
        <f t="shared" ref="T67:AA67" si="55">+T65+T66</f>
        <v>295100</v>
      </c>
      <c r="U67" s="925">
        <f t="shared" si="55"/>
        <v>229800</v>
      </c>
      <c r="V67" s="925">
        <f t="shared" si="55"/>
        <v>247000</v>
      </c>
      <c r="W67" s="925">
        <f t="shared" si="55"/>
        <v>185000</v>
      </c>
      <c r="X67" s="925">
        <f t="shared" si="55"/>
        <v>200000</v>
      </c>
      <c r="Y67" s="925">
        <f t="shared" si="55"/>
        <v>201000</v>
      </c>
      <c r="Z67" s="925">
        <f t="shared" si="55"/>
        <v>339000</v>
      </c>
      <c r="AA67" s="925">
        <f t="shared" si="55"/>
        <v>176000</v>
      </c>
      <c r="AB67" s="925">
        <f t="shared" ref="AB67" si="56">+AB65+AB66</f>
        <v>428000</v>
      </c>
      <c r="AC67" s="793"/>
      <c r="AD67" s="188"/>
      <c r="AE67" s="793"/>
      <c r="AF67" s="793"/>
      <c r="AG67" s="793"/>
      <c r="AH67" s="11"/>
      <c r="AI67" s="11"/>
      <c r="AJ67" s="11"/>
      <c r="AK67" s="11"/>
      <c r="AL67" s="11"/>
      <c r="AM67" s="11"/>
      <c r="AN67" s="11"/>
    </row>
    <row r="68" spans="1:40" s="776" customFormat="1" ht="13.5" thickTop="1">
      <c r="A68" s="52"/>
      <c r="B68" s="922"/>
      <c r="C68" s="69"/>
      <c r="D68" s="908" t="s">
        <v>5</v>
      </c>
      <c r="E68" s="1222"/>
      <c r="F68" s="899">
        <f>110340-F67</f>
        <v>0</v>
      </c>
      <c r="G68" s="899">
        <f>96334-G67</f>
        <v>0</v>
      </c>
      <c r="H68" s="899">
        <f>125100-H67</f>
        <v>0</v>
      </c>
      <c r="I68" s="1223">
        <f>84046-I67</f>
        <v>0</v>
      </c>
      <c r="J68" s="1223">
        <f>109314-J67</f>
        <v>0</v>
      </c>
      <c r="K68" s="1223">
        <f>132905-K67</f>
        <v>0</v>
      </c>
      <c r="L68" s="1223">
        <f>218228-L67</f>
        <v>0</v>
      </c>
      <c r="M68" s="1223">
        <f>856836-M67</f>
        <v>0</v>
      </c>
      <c r="N68" s="1223">
        <f>241230-N67</f>
        <v>0</v>
      </c>
      <c r="O68" s="1223">
        <f>128562-O67</f>
        <v>0</v>
      </c>
      <c r="P68" s="1223">
        <f>89263-P67</f>
        <v>0</v>
      </c>
      <c r="Q68" s="1223">
        <f>184049-Q67</f>
        <v>0</v>
      </c>
      <c r="R68" s="1223">
        <f>303111-R67</f>
        <v>0</v>
      </c>
      <c r="S68" s="1223">
        <f>74600-S67</f>
        <v>0</v>
      </c>
      <c r="T68" s="1223">
        <f>295100-T67</f>
        <v>0</v>
      </c>
      <c r="U68" s="1223">
        <f>229800-U67</f>
        <v>0</v>
      </c>
      <c r="V68" s="1223">
        <f>247000-V67</f>
        <v>0</v>
      </c>
      <c r="W68" s="1223">
        <f>185000-W67</f>
        <v>0</v>
      </c>
      <c r="X68" s="1223">
        <f>200000-X67</f>
        <v>0</v>
      </c>
      <c r="Y68" s="1223">
        <f>201000-Y67</f>
        <v>0</v>
      </c>
      <c r="Z68" s="1223">
        <f>339000-Z67</f>
        <v>0</v>
      </c>
      <c r="AA68" s="1223">
        <f>176000-AA67</f>
        <v>0</v>
      </c>
      <c r="AB68" s="1223">
        <f>428000-AB67</f>
        <v>0</v>
      </c>
      <c r="AC68" s="793"/>
      <c r="AD68" s="188"/>
      <c r="AE68" s="793"/>
      <c r="AF68" s="793"/>
      <c r="AG68" s="793"/>
      <c r="AH68" s="11"/>
      <c r="AI68" s="11"/>
      <c r="AJ68" s="11"/>
      <c r="AK68" s="11"/>
      <c r="AL68" s="11"/>
      <c r="AM68" s="11"/>
      <c r="AN68" s="11"/>
    </row>
    <row r="69" spans="1:40" s="776" customFormat="1" ht="18">
      <c r="A69" s="1232" t="s">
        <v>179</v>
      </c>
      <c r="B69" s="1232"/>
      <c r="C69" s="1232"/>
      <c r="D69" s="1232"/>
      <c r="E69" s="1439" t="s">
        <v>1407</v>
      </c>
      <c r="F69" s="1440"/>
      <c r="G69" s="1440"/>
      <c r="H69" s="1440"/>
      <c r="I69" s="38"/>
      <c r="J69" s="38"/>
      <c r="K69" s="38"/>
      <c r="L69" s="898"/>
      <c r="M69" s="898"/>
      <c r="N69" s="898"/>
      <c r="O69" s="898"/>
      <c r="P69" s="38"/>
      <c r="Q69" s="898"/>
      <c r="R69" s="898"/>
      <c r="S69" s="898"/>
      <c r="T69" s="898"/>
      <c r="U69" s="898"/>
      <c r="V69" s="898"/>
      <c r="W69" s="1431" t="s">
        <v>1467</v>
      </c>
      <c r="X69" s="1432"/>
      <c r="Y69" s="1432"/>
      <c r="Z69" s="1432"/>
      <c r="AA69" s="1432"/>
      <c r="AB69" s="1380">
        <v>2.1</v>
      </c>
      <c r="AC69" s="793"/>
      <c r="AD69" s="188"/>
      <c r="AE69" s="793"/>
      <c r="AF69" s="793"/>
      <c r="AG69" s="793"/>
      <c r="AH69" s="11"/>
      <c r="AI69" s="11"/>
      <c r="AJ69" s="11"/>
      <c r="AK69" s="11"/>
      <c r="AL69" s="11"/>
      <c r="AM69" s="11"/>
      <c r="AN69" s="11"/>
    </row>
    <row r="70" spans="1:40" s="776" customFormat="1">
      <c r="A70" s="932"/>
      <c r="B70" s="52"/>
      <c r="C70" s="932"/>
      <c r="D70" s="932"/>
      <c r="E70" s="932"/>
      <c r="F70" s="69">
        <v>0</v>
      </c>
      <c r="G70" s="69">
        <f t="shared" ref="G70:AB70" si="57">F70+1</f>
        <v>1</v>
      </c>
      <c r="H70" s="69">
        <f t="shared" si="57"/>
        <v>2</v>
      </c>
      <c r="I70" s="69">
        <f t="shared" si="57"/>
        <v>3</v>
      </c>
      <c r="J70" s="69">
        <f t="shared" si="57"/>
        <v>4</v>
      </c>
      <c r="K70" s="69">
        <f t="shared" si="57"/>
        <v>5</v>
      </c>
      <c r="L70" s="69">
        <f t="shared" si="57"/>
        <v>6</v>
      </c>
      <c r="M70" s="69">
        <f t="shared" si="57"/>
        <v>7</v>
      </c>
      <c r="N70" s="69">
        <f t="shared" si="57"/>
        <v>8</v>
      </c>
      <c r="O70" s="69">
        <f t="shared" si="57"/>
        <v>9</v>
      </c>
      <c r="P70" s="69">
        <f t="shared" si="57"/>
        <v>10</v>
      </c>
      <c r="Q70" s="69">
        <f t="shared" si="57"/>
        <v>11</v>
      </c>
      <c r="R70" s="69">
        <f t="shared" si="57"/>
        <v>12</v>
      </c>
      <c r="S70" s="69">
        <f t="shared" si="57"/>
        <v>13</v>
      </c>
      <c r="T70" s="69">
        <f t="shared" si="57"/>
        <v>14</v>
      </c>
      <c r="U70" s="69">
        <f t="shared" si="57"/>
        <v>15</v>
      </c>
      <c r="V70" s="69">
        <f t="shared" si="57"/>
        <v>16</v>
      </c>
      <c r="W70" s="69">
        <f t="shared" si="57"/>
        <v>17</v>
      </c>
      <c r="X70" s="69">
        <f t="shared" si="57"/>
        <v>18</v>
      </c>
      <c r="Y70" s="69">
        <f t="shared" si="57"/>
        <v>19</v>
      </c>
      <c r="Z70" s="69">
        <f t="shared" si="57"/>
        <v>20</v>
      </c>
      <c r="AA70" s="69">
        <f t="shared" si="57"/>
        <v>21</v>
      </c>
      <c r="AB70" s="69">
        <f t="shared" si="57"/>
        <v>22</v>
      </c>
      <c r="AC70" s="793"/>
      <c r="AD70" s="188"/>
      <c r="AE70" s="793"/>
      <c r="AF70" s="793"/>
      <c r="AG70" s="793"/>
      <c r="AH70" s="11"/>
      <c r="AI70" s="11"/>
      <c r="AJ70" s="11"/>
      <c r="AK70" s="11"/>
      <c r="AL70" s="11"/>
      <c r="AM70" s="11"/>
      <c r="AN70" s="11"/>
    </row>
    <row r="71" spans="1:40" s="776" customFormat="1">
      <c r="A71" s="934"/>
      <c r="B71" s="52"/>
      <c r="C71" s="935"/>
      <c r="D71" s="895"/>
      <c r="E71" s="895"/>
      <c r="F71" s="1202">
        <f t="shared" ref="F71:AB71" si="58">F3</f>
        <v>1999</v>
      </c>
      <c r="G71" s="1202">
        <f t="shared" si="58"/>
        <v>2000</v>
      </c>
      <c r="H71" s="1202">
        <f t="shared" si="58"/>
        <v>2001</v>
      </c>
      <c r="I71" s="1202">
        <f t="shared" si="58"/>
        <v>2002</v>
      </c>
      <c r="J71" s="1202">
        <f t="shared" si="58"/>
        <v>2003</v>
      </c>
      <c r="K71" s="1202">
        <f t="shared" si="58"/>
        <v>2004</v>
      </c>
      <c r="L71" s="1202">
        <f t="shared" si="58"/>
        <v>2005</v>
      </c>
      <c r="M71" s="1202">
        <f t="shared" si="58"/>
        <v>2006</v>
      </c>
      <c r="N71" s="1202">
        <f t="shared" si="58"/>
        <v>2007</v>
      </c>
      <c r="O71" s="1202">
        <f t="shared" si="58"/>
        <v>2008</v>
      </c>
      <c r="P71" s="1202">
        <f t="shared" si="58"/>
        <v>2009</v>
      </c>
      <c r="Q71" s="1202">
        <f t="shared" si="58"/>
        <v>2010</v>
      </c>
      <c r="R71" s="1202">
        <f t="shared" si="58"/>
        <v>2011</v>
      </c>
      <c r="S71" s="1202">
        <f t="shared" si="58"/>
        <v>2012</v>
      </c>
      <c r="T71" s="1202">
        <f t="shared" si="58"/>
        <v>2013</v>
      </c>
      <c r="U71" s="1202">
        <f t="shared" si="58"/>
        <v>2014</v>
      </c>
      <c r="V71" s="1202">
        <f t="shared" si="58"/>
        <v>2015</v>
      </c>
      <c r="W71" s="1202">
        <f t="shared" si="58"/>
        <v>2016</v>
      </c>
      <c r="X71" s="1202">
        <f t="shared" si="58"/>
        <v>2017</v>
      </c>
      <c r="Y71" s="1202">
        <f t="shared" si="58"/>
        <v>2018</v>
      </c>
      <c r="Z71" s="1202">
        <f t="shared" si="58"/>
        <v>2019</v>
      </c>
      <c r="AA71" s="1202">
        <f t="shared" si="58"/>
        <v>2020</v>
      </c>
      <c r="AB71" s="1202">
        <f t="shared" si="58"/>
        <v>2021</v>
      </c>
      <c r="AC71" s="793"/>
      <c r="AD71" s="188"/>
      <c r="AE71" s="793"/>
      <c r="AF71" s="793"/>
      <c r="AG71" s="793"/>
      <c r="AH71" s="11"/>
      <c r="AI71" s="11"/>
      <c r="AJ71" s="11"/>
      <c r="AK71" s="11"/>
      <c r="AL71" s="11"/>
      <c r="AM71" s="11"/>
      <c r="AN71" s="11"/>
    </row>
    <row r="72" spans="1:40" s="776" customFormat="1">
      <c r="A72" s="918" t="s">
        <v>180</v>
      </c>
      <c r="C72" s="933"/>
      <c r="D72" s="933"/>
      <c r="E72" s="932"/>
      <c r="F72" s="793">
        <v>-91150</v>
      </c>
      <c r="G72" s="793">
        <v>-433647</v>
      </c>
      <c r="H72" s="793">
        <v>-564894</v>
      </c>
      <c r="I72" s="793">
        <v>-960534</v>
      </c>
      <c r="J72" s="793">
        <v>-1134176</v>
      </c>
      <c r="K72" s="793">
        <v>-970182</v>
      </c>
      <c r="L72" s="793">
        <v>-1231867</v>
      </c>
      <c r="M72" s="793">
        <v>-1819881</v>
      </c>
      <c r="N72" s="928"/>
      <c r="O72" s="1286"/>
      <c r="P72" s="1286"/>
      <c r="Q72" s="1286"/>
      <c r="R72" s="1286"/>
      <c r="S72" s="1286"/>
      <c r="T72" s="1286"/>
      <c r="U72" s="1286"/>
      <c r="V72" s="1286"/>
      <c r="W72" s="1286"/>
      <c r="X72" s="1286"/>
      <c r="Y72" s="1286"/>
      <c r="Z72" s="1286"/>
      <c r="AA72" s="1286"/>
      <c r="AB72" s="52"/>
      <c r="AC72" s="793"/>
      <c r="AD72" s="188"/>
      <c r="AE72" s="793"/>
      <c r="AF72" s="793"/>
      <c r="AG72" s="793"/>
      <c r="AH72" s="11"/>
      <c r="AI72" s="11"/>
      <c r="AJ72" s="11"/>
      <c r="AK72" s="11"/>
      <c r="AL72" s="11"/>
      <c r="AM72" s="11"/>
      <c r="AN72" s="11"/>
    </row>
    <row r="73" spans="1:40" s="776" customFormat="1">
      <c r="A73" s="793"/>
      <c r="B73" s="242" t="s">
        <v>181</v>
      </c>
      <c r="C73" s="793"/>
      <c r="D73" s="793"/>
      <c r="E73" s="793"/>
      <c r="F73" s="899">
        <v>-14452</v>
      </c>
      <c r="G73" s="899">
        <v>-48891</v>
      </c>
      <c r="H73" s="899">
        <v>-46146</v>
      </c>
      <c r="I73" s="899">
        <v>-49847</v>
      </c>
      <c r="J73" s="899">
        <v>-50895</v>
      </c>
      <c r="K73" s="899">
        <v>-66642</v>
      </c>
      <c r="L73" s="899">
        <v>-72548</v>
      </c>
      <c r="M73" s="899">
        <v>-68771</v>
      </c>
      <c r="N73" s="928"/>
      <c r="O73" s="1286"/>
      <c r="P73" s="1286"/>
      <c r="Q73" s="1286"/>
      <c r="R73" s="1286"/>
      <c r="S73" s="1286"/>
      <c r="T73" s="1286"/>
      <c r="U73" s="1286"/>
      <c r="V73" s="1286"/>
      <c r="W73" s="1286"/>
      <c r="X73" s="1286"/>
      <c r="Y73" s="1286"/>
      <c r="Z73" s="1286"/>
      <c r="AA73" s="1286"/>
      <c r="AB73" s="52"/>
      <c r="AC73" s="793"/>
      <c r="AD73" s="188"/>
      <c r="AE73" s="793"/>
      <c r="AF73" s="793"/>
      <c r="AG73" s="793"/>
      <c r="AH73" s="11"/>
      <c r="AI73" s="11"/>
      <c r="AJ73" s="11"/>
      <c r="AK73" s="11"/>
      <c r="AL73" s="11"/>
      <c r="AM73" s="11"/>
      <c r="AN73" s="11"/>
    </row>
    <row r="74" spans="1:40" s="776" customFormat="1">
      <c r="A74" s="793"/>
      <c r="B74" s="242" t="s">
        <v>182</v>
      </c>
      <c r="C74" s="793"/>
      <c r="D74" s="793"/>
      <c r="E74" s="793"/>
      <c r="F74" s="899">
        <v>0</v>
      </c>
      <c r="G74" s="899">
        <v>0</v>
      </c>
      <c r="H74" s="899">
        <v>-199</v>
      </c>
      <c r="I74" s="899">
        <v>-256</v>
      </c>
      <c r="J74" s="899">
        <v>-271</v>
      </c>
      <c r="K74" s="899">
        <v>-366</v>
      </c>
      <c r="L74" s="899">
        <v>-371</v>
      </c>
      <c r="M74" s="899">
        <v>-250</v>
      </c>
      <c r="N74" s="928"/>
      <c r="O74" s="1286"/>
      <c r="P74" s="1286"/>
      <c r="Q74" s="1286"/>
      <c r="R74" s="1286"/>
      <c r="S74" s="1286"/>
      <c r="T74" s="1286"/>
      <c r="U74" s="1286"/>
      <c r="V74" s="1286"/>
      <c r="W74" s="1286"/>
      <c r="X74" s="1286"/>
      <c r="Y74" s="1286"/>
      <c r="Z74" s="1286"/>
      <c r="AA74" s="1286"/>
      <c r="AB74" s="52"/>
      <c r="AC74" s="793"/>
      <c r="AD74" s="188"/>
      <c r="AE74" s="793"/>
      <c r="AF74" s="793"/>
      <c r="AG74" s="793"/>
      <c r="AH74" s="11"/>
      <c r="AI74" s="11"/>
      <c r="AJ74" s="11"/>
      <c r="AK74" s="11"/>
      <c r="AL74" s="11"/>
      <c r="AM74" s="11"/>
      <c r="AN74" s="11"/>
    </row>
    <row r="75" spans="1:40" s="776" customFormat="1">
      <c r="A75" s="793"/>
      <c r="B75" s="242" t="s">
        <v>183</v>
      </c>
      <c r="C75" s="793"/>
      <c r="D75" s="793"/>
      <c r="E75" s="793"/>
      <c r="F75" s="899">
        <v>0</v>
      </c>
      <c r="G75" s="899">
        <v>0</v>
      </c>
      <c r="H75" s="899">
        <v>-5827</v>
      </c>
      <c r="I75" s="899">
        <v>-8481</v>
      </c>
      <c r="J75" s="899">
        <v>-8520</v>
      </c>
      <c r="K75" s="899">
        <v>-7537</v>
      </c>
      <c r="L75" s="899">
        <v>-8215</v>
      </c>
      <c r="M75" s="899">
        <v>-8245</v>
      </c>
      <c r="N75" s="928"/>
      <c r="O75" s="1286"/>
      <c r="P75" s="1286"/>
      <c r="Q75" s="1286"/>
      <c r="R75" s="1286"/>
      <c r="S75" s="1286"/>
      <c r="T75" s="1286"/>
      <c r="U75" s="1286"/>
      <c r="V75" s="1286"/>
      <c r="W75" s="1286"/>
      <c r="X75" s="1286"/>
      <c r="Y75" s="1286"/>
      <c r="Z75" s="1286"/>
      <c r="AA75" s="1286"/>
      <c r="AB75" s="52"/>
      <c r="AC75" s="793"/>
      <c r="AD75" s="188"/>
      <c r="AE75" s="793"/>
      <c r="AF75" s="793"/>
      <c r="AG75" s="793"/>
      <c r="AH75" s="11"/>
      <c r="AI75" s="11"/>
      <c r="AJ75" s="11"/>
      <c r="AK75" s="11"/>
      <c r="AL75" s="11"/>
      <c r="AM75" s="11"/>
      <c r="AN75" s="11"/>
    </row>
    <row r="76" spans="1:40" s="776" customFormat="1">
      <c r="A76" s="793"/>
      <c r="B76" s="242" t="s">
        <v>184</v>
      </c>
      <c r="C76" s="793"/>
      <c r="D76" s="793"/>
      <c r="E76" s="793"/>
      <c r="F76" s="899">
        <v>0</v>
      </c>
      <c r="G76" s="899">
        <v>0</v>
      </c>
      <c r="H76" s="899">
        <v>0</v>
      </c>
      <c r="I76" s="899">
        <v>0</v>
      </c>
      <c r="J76" s="899">
        <v>0</v>
      </c>
      <c r="K76" s="899">
        <v>0</v>
      </c>
      <c r="L76" s="899">
        <v>-175</v>
      </c>
      <c r="M76" s="899">
        <v>-170</v>
      </c>
      <c r="N76" s="928"/>
      <c r="O76" s="1286"/>
      <c r="P76" s="1286"/>
      <c r="Q76" s="1286"/>
      <c r="R76" s="1286"/>
      <c r="S76" s="1286"/>
      <c r="T76" s="1286"/>
      <c r="U76" s="1286"/>
      <c r="V76" s="1286"/>
      <c r="W76" s="1286"/>
      <c r="X76" s="1286"/>
      <c r="Y76" s="1286"/>
      <c r="Z76" s="1286"/>
      <c r="AA76" s="1286"/>
      <c r="AB76" s="52"/>
      <c r="AC76" s="793"/>
      <c r="AD76" s="188"/>
      <c r="AE76" s="793"/>
      <c r="AF76" s="793"/>
      <c r="AG76" s="793"/>
      <c r="AH76" s="11"/>
      <c r="AI76" s="11"/>
      <c r="AJ76" s="11"/>
      <c r="AK76" s="11"/>
      <c r="AL76" s="11"/>
      <c r="AM76" s="11"/>
      <c r="AN76" s="11"/>
    </row>
    <row r="77" spans="1:40" s="776" customFormat="1">
      <c r="A77" s="793"/>
      <c r="B77" s="52" t="s">
        <v>185</v>
      </c>
      <c r="C77" s="932"/>
      <c r="D77" s="932"/>
      <c r="E77" s="932"/>
      <c r="F77" s="793">
        <v>-39</v>
      </c>
      <c r="G77" s="793">
        <v>-250</v>
      </c>
      <c r="H77" s="793">
        <v>-107</v>
      </c>
      <c r="I77" s="793">
        <v>-108</v>
      </c>
      <c r="J77" s="793">
        <v>-22</v>
      </c>
      <c r="K77" s="793">
        <v>-425</v>
      </c>
      <c r="L77" s="793">
        <v>-875</v>
      </c>
      <c r="M77" s="793">
        <v>-149</v>
      </c>
      <c r="N77" s="928"/>
      <c r="O77" s="1286"/>
      <c r="P77" s="1286"/>
      <c r="Q77" s="1286"/>
      <c r="R77" s="1286"/>
      <c r="S77" s="1286"/>
      <c r="T77" s="1286"/>
      <c r="U77" s="1286"/>
      <c r="V77" s="1286"/>
      <c r="W77" s="1286"/>
      <c r="X77" s="1286"/>
      <c r="Y77" s="1286"/>
      <c r="Z77" s="1286"/>
      <c r="AA77" s="1286"/>
      <c r="AB77" s="52"/>
      <c r="AC77" s="793"/>
      <c r="AD77" s="188"/>
      <c r="AE77" s="793"/>
      <c r="AF77" s="793"/>
      <c r="AG77" s="793"/>
      <c r="AH77" s="11"/>
      <c r="AI77" s="11"/>
      <c r="AJ77" s="11"/>
      <c r="AK77" s="11"/>
      <c r="AL77" s="11"/>
      <c r="AM77" s="11"/>
      <c r="AN77" s="11"/>
    </row>
    <row r="78" spans="1:40" s="776" customFormat="1">
      <c r="A78" s="793"/>
      <c r="B78" s="52" t="s">
        <v>186</v>
      </c>
      <c r="C78" s="932"/>
      <c r="D78" s="932"/>
      <c r="E78" s="932"/>
      <c r="F78" s="793">
        <v>-425</v>
      </c>
      <c r="G78" s="793">
        <v>-3386</v>
      </c>
      <c r="H78" s="793">
        <v>-3457</v>
      </c>
      <c r="I78" s="793">
        <v>-7547</v>
      </c>
      <c r="J78" s="793">
        <v>-7644</v>
      </c>
      <c r="K78" s="793">
        <v>-7688</v>
      </c>
      <c r="L78" s="793">
        <v>-7623</v>
      </c>
      <c r="M78" s="793">
        <v>-7227</v>
      </c>
      <c r="N78" s="928"/>
      <c r="O78" s="1286"/>
      <c r="P78" s="1286"/>
      <c r="Q78" s="1286"/>
      <c r="R78" s="1286"/>
      <c r="S78" s="1286"/>
      <c r="T78" s="1286"/>
      <c r="U78" s="1286"/>
      <c r="V78" s="1286"/>
      <c r="W78" s="1286"/>
      <c r="X78" s="1286"/>
      <c r="Y78" s="1286"/>
      <c r="Z78" s="1286"/>
      <c r="AA78" s="1286"/>
      <c r="AB78" s="52"/>
      <c r="AC78" s="793"/>
      <c r="AD78" s="188"/>
      <c r="AE78" s="793"/>
      <c r="AF78" s="793"/>
      <c r="AG78" s="793"/>
      <c r="AH78" s="11"/>
      <c r="AI78" s="11"/>
      <c r="AJ78" s="11"/>
      <c r="AK78" s="11"/>
      <c r="AL78" s="11"/>
      <c r="AM78" s="11"/>
      <c r="AN78" s="11"/>
    </row>
    <row r="79" spans="1:40" s="776" customFormat="1">
      <c r="A79" s="793"/>
      <c r="B79" s="52" t="s">
        <v>187</v>
      </c>
      <c r="C79" s="932"/>
      <c r="D79" s="932"/>
      <c r="E79" s="932"/>
      <c r="F79" s="793">
        <v>0</v>
      </c>
      <c r="G79" s="793">
        <v>0</v>
      </c>
      <c r="H79" s="793">
        <v>0</v>
      </c>
      <c r="I79" s="793">
        <v>0</v>
      </c>
      <c r="J79" s="793">
        <v>0</v>
      </c>
      <c r="K79" s="793">
        <v>0</v>
      </c>
      <c r="L79" s="793">
        <v>0</v>
      </c>
      <c r="M79" s="793">
        <v>0</v>
      </c>
      <c r="N79" s="928"/>
      <c r="O79" s="1286"/>
      <c r="P79" s="1286"/>
      <c r="Q79" s="1286"/>
      <c r="R79" s="1286"/>
      <c r="S79" s="1286"/>
      <c r="T79" s="1286"/>
      <c r="U79" s="1286"/>
      <c r="V79" s="1286"/>
      <c r="W79" s="1286"/>
      <c r="X79" s="1286"/>
      <c r="Y79" s="1286"/>
      <c r="Z79" s="1286"/>
      <c r="AA79" s="1286"/>
      <c r="AB79" s="52"/>
      <c r="AC79" s="793"/>
      <c r="AD79" s="188"/>
      <c r="AE79" s="793"/>
      <c r="AF79" s="793"/>
      <c r="AG79" s="793"/>
      <c r="AH79" s="11"/>
      <c r="AI79" s="11"/>
      <c r="AJ79" s="11"/>
      <c r="AK79" s="11"/>
      <c r="AL79" s="11"/>
      <c r="AM79" s="11"/>
      <c r="AN79" s="11"/>
    </row>
    <row r="80" spans="1:40" s="776" customFormat="1">
      <c r="A80" s="793"/>
      <c r="B80" s="52" t="s">
        <v>188</v>
      </c>
      <c r="C80" s="932"/>
      <c r="D80" s="932"/>
      <c r="E80" s="932"/>
      <c r="F80" s="793">
        <v>0</v>
      </c>
      <c r="G80" s="793">
        <v>0</v>
      </c>
      <c r="H80" s="793">
        <v>0</v>
      </c>
      <c r="I80" s="793">
        <v>0</v>
      </c>
      <c r="J80" s="793">
        <f>-305-71</f>
        <v>-376</v>
      </c>
      <c r="K80" s="793">
        <f>-(3296+726)</f>
        <v>-4022</v>
      </c>
      <c r="L80" s="793">
        <v>-76</v>
      </c>
      <c r="M80" s="793">
        <v>-77</v>
      </c>
      <c r="N80" s="928"/>
      <c r="O80" s="1286"/>
      <c r="P80" s="1286"/>
      <c r="Q80" s="1286"/>
      <c r="R80" s="1286"/>
      <c r="S80" s="1286"/>
      <c r="T80" s="1286"/>
      <c r="U80" s="1286"/>
      <c r="V80" s="1286"/>
      <c r="W80" s="1286"/>
      <c r="X80" s="1286"/>
      <c r="Y80" s="1286"/>
      <c r="Z80" s="1286"/>
      <c r="AA80" s="1286"/>
      <c r="AB80" s="52"/>
      <c r="AC80" s="793"/>
      <c r="AD80" s="188"/>
      <c r="AE80" s="793"/>
      <c r="AF80" s="793"/>
      <c r="AG80" s="793"/>
      <c r="AH80" s="11"/>
      <c r="AI80" s="11"/>
      <c r="AJ80" s="11"/>
      <c r="AK80" s="11"/>
      <c r="AL80" s="11"/>
      <c r="AM80" s="11"/>
      <c r="AN80" s="11"/>
    </row>
    <row r="81" spans="1:40" s="776" customFormat="1">
      <c r="A81" s="793"/>
      <c r="B81" s="52" t="s">
        <v>189</v>
      </c>
      <c r="C81" s="932"/>
      <c r="D81" s="932"/>
      <c r="E81" s="932"/>
      <c r="F81" s="793">
        <v>0</v>
      </c>
      <c r="G81" s="793">
        <v>0</v>
      </c>
      <c r="H81" s="793">
        <v>0</v>
      </c>
      <c r="I81" s="793">
        <v>0</v>
      </c>
      <c r="J81" s="793">
        <v>0</v>
      </c>
      <c r="K81" s="793">
        <v>0</v>
      </c>
      <c r="L81" s="793">
        <v>0</v>
      </c>
      <c r="M81" s="793">
        <v>0</v>
      </c>
      <c r="N81" s="928"/>
      <c r="O81" s="1286"/>
      <c r="P81" s="1286"/>
      <c r="Q81" s="1286"/>
      <c r="R81" s="1286"/>
      <c r="S81" s="1286"/>
      <c r="T81" s="1286"/>
      <c r="U81" s="1286"/>
      <c r="V81" s="1286"/>
      <c r="W81" s="1286"/>
      <c r="X81" s="1286"/>
      <c r="Y81" s="1286"/>
      <c r="Z81" s="1286"/>
      <c r="AA81" s="1286"/>
      <c r="AB81" s="52"/>
      <c r="AC81" s="793"/>
      <c r="AD81" s="188"/>
      <c r="AE81" s="793"/>
      <c r="AF81" s="793"/>
      <c r="AG81" s="793"/>
      <c r="AH81" s="11"/>
      <c r="AI81" s="11"/>
      <c r="AJ81" s="11"/>
      <c r="AK81" s="11"/>
      <c r="AL81" s="11"/>
      <c r="AM81" s="11"/>
      <c r="AN81" s="11"/>
    </row>
    <row r="82" spans="1:40" s="776" customFormat="1">
      <c r="A82" s="793"/>
      <c r="B82" s="52" t="s">
        <v>190</v>
      </c>
      <c r="C82" s="932"/>
      <c r="D82" s="932"/>
      <c r="E82" s="932"/>
      <c r="F82" s="793">
        <v>0</v>
      </c>
      <c r="G82" s="793">
        <v>0</v>
      </c>
      <c r="H82" s="793">
        <v>0</v>
      </c>
      <c r="I82" s="793">
        <v>0</v>
      </c>
      <c r="J82" s="926">
        <v>-5858</v>
      </c>
      <c r="K82" s="926">
        <v>-14491</v>
      </c>
      <c r="L82" s="793">
        <v>0</v>
      </c>
      <c r="M82" s="793">
        <v>0</v>
      </c>
      <c r="N82" s="928"/>
      <c r="O82" s="1286"/>
      <c r="P82" s="1286"/>
      <c r="Q82" s="1286"/>
      <c r="R82" s="1286"/>
      <c r="S82" s="1286"/>
      <c r="T82" s="1286"/>
      <c r="U82" s="1286"/>
      <c r="V82" s="1286"/>
      <c r="W82" s="1286"/>
      <c r="X82" s="1286"/>
      <c r="Y82" s="1286"/>
      <c r="Z82" s="1286"/>
      <c r="AA82" s="1286"/>
      <c r="AB82" s="52"/>
      <c r="AC82" s="793"/>
      <c r="AD82" s="188"/>
      <c r="AE82" s="793"/>
      <c r="AF82" s="793"/>
      <c r="AG82" s="793"/>
      <c r="AH82" s="11"/>
      <c r="AI82" s="11"/>
      <c r="AJ82" s="11"/>
      <c r="AK82" s="11"/>
      <c r="AL82" s="11"/>
      <c r="AM82" s="11"/>
      <c r="AN82" s="11"/>
    </row>
    <row r="83" spans="1:40" s="776" customFormat="1">
      <c r="A83" s="793"/>
      <c r="B83" s="52" t="s">
        <v>191</v>
      </c>
      <c r="C83" s="932"/>
      <c r="D83" s="932"/>
      <c r="E83" s="932"/>
      <c r="F83" s="793">
        <v>0</v>
      </c>
      <c r="G83" s="793">
        <v>0</v>
      </c>
      <c r="H83" s="793">
        <v>0</v>
      </c>
      <c r="I83" s="793">
        <v>0</v>
      </c>
      <c r="J83" s="793">
        <v>0</v>
      </c>
      <c r="K83" s="793">
        <v>0</v>
      </c>
      <c r="L83" s="793">
        <v>0</v>
      </c>
      <c r="M83" s="793">
        <v>0</v>
      </c>
      <c r="N83" s="928"/>
      <c r="O83" s="1286"/>
      <c r="P83" s="1286"/>
      <c r="Q83" s="1286"/>
      <c r="R83" s="1435" t="s">
        <v>1311</v>
      </c>
      <c r="S83" s="1435"/>
      <c r="T83" s="1435"/>
      <c r="U83" s="1435"/>
      <c r="V83" s="1435"/>
      <c r="W83" s="1435"/>
      <c r="X83" s="1435"/>
      <c r="Y83" s="1435"/>
      <c r="Z83" s="1435"/>
      <c r="AA83" s="1286"/>
      <c r="AB83" s="52"/>
      <c r="AC83" s="793"/>
      <c r="AD83" s="188"/>
      <c r="AE83" s="793"/>
      <c r="AF83" s="793"/>
      <c r="AG83" s="793"/>
      <c r="AH83" s="11"/>
      <c r="AI83" s="11"/>
      <c r="AJ83" s="11"/>
      <c r="AK83" s="11"/>
      <c r="AL83" s="11"/>
      <c r="AM83" s="11"/>
      <c r="AN83" s="11"/>
    </row>
    <row r="84" spans="1:40" s="776" customFormat="1">
      <c r="A84" s="793"/>
      <c r="B84" s="52" t="s">
        <v>192</v>
      </c>
      <c r="C84" s="932"/>
      <c r="D84" s="932"/>
      <c r="E84" s="932"/>
      <c r="F84" s="793">
        <v>0</v>
      </c>
      <c r="G84" s="793">
        <v>0</v>
      </c>
      <c r="H84" s="793">
        <v>0</v>
      </c>
      <c r="I84" s="793">
        <v>0</v>
      </c>
      <c r="J84" s="793">
        <v>0</v>
      </c>
      <c r="K84" s="793">
        <v>0</v>
      </c>
      <c r="L84" s="793">
        <v>0</v>
      </c>
      <c r="M84" s="793">
        <v>0</v>
      </c>
      <c r="N84" s="928"/>
      <c r="O84" s="1286"/>
      <c r="P84" s="1286"/>
      <c r="Q84" s="1286"/>
      <c r="R84" s="1286"/>
      <c r="S84" s="1286"/>
      <c r="T84" s="1286"/>
      <c r="U84" s="1286"/>
      <c r="V84" s="1286"/>
      <c r="W84" s="1286"/>
      <c r="X84" s="1286"/>
      <c r="Y84" s="1286"/>
      <c r="Z84" s="1286"/>
      <c r="AA84" s="1286"/>
      <c r="AB84" s="52"/>
      <c r="AC84" s="793"/>
      <c r="AD84" s="188"/>
      <c r="AE84" s="793"/>
      <c r="AF84" s="793"/>
      <c r="AG84" s="793"/>
      <c r="AH84" s="11"/>
      <c r="AI84" s="11"/>
      <c r="AJ84" s="11"/>
      <c r="AK84" s="11"/>
      <c r="AL84" s="11"/>
      <c r="AM84" s="11"/>
      <c r="AN84" s="11"/>
    </row>
    <row r="85" spans="1:40" s="776" customFormat="1">
      <c r="A85" s="932"/>
      <c r="B85" s="52" t="s">
        <v>178</v>
      </c>
      <c r="C85" s="932"/>
      <c r="D85" s="932"/>
      <c r="E85" s="932"/>
      <c r="F85" s="793">
        <v>-4</v>
      </c>
      <c r="G85" s="793">
        <v>-276</v>
      </c>
      <c r="H85" s="793">
        <v>-457</v>
      </c>
      <c r="I85" s="793">
        <v>-2006</v>
      </c>
      <c r="J85" s="793">
        <v>-3307</v>
      </c>
      <c r="K85" s="793">
        <v>-3822</v>
      </c>
      <c r="L85" s="793">
        <v>-2326</v>
      </c>
      <c r="M85" s="793">
        <v>-2252</v>
      </c>
      <c r="N85" s="928"/>
      <c r="O85" s="1286"/>
      <c r="P85" s="1286"/>
      <c r="Q85" s="1286"/>
      <c r="R85" s="1286"/>
      <c r="S85" s="1286"/>
      <c r="T85" s="1286"/>
      <c r="U85" s="1286"/>
      <c r="V85" s="1286"/>
      <c r="W85" s="1286"/>
      <c r="X85" s="1286"/>
      <c r="Y85" s="1286"/>
      <c r="Z85" s="1286"/>
      <c r="AA85" s="1286"/>
      <c r="AB85" s="52"/>
      <c r="AC85" s="793"/>
      <c r="AD85" s="188"/>
      <c r="AE85" s="793"/>
      <c r="AF85" s="793"/>
      <c r="AG85" s="793"/>
      <c r="AH85" s="11"/>
      <c r="AI85" s="11"/>
      <c r="AJ85" s="11"/>
      <c r="AK85" s="11"/>
      <c r="AL85" s="11"/>
      <c r="AM85" s="11"/>
      <c r="AN85" s="11"/>
    </row>
    <row r="86" spans="1:40" s="776" customFormat="1">
      <c r="A86" s="932"/>
      <c r="B86" s="52" t="s">
        <v>193</v>
      </c>
      <c r="C86" s="932"/>
      <c r="D86" s="932"/>
      <c r="E86" s="932"/>
      <c r="F86" s="793">
        <v>0</v>
      </c>
      <c r="G86" s="793">
        <v>-501</v>
      </c>
      <c r="H86" s="793">
        <v>-614</v>
      </c>
      <c r="I86" s="793">
        <v>-3055</v>
      </c>
      <c r="J86" s="793">
        <v>-2501</v>
      </c>
      <c r="K86" s="793">
        <v>-2224</v>
      </c>
      <c r="L86" s="793">
        <v>-1862</v>
      </c>
      <c r="M86" s="793">
        <v>-2378</v>
      </c>
      <c r="N86" s="928"/>
      <c r="O86" s="1286"/>
      <c r="P86" s="1286"/>
      <c r="Q86" s="1286"/>
      <c r="R86" s="1286"/>
      <c r="S86" s="1286"/>
      <c r="T86" s="1286"/>
      <c r="U86" s="1286"/>
      <c r="V86" s="1286"/>
      <c r="W86" s="1286"/>
      <c r="X86" s="1286"/>
      <c r="Y86" s="1286"/>
      <c r="Z86" s="1286"/>
      <c r="AA86" s="1286"/>
      <c r="AB86" s="52"/>
      <c r="AC86" s="793"/>
      <c r="AD86" s="188"/>
      <c r="AE86" s="793"/>
      <c r="AF86" s="793"/>
      <c r="AG86" s="793"/>
      <c r="AH86" s="11"/>
      <c r="AI86" s="11"/>
      <c r="AJ86" s="11"/>
      <c r="AK86" s="11"/>
      <c r="AL86" s="11"/>
      <c r="AM86" s="11"/>
      <c r="AN86" s="11"/>
    </row>
    <row r="87" spans="1:40" s="776" customFormat="1">
      <c r="A87" s="932"/>
      <c r="B87" s="52" t="s">
        <v>194</v>
      </c>
      <c r="C87" s="932"/>
      <c r="D87" s="932"/>
      <c r="E87" s="932"/>
      <c r="F87" s="793">
        <v>-170</v>
      </c>
      <c r="G87" s="793">
        <v>-820</v>
      </c>
      <c r="H87" s="793">
        <v>-647</v>
      </c>
      <c r="I87" s="793">
        <v>149</v>
      </c>
      <c r="J87" s="793">
        <v>-32</v>
      </c>
      <c r="K87" s="793">
        <v>-337</v>
      </c>
      <c r="L87" s="793">
        <v>-1090</v>
      </c>
      <c r="M87" s="793">
        <v>-276</v>
      </c>
      <c r="N87" s="928"/>
      <c r="O87" s="1286"/>
      <c r="P87" s="1286"/>
      <c r="Q87" s="1286"/>
      <c r="R87" s="1286"/>
      <c r="S87" s="1286"/>
      <c r="T87" s="1286"/>
      <c r="U87" s="1286"/>
      <c r="V87" s="1286"/>
      <c r="W87" s="1286"/>
      <c r="X87" s="1286"/>
      <c r="Y87" s="1286"/>
      <c r="Z87" s="1286"/>
      <c r="AA87" s="1286"/>
      <c r="AB87" s="52"/>
      <c r="AC87" s="793"/>
      <c r="AD87" s="188"/>
      <c r="AE87" s="793"/>
      <c r="AF87" s="793"/>
      <c r="AG87" s="793"/>
      <c r="AH87" s="11"/>
      <c r="AI87" s="11"/>
      <c r="AJ87" s="11"/>
      <c r="AK87" s="11"/>
      <c r="AL87" s="11"/>
      <c r="AM87" s="11"/>
      <c r="AN87" s="11"/>
    </row>
    <row r="88" spans="1:40" s="776" customFormat="1">
      <c r="A88" s="932"/>
      <c r="B88" s="52" t="s">
        <v>74</v>
      </c>
      <c r="C88" s="932"/>
      <c r="D88" s="932"/>
      <c r="E88" s="932"/>
      <c r="F88" s="793">
        <v>0</v>
      </c>
      <c r="G88" s="793">
        <v>0</v>
      </c>
      <c r="H88" s="793">
        <v>0</v>
      </c>
      <c r="I88" s="793">
        <v>0</v>
      </c>
      <c r="J88" s="793">
        <v>481</v>
      </c>
      <c r="K88" s="793">
        <v>2027</v>
      </c>
      <c r="L88" s="793">
        <v>-49</v>
      </c>
      <c r="M88" s="793">
        <v>33695</v>
      </c>
      <c r="N88" s="928"/>
      <c r="O88" s="1286"/>
      <c r="P88" s="1286"/>
      <c r="Q88" s="1286"/>
      <c r="R88" s="1286"/>
      <c r="S88" s="1286"/>
      <c r="T88" s="1286"/>
      <c r="U88" s="1286"/>
      <c r="V88" s="1286"/>
      <c r="W88" s="1286"/>
      <c r="X88" s="1286"/>
      <c r="Y88" s="1286"/>
      <c r="Z88" s="1286"/>
      <c r="AA88" s="1286"/>
      <c r="AB88" s="52"/>
      <c r="AC88" s="793"/>
      <c r="AD88" s="188"/>
      <c r="AE88" s="793"/>
      <c r="AF88" s="793"/>
      <c r="AG88" s="793"/>
      <c r="AH88" s="11"/>
      <c r="AI88" s="11"/>
      <c r="AJ88" s="11"/>
      <c r="AK88" s="11"/>
      <c r="AL88" s="11"/>
      <c r="AM88" s="11"/>
      <c r="AN88" s="11"/>
    </row>
    <row r="89" spans="1:40" s="776" customFormat="1">
      <c r="A89" s="932"/>
      <c r="B89" s="52" t="s">
        <v>165</v>
      </c>
      <c r="C89" s="932" t="s">
        <v>165</v>
      </c>
      <c r="D89" s="932"/>
      <c r="E89" s="932"/>
      <c r="F89" s="793">
        <v>-10644</v>
      </c>
      <c r="G89" s="793">
        <v>-43699</v>
      </c>
      <c r="H89" s="793">
        <v>0</v>
      </c>
      <c r="I89" s="793">
        <v>0</v>
      </c>
      <c r="J89" s="793">
        <v>0</v>
      </c>
      <c r="K89" s="793">
        <v>0</v>
      </c>
      <c r="L89" s="793">
        <v>0</v>
      </c>
      <c r="M89" s="793">
        <v>0</v>
      </c>
      <c r="N89" s="928"/>
      <c r="O89" s="1286"/>
      <c r="P89" s="1286"/>
      <c r="Q89" s="1286"/>
      <c r="R89" s="1286"/>
      <c r="S89" s="1286"/>
      <c r="T89" s="1286"/>
      <c r="U89" s="1286"/>
      <c r="V89" s="1286"/>
      <c r="W89" s="1286"/>
      <c r="X89" s="1286"/>
      <c r="Y89" s="1286"/>
      <c r="Z89" s="1286"/>
      <c r="AA89" s="1286"/>
      <c r="AB89" s="52"/>
      <c r="AC89" s="793"/>
      <c r="AD89" s="188"/>
      <c r="AE89" s="793"/>
      <c r="AF89" s="793"/>
      <c r="AG89" s="793"/>
      <c r="AH89" s="11"/>
      <c r="AI89" s="11"/>
      <c r="AJ89" s="11"/>
      <c r="AK89" s="11"/>
      <c r="AL89" s="11"/>
      <c r="AM89" s="11"/>
      <c r="AN89" s="11"/>
    </row>
    <row r="90" spans="1:40" s="776" customFormat="1">
      <c r="A90" s="932"/>
      <c r="B90" s="52" t="s">
        <v>166</v>
      </c>
      <c r="C90" s="932"/>
      <c r="D90" s="932"/>
      <c r="E90" s="932"/>
      <c r="F90" s="793">
        <v>3550</v>
      </c>
      <c r="G90" s="793">
        <v>16277</v>
      </c>
      <c r="H90" s="793">
        <v>0</v>
      </c>
      <c r="I90" s="793">
        <v>0</v>
      </c>
      <c r="J90" s="793">
        <v>0</v>
      </c>
      <c r="K90" s="793">
        <v>0</v>
      </c>
      <c r="L90" s="793">
        <v>0</v>
      </c>
      <c r="M90" s="793">
        <v>0</v>
      </c>
      <c r="N90" s="928"/>
      <c r="O90" s="1286"/>
      <c r="P90" s="1286"/>
      <c r="Q90" s="1286"/>
      <c r="R90" s="1286"/>
      <c r="S90" s="1286"/>
      <c r="T90" s="1286"/>
      <c r="U90" s="1286"/>
      <c r="V90" s="1286"/>
      <c r="W90" s="1286"/>
      <c r="X90" s="1286"/>
      <c r="Y90" s="1286"/>
      <c r="Z90" s="1286"/>
      <c r="AA90" s="1286"/>
      <c r="AB90" s="52"/>
      <c r="AC90" s="793"/>
      <c r="AD90" s="188"/>
      <c r="AE90" s="793"/>
      <c r="AF90" s="793"/>
      <c r="AG90" s="793"/>
      <c r="AH90" s="11"/>
      <c r="AI90" s="11"/>
      <c r="AJ90" s="11"/>
      <c r="AK90" s="11"/>
      <c r="AL90" s="11"/>
      <c r="AM90" s="11"/>
      <c r="AN90" s="11"/>
    </row>
    <row r="91" spans="1:40" s="776" customFormat="1">
      <c r="A91" s="932"/>
      <c r="B91" s="52" t="s">
        <v>167</v>
      </c>
      <c r="C91" s="932"/>
      <c r="D91" s="932"/>
      <c r="E91" s="932"/>
      <c r="F91" s="793">
        <v>0</v>
      </c>
      <c r="G91" s="793">
        <v>8472</v>
      </c>
      <c r="H91" s="793">
        <v>0</v>
      </c>
      <c r="I91" s="793">
        <v>0</v>
      </c>
      <c r="J91" s="793">
        <v>0</v>
      </c>
      <c r="K91" s="793">
        <v>0</v>
      </c>
      <c r="L91" s="793">
        <v>0</v>
      </c>
      <c r="M91" s="793">
        <v>0</v>
      </c>
      <c r="N91" s="928"/>
      <c r="O91" s="1286"/>
      <c r="P91" s="1286"/>
      <c r="Q91" s="1286"/>
      <c r="R91" s="1286"/>
      <c r="S91" s="1286"/>
      <c r="T91" s="1286"/>
      <c r="U91" s="1286"/>
      <c r="V91" s="1286"/>
      <c r="W91" s="1286"/>
      <c r="X91" s="1286"/>
      <c r="Y91" s="1286"/>
      <c r="Z91" s="1286"/>
      <c r="AA91" s="1286"/>
      <c r="AB91" s="52"/>
      <c r="AC91" s="793"/>
      <c r="AD91" s="188"/>
      <c r="AE91" s="793"/>
      <c r="AF91" s="793"/>
      <c r="AG91" s="793"/>
      <c r="AH91" s="11"/>
      <c r="AI91" s="11"/>
      <c r="AJ91" s="11"/>
      <c r="AK91" s="11"/>
      <c r="AL91" s="11"/>
      <c r="AM91" s="11"/>
      <c r="AN91" s="11"/>
    </row>
    <row r="92" spans="1:40" s="776" customFormat="1">
      <c r="A92" s="793"/>
      <c r="B92" s="52" t="s">
        <v>195</v>
      </c>
      <c r="C92" s="932"/>
      <c r="D92" s="932"/>
      <c r="E92" s="932"/>
      <c r="F92" s="793">
        <v>0</v>
      </c>
      <c r="G92" s="793">
        <v>0</v>
      </c>
      <c r="H92" s="793">
        <v>0</v>
      </c>
      <c r="I92" s="793">
        <v>0</v>
      </c>
      <c r="J92" s="793">
        <v>0</v>
      </c>
      <c r="K92" s="793">
        <v>-400</v>
      </c>
      <c r="L92" s="793">
        <v>-760</v>
      </c>
      <c r="M92" s="793">
        <v>-7191</v>
      </c>
      <c r="N92" s="928"/>
      <c r="O92" s="1286"/>
      <c r="P92" s="1286"/>
      <c r="Q92" s="1286"/>
      <c r="R92" s="1286"/>
      <c r="S92" s="1286"/>
      <c r="T92" s="1286"/>
      <c r="U92" s="1286"/>
      <c r="V92" s="1286"/>
      <c r="W92" s="1286"/>
      <c r="X92" s="1286"/>
      <c r="Y92" s="1286"/>
      <c r="Z92" s="1286"/>
      <c r="AA92" s="1286"/>
      <c r="AB92" s="52"/>
      <c r="AC92" s="793"/>
      <c r="AD92" s="188"/>
      <c r="AE92" s="793"/>
      <c r="AF92" s="793"/>
      <c r="AG92" s="793"/>
      <c r="AH92" s="11"/>
      <c r="AI92" s="11"/>
      <c r="AJ92" s="11"/>
      <c r="AK92" s="11"/>
      <c r="AL92" s="11"/>
      <c r="AM92" s="11"/>
      <c r="AN92" s="11"/>
    </row>
    <row r="93" spans="1:40" s="776" customFormat="1">
      <c r="A93" s="932"/>
      <c r="B93" s="52" t="s">
        <v>196</v>
      </c>
      <c r="C93" s="932"/>
      <c r="D93" s="932"/>
      <c r="E93" s="932"/>
      <c r="F93" s="793">
        <v>0</v>
      </c>
      <c r="G93" s="793">
        <v>0</v>
      </c>
      <c r="H93" s="793">
        <v>0</v>
      </c>
      <c r="I93" s="793">
        <v>0</v>
      </c>
      <c r="J93" s="793">
        <v>0</v>
      </c>
      <c r="K93" s="926">
        <v>-4685</v>
      </c>
      <c r="L93" s="926">
        <v>-2696</v>
      </c>
      <c r="M93" s="793">
        <v>0</v>
      </c>
      <c r="N93" s="928"/>
      <c r="O93" s="1286"/>
      <c r="P93" s="1286"/>
      <c r="Q93" s="1286"/>
      <c r="R93" s="1286"/>
      <c r="S93" s="1286"/>
      <c r="T93" s="1286"/>
      <c r="U93" s="1286"/>
      <c r="V93" s="1286"/>
      <c r="W93" s="1286"/>
      <c r="X93" s="1286"/>
      <c r="Y93" s="1286"/>
      <c r="Z93" s="1286"/>
      <c r="AA93" s="1286"/>
      <c r="AB93" s="52"/>
      <c r="AC93" s="793"/>
      <c r="AD93" s="188"/>
      <c r="AE93" s="793"/>
      <c r="AF93" s="793"/>
      <c r="AG93" s="793"/>
      <c r="AH93" s="11"/>
      <c r="AI93" s="11"/>
      <c r="AJ93" s="11"/>
      <c r="AK93" s="11"/>
      <c r="AL93" s="11"/>
      <c r="AM93" s="11"/>
      <c r="AN93" s="11"/>
    </row>
    <row r="94" spans="1:40" s="776" customFormat="1">
      <c r="A94" s="932"/>
      <c r="B94" s="52" t="s">
        <v>197</v>
      </c>
      <c r="C94" s="932"/>
      <c r="D94" s="932"/>
      <c r="E94" s="932"/>
      <c r="F94" s="793">
        <v>-108</v>
      </c>
      <c r="G94" s="793">
        <v>-241</v>
      </c>
      <c r="H94" s="793">
        <v>-250</v>
      </c>
      <c r="I94" s="793">
        <v>-280</v>
      </c>
      <c r="J94" s="793">
        <v>-300</v>
      </c>
      <c r="K94" s="793">
        <v>-333</v>
      </c>
      <c r="L94" s="793">
        <v>-297</v>
      </c>
      <c r="M94" s="793">
        <v>-261</v>
      </c>
      <c r="N94" s="928"/>
      <c r="O94" s="1286"/>
      <c r="P94" s="1286"/>
      <c r="Q94" s="1286"/>
      <c r="R94" s="1286"/>
      <c r="S94" s="1286"/>
      <c r="T94" s="1286"/>
      <c r="U94" s="1286"/>
      <c r="V94" s="1286"/>
      <c r="W94" s="1286"/>
      <c r="X94" s="1286"/>
      <c r="Y94" s="1286"/>
      <c r="Z94" s="1286"/>
      <c r="AA94" s="1286"/>
      <c r="AB94" s="52"/>
      <c r="AC94" s="793"/>
      <c r="AD94" s="188"/>
      <c r="AE94" s="793"/>
      <c r="AF94" s="793"/>
      <c r="AG94" s="793"/>
      <c r="AH94" s="11"/>
      <c r="AI94" s="11"/>
      <c r="AJ94" s="11"/>
      <c r="AK94" s="11"/>
      <c r="AL94" s="11"/>
      <c r="AM94" s="11"/>
      <c r="AN94" s="11"/>
    </row>
    <row r="95" spans="1:40" s="776" customFormat="1">
      <c r="A95" s="932"/>
      <c r="B95" s="52" t="s">
        <v>198</v>
      </c>
      <c r="C95" s="932"/>
      <c r="D95" s="932"/>
      <c r="E95" s="932"/>
      <c r="F95" s="793">
        <f>-(140+47)</f>
        <v>-187</v>
      </c>
      <c r="G95" s="793">
        <f>-(159+89)</f>
        <v>-248</v>
      </c>
      <c r="H95" s="793">
        <f>-(135+219+225)</f>
        <v>-579</v>
      </c>
      <c r="I95" s="793">
        <f>-(198+264+114)</f>
        <v>-576</v>
      </c>
      <c r="J95" s="793">
        <f>-(314+23)</f>
        <v>-337</v>
      </c>
      <c r="K95" s="793">
        <f>-(346+61)</f>
        <v>-407</v>
      </c>
      <c r="L95" s="793">
        <f>-(216+44)</f>
        <v>-260</v>
      </c>
      <c r="M95" s="793">
        <v>-323</v>
      </c>
      <c r="N95" s="928"/>
      <c r="O95" s="1286"/>
      <c r="P95" s="1286"/>
      <c r="Q95" s="1286"/>
      <c r="R95" s="1286"/>
      <c r="S95" s="1286"/>
      <c r="T95" s="1286"/>
      <c r="U95" s="1286"/>
      <c r="V95" s="1286"/>
      <c r="W95" s="1286"/>
      <c r="X95" s="1286"/>
      <c r="Y95" s="1286"/>
      <c r="Z95" s="1286"/>
      <c r="AA95" s="1286"/>
      <c r="AB95" s="52"/>
      <c r="AC95" s="793"/>
      <c r="AD95" s="188"/>
      <c r="AE95" s="793"/>
      <c r="AF95" s="793"/>
      <c r="AG95" s="793"/>
      <c r="AH95" s="11"/>
      <c r="AI95" s="11"/>
      <c r="AJ95" s="11"/>
      <c r="AK95" s="11"/>
      <c r="AL95" s="11"/>
      <c r="AM95" s="11"/>
      <c r="AN95" s="11"/>
    </row>
    <row r="96" spans="1:40" s="776" customFormat="1">
      <c r="A96" s="932"/>
      <c r="B96" s="52" t="s">
        <v>199</v>
      </c>
      <c r="C96" s="932"/>
      <c r="D96" s="932"/>
      <c r="E96" s="932"/>
      <c r="F96" s="892">
        <v>-14</v>
      </c>
      <c r="G96" s="892">
        <v>-3</v>
      </c>
      <c r="H96" s="892">
        <v>0</v>
      </c>
      <c r="I96" s="892">
        <v>0</v>
      </c>
      <c r="J96" s="892">
        <v>0</v>
      </c>
      <c r="K96" s="892">
        <v>0</v>
      </c>
      <c r="L96" s="892">
        <v>0</v>
      </c>
      <c r="M96" s="892">
        <v>0</v>
      </c>
      <c r="N96" s="928"/>
      <c r="O96" s="1286"/>
      <c r="P96" s="1286"/>
      <c r="Q96" s="1286"/>
      <c r="R96" s="1286"/>
      <c r="S96" s="1286"/>
      <c r="T96" s="1286"/>
      <c r="U96" s="1286"/>
      <c r="V96" s="1286"/>
      <c r="W96" s="1286"/>
      <c r="X96" s="1286"/>
      <c r="Y96" s="1286"/>
      <c r="Z96" s="1286"/>
      <c r="AA96" s="1286"/>
      <c r="AB96" s="52"/>
      <c r="AC96" s="793"/>
      <c r="AD96" s="188"/>
      <c r="AE96" s="793"/>
      <c r="AF96" s="793"/>
      <c r="AG96" s="793"/>
      <c r="AH96" s="11"/>
      <c r="AI96" s="11"/>
      <c r="AJ96" s="11"/>
      <c r="AK96" s="11"/>
      <c r="AL96" s="11"/>
      <c r="AM96" s="11"/>
      <c r="AN96" s="11"/>
    </row>
    <row r="97" spans="1:40" s="776" customFormat="1">
      <c r="A97" s="932"/>
      <c r="B97" s="52" t="s">
        <v>200</v>
      </c>
      <c r="C97" s="932"/>
      <c r="D97" s="932"/>
      <c r="E97" s="932"/>
      <c r="F97" s="793">
        <f t="shared" ref="F97:M97" si="59">SUM(F73:F96)</f>
        <v>-22493</v>
      </c>
      <c r="G97" s="793">
        <f t="shared" si="59"/>
        <v>-73566</v>
      </c>
      <c r="H97" s="793">
        <f t="shared" si="59"/>
        <v>-58283</v>
      </c>
      <c r="I97" s="793">
        <f t="shared" si="59"/>
        <v>-72007</v>
      </c>
      <c r="J97" s="793">
        <f t="shared" si="59"/>
        <v>-79582</v>
      </c>
      <c r="K97" s="793">
        <f t="shared" si="59"/>
        <v>-111352</v>
      </c>
      <c r="L97" s="793">
        <f t="shared" si="59"/>
        <v>-99223</v>
      </c>
      <c r="M97" s="793">
        <f t="shared" si="59"/>
        <v>-63875</v>
      </c>
      <c r="N97" s="928"/>
      <c r="O97" s="1286"/>
      <c r="P97" s="1286"/>
      <c r="Q97" s="1286"/>
      <c r="R97" s="1286"/>
      <c r="S97" s="1286"/>
      <c r="T97" s="1286"/>
      <c r="U97" s="1286"/>
      <c r="V97" s="1286"/>
      <c r="W97" s="1286"/>
      <c r="X97" s="1286"/>
      <c r="Y97" s="1286"/>
      <c r="Z97" s="1286"/>
      <c r="AA97" s="1286"/>
      <c r="AB97" s="52"/>
      <c r="AC97" s="793"/>
      <c r="AD97" s="188"/>
      <c r="AE97" s="793"/>
      <c r="AF97" s="793"/>
      <c r="AG97" s="793"/>
      <c r="AH97" s="11"/>
      <c r="AI97" s="11"/>
      <c r="AJ97" s="11"/>
      <c r="AK97" s="11"/>
      <c r="AL97" s="11"/>
      <c r="AM97" s="11"/>
      <c r="AN97" s="11"/>
    </row>
    <row r="98" spans="1:40" s="776" customFormat="1">
      <c r="A98" s="932"/>
      <c r="B98" s="52" t="s">
        <v>201</v>
      </c>
      <c r="C98" s="932"/>
      <c r="D98" s="932"/>
      <c r="E98" s="932"/>
      <c r="F98" s="793">
        <f t="shared" ref="F98:M98" si="60">F72-F97</f>
        <v>-68657</v>
      </c>
      <c r="G98" s="793">
        <f t="shared" si="60"/>
        <v>-360081</v>
      </c>
      <c r="H98" s="793">
        <f t="shared" si="60"/>
        <v>-506611</v>
      </c>
      <c r="I98" s="793">
        <f t="shared" si="60"/>
        <v>-888527</v>
      </c>
      <c r="J98" s="793">
        <f t="shared" si="60"/>
        <v>-1054594</v>
      </c>
      <c r="K98" s="793">
        <f t="shared" si="60"/>
        <v>-858830</v>
      </c>
      <c r="L98" s="793">
        <f t="shared" si="60"/>
        <v>-1132644</v>
      </c>
      <c r="M98" s="793">
        <f t="shared" si="60"/>
        <v>-1756006</v>
      </c>
      <c r="N98" s="928"/>
      <c r="O98" s="1286"/>
      <c r="P98" s="1286"/>
      <c r="Q98" s="1286"/>
      <c r="R98" s="1286"/>
      <c r="S98" s="1286"/>
      <c r="T98" s="1286"/>
      <c r="U98" s="1286"/>
      <c r="V98" s="1286"/>
      <c r="W98" s="1286"/>
      <c r="X98" s="1286"/>
      <c r="Y98" s="1286"/>
      <c r="Z98" s="1286"/>
      <c r="AA98" s="1286"/>
      <c r="AB98" s="52"/>
      <c r="AC98" s="793"/>
      <c r="AD98" s="188"/>
      <c r="AE98" s="793"/>
      <c r="AF98" s="793"/>
      <c r="AG98" s="793"/>
      <c r="AH98" s="11"/>
      <c r="AI98" s="11"/>
      <c r="AJ98" s="11"/>
      <c r="AK98" s="11"/>
      <c r="AL98" s="11"/>
      <c r="AM98" s="11"/>
      <c r="AN98" s="11"/>
    </row>
    <row r="99" spans="1:40" s="776" customFormat="1" ht="13.5" thickBot="1">
      <c r="A99" s="932"/>
      <c r="B99" s="948" t="s">
        <v>202</v>
      </c>
      <c r="C99" s="949"/>
      <c r="D99" s="949"/>
      <c r="E99" s="932"/>
      <c r="F99" s="1174">
        <f t="shared" ref="F99:M99" si="61">SUM(F97:F98)</f>
        <v>-91150</v>
      </c>
      <c r="G99" s="1174">
        <f t="shared" si="61"/>
        <v>-433647</v>
      </c>
      <c r="H99" s="1174">
        <f t="shared" si="61"/>
        <v>-564894</v>
      </c>
      <c r="I99" s="1174">
        <f t="shared" si="61"/>
        <v>-960534</v>
      </c>
      <c r="J99" s="1174">
        <f t="shared" si="61"/>
        <v>-1134176</v>
      </c>
      <c r="K99" s="1174">
        <f t="shared" si="61"/>
        <v>-970182</v>
      </c>
      <c r="L99" s="1174">
        <f t="shared" si="61"/>
        <v>-1231867</v>
      </c>
      <c r="M99" s="1174">
        <f t="shared" si="61"/>
        <v>-1819881</v>
      </c>
      <c r="N99" s="928"/>
      <c r="O99" s="1286"/>
      <c r="P99" s="1286"/>
      <c r="Q99" s="1286"/>
      <c r="R99" s="1286"/>
      <c r="S99" s="1286"/>
      <c r="T99" s="1286"/>
      <c r="U99" s="1286"/>
      <c r="V99" s="1286"/>
      <c r="W99" s="1286"/>
      <c r="X99" s="1286"/>
      <c r="Y99" s="1286"/>
      <c r="Z99" s="1286"/>
      <c r="AA99" s="1286"/>
      <c r="AB99" s="52"/>
      <c r="AC99" s="793"/>
      <c r="AD99" s="188"/>
      <c r="AE99" s="793"/>
      <c r="AF99" s="793"/>
      <c r="AG99" s="793"/>
      <c r="AH99" s="11"/>
      <c r="AI99" s="11"/>
      <c r="AJ99" s="11"/>
      <c r="AK99" s="11"/>
      <c r="AL99" s="11"/>
      <c r="AM99" s="11"/>
      <c r="AN99" s="11"/>
    </row>
    <row r="100" spans="1:40" s="776" customFormat="1">
      <c r="A100" s="52"/>
      <c r="B100" s="52" t="s">
        <v>203</v>
      </c>
      <c r="C100" s="52"/>
      <c r="D100" s="52"/>
      <c r="E100" s="52"/>
      <c r="F100" s="793">
        <f t="shared" ref="F100:M100" si="62">F98</f>
        <v>-68657</v>
      </c>
      <c r="G100" s="793">
        <f t="shared" si="62"/>
        <v>-360081</v>
      </c>
      <c r="H100" s="793">
        <f t="shared" si="62"/>
        <v>-506611</v>
      </c>
      <c r="I100" s="793">
        <f t="shared" si="62"/>
        <v>-888527</v>
      </c>
      <c r="J100" s="793">
        <f t="shared" si="62"/>
        <v>-1054594</v>
      </c>
      <c r="K100" s="793">
        <f t="shared" si="62"/>
        <v>-858830</v>
      </c>
      <c r="L100" s="793">
        <f t="shared" si="62"/>
        <v>-1132644</v>
      </c>
      <c r="M100" s="793">
        <f t="shared" si="62"/>
        <v>-1756006</v>
      </c>
      <c r="N100" s="928"/>
      <c r="O100" s="1286"/>
      <c r="P100" s="1286"/>
      <c r="Q100" s="1286"/>
      <c r="R100" s="1286"/>
      <c r="S100" s="1286"/>
      <c r="T100" s="1286"/>
      <c r="U100" s="1286"/>
      <c r="V100" s="1286"/>
      <c r="W100" s="1286"/>
      <c r="X100" s="1286"/>
      <c r="Y100" s="1286"/>
      <c r="Z100" s="1286"/>
      <c r="AA100" s="1286"/>
      <c r="AB100" s="52"/>
      <c r="AC100" s="793"/>
      <c r="AD100" s="188"/>
      <c r="AE100" s="793"/>
      <c r="AF100" s="793"/>
      <c r="AG100" s="793"/>
      <c r="AH100" s="11"/>
      <c r="AI100" s="11"/>
      <c r="AJ100" s="11"/>
      <c r="AK100" s="11"/>
      <c r="AL100" s="11"/>
      <c r="AM100" s="11"/>
      <c r="AN100" s="11"/>
    </row>
    <row r="101" spans="1:40" s="776" customFormat="1">
      <c r="A101" s="52"/>
      <c r="B101" s="52" t="s">
        <v>203</v>
      </c>
      <c r="C101" s="52"/>
      <c r="D101" s="52"/>
      <c r="E101" s="52"/>
      <c r="F101" s="793">
        <f t="shared" ref="F101:M101" si="63">F96</f>
        <v>-14</v>
      </c>
      <c r="G101" s="793">
        <f t="shared" si="63"/>
        <v>-3</v>
      </c>
      <c r="H101" s="793">
        <f t="shared" si="63"/>
        <v>0</v>
      </c>
      <c r="I101" s="793">
        <f t="shared" si="63"/>
        <v>0</v>
      </c>
      <c r="J101" s="793">
        <f t="shared" si="63"/>
        <v>0</v>
      </c>
      <c r="K101" s="793">
        <f t="shared" si="63"/>
        <v>0</v>
      </c>
      <c r="L101" s="793">
        <f t="shared" si="63"/>
        <v>0</v>
      </c>
      <c r="M101" s="793">
        <f t="shared" si="63"/>
        <v>0</v>
      </c>
      <c r="N101" s="928"/>
      <c r="O101" s="1286"/>
      <c r="P101" s="1286"/>
      <c r="Q101" s="1286"/>
      <c r="R101" s="1286"/>
      <c r="S101" s="1286"/>
      <c r="T101" s="1286"/>
      <c r="U101" s="1286"/>
      <c r="V101" s="1286"/>
      <c r="W101" s="1286"/>
      <c r="X101" s="1286"/>
      <c r="Y101" s="1286"/>
      <c r="Z101" s="1286"/>
      <c r="AA101" s="1286"/>
      <c r="AB101" s="52"/>
      <c r="AC101" s="793"/>
      <c r="AD101" s="188"/>
      <c r="AE101" s="793"/>
      <c r="AF101" s="793"/>
      <c r="AG101" s="793"/>
      <c r="AH101" s="11"/>
      <c r="AI101" s="11"/>
      <c r="AJ101" s="11"/>
      <c r="AK101" s="11"/>
      <c r="AL101" s="11"/>
      <c r="AM101" s="11"/>
      <c r="AN101" s="11"/>
    </row>
    <row r="102" spans="1:40" s="776" customFormat="1">
      <c r="A102" s="52"/>
      <c r="B102" s="52" t="s">
        <v>204</v>
      </c>
      <c r="C102" s="52"/>
      <c r="D102" s="52"/>
      <c r="E102" s="52"/>
      <c r="F102" s="793">
        <f t="shared" ref="F102:M102" si="64">F95</f>
        <v>-187</v>
      </c>
      <c r="G102" s="793">
        <f t="shared" si="64"/>
        <v>-248</v>
      </c>
      <c r="H102" s="793">
        <f t="shared" si="64"/>
        <v>-579</v>
      </c>
      <c r="I102" s="793">
        <f t="shared" si="64"/>
        <v>-576</v>
      </c>
      <c r="J102" s="793">
        <f t="shared" si="64"/>
        <v>-337</v>
      </c>
      <c r="K102" s="793">
        <f t="shared" si="64"/>
        <v>-407</v>
      </c>
      <c r="L102" s="793">
        <f t="shared" si="64"/>
        <v>-260</v>
      </c>
      <c r="M102" s="793">
        <f t="shared" si="64"/>
        <v>-323</v>
      </c>
      <c r="N102" s="928"/>
      <c r="O102" s="1286"/>
      <c r="P102" s="1286"/>
      <c r="Q102" s="1286"/>
      <c r="R102" s="1286"/>
      <c r="S102" s="1286"/>
      <c r="T102" s="1286"/>
      <c r="U102" s="1286"/>
      <c r="V102" s="1286"/>
      <c r="W102" s="1286"/>
      <c r="X102" s="1286"/>
      <c r="Y102" s="1286"/>
      <c r="Z102" s="1286"/>
      <c r="AA102" s="1286"/>
      <c r="AB102" s="52"/>
      <c r="AC102" s="793"/>
      <c r="AD102" s="188"/>
      <c r="AE102" s="793"/>
      <c r="AF102" s="793"/>
      <c r="AG102" s="793"/>
      <c r="AH102" s="11"/>
      <c r="AI102" s="11"/>
      <c r="AJ102" s="11"/>
      <c r="AK102" s="11"/>
      <c r="AL102" s="11"/>
      <c r="AM102" s="11"/>
      <c r="AN102" s="11"/>
    </row>
    <row r="103" spans="1:40" s="776" customFormat="1">
      <c r="A103" s="52"/>
      <c r="B103" s="52" t="s">
        <v>205</v>
      </c>
      <c r="C103" s="52"/>
      <c r="D103" s="52"/>
      <c r="E103" s="52"/>
      <c r="F103" s="793">
        <f t="shared" ref="F103:M103" si="65">F85</f>
        <v>-4</v>
      </c>
      <c r="G103" s="793">
        <f t="shared" si="65"/>
        <v>-276</v>
      </c>
      <c r="H103" s="793">
        <f t="shared" si="65"/>
        <v>-457</v>
      </c>
      <c r="I103" s="793">
        <f t="shared" si="65"/>
        <v>-2006</v>
      </c>
      <c r="J103" s="793">
        <f t="shared" si="65"/>
        <v>-3307</v>
      </c>
      <c r="K103" s="793">
        <f t="shared" si="65"/>
        <v>-3822</v>
      </c>
      <c r="L103" s="793">
        <f t="shared" si="65"/>
        <v>-2326</v>
      </c>
      <c r="M103" s="793">
        <f t="shared" si="65"/>
        <v>-2252</v>
      </c>
      <c r="N103" s="928"/>
      <c r="O103" s="1286"/>
      <c r="P103" s="1286"/>
      <c r="Q103" s="1286"/>
      <c r="R103" s="1286"/>
      <c r="S103" s="1286"/>
      <c r="T103" s="1286"/>
      <c r="U103" s="1286"/>
      <c r="V103" s="1286"/>
      <c r="W103" s="1286"/>
      <c r="X103" s="1286"/>
      <c r="Y103" s="1286"/>
      <c r="Z103" s="1286"/>
      <c r="AA103" s="1286"/>
      <c r="AB103" s="52"/>
      <c r="AC103" s="793"/>
      <c r="AD103" s="188"/>
      <c r="AE103" s="793"/>
      <c r="AF103" s="793"/>
      <c r="AG103" s="793"/>
      <c r="AH103" s="11"/>
      <c r="AI103" s="11"/>
      <c r="AJ103" s="11"/>
      <c r="AK103" s="11"/>
      <c r="AL103" s="11"/>
      <c r="AM103" s="11"/>
      <c r="AN103" s="11"/>
    </row>
    <row r="104" spans="1:40" s="776" customFormat="1">
      <c r="A104" s="52"/>
      <c r="B104" s="242" t="s">
        <v>74</v>
      </c>
      <c r="C104" s="242"/>
      <c r="D104" s="242"/>
      <c r="E104" s="242"/>
      <c r="F104" s="793">
        <f t="shared" ref="F104:M104" si="66">F88</f>
        <v>0</v>
      </c>
      <c r="G104" s="793">
        <f t="shared" si="66"/>
        <v>0</v>
      </c>
      <c r="H104" s="793">
        <f t="shared" si="66"/>
        <v>0</v>
      </c>
      <c r="I104" s="793">
        <f t="shared" si="66"/>
        <v>0</v>
      </c>
      <c r="J104" s="793">
        <f t="shared" si="66"/>
        <v>481</v>
      </c>
      <c r="K104" s="793">
        <f t="shared" si="66"/>
        <v>2027</v>
      </c>
      <c r="L104" s="793">
        <f t="shared" si="66"/>
        <v>-49</v>
      </c>
      <c r="M104" s="793">
        <f t="shared" si="66"/>
        <v>33695</v>
      </c>
      <c r="N104" s="928"/>
      <c r="O104" s="928"/>
      <c r="P104" s="928"/>
      <c r="Q104" s="928"/>
      <c r="R104" s="928"/>
      <c r="S104" s="928"/>
      <c r="T104" s="928"/>
      <c r="U104" s="928"/>
      <c r="V104" s="928"/>
      <c r="W104" s="928"/>
      <c r="X104" s="928"/>
      <c r="Y104" s="928"/>
      <c r="Z104" s="928"/>
      <c r="AA104" s="928"/>
      <c r="AB104" s="793"/>
      <c r="AC104" s="793"/>
      <c r="AD104" s="188"/>
      <c r="AE104" s="793"/>
      <c r="AF104" s="793"/>
      <c r="AG104" s="793"/>
      <c r="AH104" s="11"/>
      <c r="AI104" s="11"/>
      <c r="AJ104" s="11"/>
      <c r="AK104" s="11"/>
      <c r="AL104" s="11"/>
      <c r="AM104" s="11"/>
      <c r="AN104" s="11"/>
    </row>
    <row r="105" spans="1:40" s="776" customFormat="1">
      <c r="A105" s="69"/>
      <c r="B105" s="52" t="s">
        <v>206</v>
      </c>
      <c r="C105" s="52"/>
      <c r="D105" s="52"/>
      <c r="E105" s="52"/>
      <c r="F105" s="793">
        <f>F87</f>
        <v>-170</v>
      </c>
      <c r="G105" s="793">
        <f t="shared" ref="G105:M105" si="67">G87+G86</f>
        <v>-1321</v>
      </c>
      <c r="H105" s="793">
        <f t="shared" si="67"/>
        <v>-1261</v>
      </c>
      <c r="I105" s="793">
        <f t="shared" si="67"/>
        <v>-2906</v>
      </c>
      <c r="J105" s="793">
        <f t="shared" si="67"/>
        <v>-2533</v>
      </c>
      <c r="K105" s="793">
        <f t="shared" si="67"/>
        <v>-2561</v>
      </c>
      <c r="L105" s="793">
        <f t="shared" si="67"/>
        <v>-2952</v>
      </c>
      <c r="M105" s="793">
        <f t="shared" si="67"/>
        <v>-2654</v>
      </c>
      <c r="N105" s="928"/>
      <c r="O105" s="928"/>
      <c r="P105" s="928"/>
      <c r="Q105" s="928"/>
      <c r="R105" s="928"/>
      <c r="S105" s="928"/>
      <c r="T105" s="928"/>
      <c r="U105" s="928"/>
      <c r="V105" s="928"/>
      <c r="W105" s="928"/>
      <c r="X105" s="928"/>
      <c r="Y105" s="928"/>
      <c r="Z105" s="928"/>
      <c r="AA105" s="928"/>
      <c r="AB105" s="793"/>
      <c r="AC105" s="793"/>
      <c r="AD105" s="188"/>
      <c r="AE105" s="793"/>
      <c r="AF105" s="793"/>
      <c r="AG105" s="793"/>
      <c r="AH105" s="11"/>
      <c r="AI105" s="11"/>
      <c r="AJ105" s="11"/>
      <c r="AK105" s="11"/>
      <c r="AL105" s="11"/>
      <c r="AM105" s="11"/>
      <c r="AN105" s="11"/>
    </row>
    <row r="106" spans="1:40" s="776" customFormat="1">
      <c r="A106" s="69"/>
      <c r="B106" s="52" t="s">
        <v>207</v>
      </c>
      <c r="C106" s="52"/>
      <c r="D106" s="52"/>
      <c r="E106" s="52"/>
      <c r="F106" s="793">
        <f t="shared" ref="F106:M106" si="68">F94</f>
        <v>-108</v>
      </c>
      <c r="G106" s="793">
        <f t="shared" si="68"/>
        <v>-241</v>
      </c>
      <c r="H106" s="793">
        <f t="shared" si="68"/>
        <v>-250</v>
      </c>
      <c r="I106" s="793">
        <f t="shared" si="68"/>
        <v>-280</v>
      </c>
      <c r="J106" s="793">
        <f t="shared" si="68"/>
        <v>-300</v>
      </c>
      <c r="K106" s="793">
        <f t="shared" si="68"/>
        <v>-333</v>
      </c>
      <c r="L106" s="793">
        <f t="shared" si="68"/>
        <v>-297</v>
      </c>
      <c r="M106" s="793">
        <f t="shared" si="68"/>
        <v>-261</v>
      </c>
      <c r="N106" s="928"/>
      <c r="O106" s="928"/>
      <c r="P106" s="928"/>
      <c r="Q106" s="928"/>
      <c r="R106" s="928"/>
      <c r="S106" s="928"/>
      <c r="T106" s="928"/>
      <c r="U106" s="928"/>
      <c r="V106" s="928"/>
      <c r="W106" s="928"/>
      <c r="X106" s="928"/>
      <c r="Y106" s="928"/>
      <c r="Z106" s="928"/>
      <c r="AA106" s="928"/>
      <c r="AB106" s="793"/>
      <c r="AC106" s="793"/>
      <c r="AD106" s="188"/>
      <c r="AE106" s="793"/>
      <c r="AF106" s="793"/>
      <c r="AG106" s="793"/>
      <c r="AH106" s="11"/>
      <c r="AI106" s="11"/>
      <c r="AJ106" s="11"/>
      <c r="AK106" s="11"/>
      <c r="AL106" s="11"/>
      <c r="AM106" s="11"/>
      <c r="AN106" s="11"/>
    </row>
    <row r="107" spans="1:40" s="776" customFormat="1">
      <c r="A107" s="69"/>
      <c r="B107" s="52" t="s">
        <v>69</v>
      </c>
      <c r="C107" s="52"/>
      <c r="D107" s="52"/>
      <c r="E107" s="52"/>
      <c r="F107" s="892">
        <v>0</v>
      </c>
      <c r="G107" s="892">
        <v>0</v>
      </c>
      <c r="H107" s="892">
        <v>0</v>
      </c>
      <c r="I107" s="892">
        <v>0</v>
      </c>
      <c r="J107" s="892">
        <v>0</v>
      </c>
      <c r="K107" s="892">
        <f>K92+K93</f>
        <v>-5085</v>
      </c>
      <c r="L107" s="892">
        <f>L92+L93</f>
        <v>-3456</v>
      </c>
      <c r="M107" s="892">
        <f>M92+M93</f>
        <v>-7191</v>
      </c>
      <c r="N107" s="928"/>
      <c r="O107" s="928"/>
      <c r="P107" s="928"/>
      <c r="Q107" s="928"/>
      <c r="R107" s="928"/>
      <c r="S107" s="928"/>
      <c r="T107" s="928"/>
      <c r="U107" s="928"/>
      <c r="V107" s="928"/>
      <c r="W107" s="928"/>
      <c r="X107" s="928"/>
      <c r="Y107" s="928"/>
      <c r="Z107" s="928"/>
      <c r="AA107" s="928"/>
      <c r="AB107" s="793"/>
      <c r="AC107" s="793"/>
      <c r="AD107" s="188"/>
      <c r="AE107" s="793"/>
      <c r="AF107" s="793"/>
      <c r="AG107" s="793"/>
      <c r="AH107" s="11"/>
      <c r="AI107" s="11"/>
      <c r="AJ107" s="11"/>
      <c r="AK107" s="11"/>
      <c r="AL107" s="11"/>
      <c r="AM107" s="11"/>
      <c r="AN107" s="11"/>
    </row>
    <row r="108" spans="1:40" s="776" customFormat="1">
      <c r="A108" s="929" t="s">
        <v>57</v>
      </c>
      <c r="C108" s="52"/>
      <c r="D108" s="52"/>
      <c r="E108" s="52"/>
      <c r="F108" s="793">
        <f t="shared" ref="F108:M108" si="69">F11+SUM(F100:F107)</f>
        <v>69633</v>
      </c>
      <c r="G108" s="793">
        <f t="shared" si="69"/>
        <v>212186</v>
      </c>
      <c r="H108" s="793">
        <f t="shared" si="69"/>
        <v>262840</v>
      </c>
      <c r="I108" s="793">
        <f t="shared" si="69"/>
        <v>231297</v>
      </c>
      <c r="J108" s="793">
        <f t="shared" si="69"/>
        <v>304871</v>
      </c>
      <c r="K108" s="793">
        <f t="shared" si="69"/>
        <v>432454</v>
      </c>
      <c r="L108" s="793">
        <f t="shared" si="69"/>
        <v>507071</v>
      </c>
      <c r="M108" s="793">
        <f t="shared" si="69"/>
        <v>448315</v>
      </c>
      <c r="N108" s="928"/>
      <c r="O108" s="928"/>
      <c r="P108" s="928"/>
      <c r="Q108" s="928"/>
      <c r="R108" s="928"/>
      <c r="S108" s="928"/>
      <c r="T108" s="928"/>
      <c r="U108" s="928"/>
      <c r="V108" s="928"/>
      <c r="W108" s="928"/>
      <c r="X108" s="928"/>
      <c r="Y108" s="928"/>
      <c r="Z108" s="928"/>
      <c r="AA108" s="928"/>
      <c r="AB108" s="793"/>
      <c r="AC108" s="793"/>
      <c r="AD108" s="188"/>
      <c r="AE108" s="793"/>
      <c r="AF108" s="793"/>
      <c r="AG108" s="793"/>
      <c r="AH108" s="11"/>
      <c r="AI108" s="11"/>
      <c r="AJ108" s="11"/>
      <c r="AK108" s="11"/>
      <c r="AL108" s="11"/>
      <c r="AM108" s="11"/>
      <c r="AN108" s="11"/>
    </row>
    <row r="109" spans="1:40" s="776" customFormat="1">
      <c r="A109" s="69"/>
      <c r="B109" s="52" t="s">
        <v>60</v>
      </c>
      <c r="C109" s="52"/>
      <c r="D109" s="52"/>
      <c r="E109" s="52"/>
      <c r="F109" s="793">
        <f t="shared" ref="F109:M109" si="70">F73+F74+F75+F76</f>
        <v>-14452</v>
      </c>
      <c r="G109" s="793">
        <f t="shared" si="70"/>
        <v>-48891</v>
      </c>
      <c r="H109" s="793">
        <f t="shared" si="70"/>
        <v>-52172</v>
      </c>
      <c r="I109" s="793">
        <f t="shared" si="70"/>
        <v>-58584</v>
      </c>
      <c r="J109" s="793">
        <f t="shared" si="70"/>
        <v>-59686</v>
      </c>
      <c r="K109" s="793">
        <f t="shared" si="70"/>
        <v>-74545</v>
      </c>
      <c r="L109" s="793">
        <f t="shared" si="70"/>
        <v>-81309</v>
      </c>
      <c r="M109" s="793">
        <f t="shared" si="70"/>
        <v>-77436</v>
      </c>
      <c r="N109" s="928"/>
      <c r="O109" s="928"/>
      <c r="P109" s="928"/>
      <c r="Q109" s="928"/>
      <c r="R109" s="928"/>
      <c r="S109" s="928"/>
      <c r="T109" s="928"/>
      <c r="U109" s="928"/>
      <c r="V109" s="928"/>
      <c r="W109" s="928"/>
      <c r="X109" s="928"/>
      <c r="Y109" s="928"/>
      <c r="Z109" s="928"/>
      <c r="AA109" s="928"/>
      <c r="AB109" s="793"/>
      <c r="AC109" s="793"/>
      <c r="AD109" s="188"/>
      <c r="AE109" s="793"/>
      <c r="AF109" s="793"/>
      <c r="AG109" s="793"/>
      <c r="AH109" s="11"/>
      <c r="AI109" s="11"/>
      <c r="AJ109" s="11"/>
      <c r="AK109" s="11"/>
      <c r="AL109" s="11"/>
      <c r="AM109" s="11"/>
      <c r="AN109" s="11"/>
    </row>
    <row r="110" spans="1:40" s="776" customFormat="1">
      <c r="A110" s="69"/>
      <c r="B110" s="52" t="s">
        <v>208</v>
      </c>
      <c r="C110" s="52"/>
      <c r="D110" s="52"/>
      <c r="E110" s="52"/>
      <c r="F110" s="793">
        <f>F78</f>
        <v>-425</v>
      </c>
      <c r="G110" s="793">
        <f>G78</f>
        <v>-3386</v>
      </c>
      <c r="H110" s="793">
        <f>H78</f>
        <v>-3457</v>
      </c>
      <c r="I110" s="793">
        <f>I78</f>
        <v>-7547</v>
      </c>
      <c r="J110" s="793"/>
      <c r="K110" s="793"/>
      <c r="L110" s="793"/>
      <c r="M110" s="901"/>
      <c r="N110" s="928"/>
      <c r="O110" s="928"/>
      <c r="P110" s="928"/>
      <c r="Q110" s="928"/>
      <c r="R110" s="928"/>
      <c r="S110" s="928"/>
      <c r="T110" s="928"/>
      <c r="U110" s="928"/>
      <c r="V110" s="928"/>
      <c r="W110" s="928"/>
      <c r="X110" s="928"/>
      <c r="Y110" s="928"/>
      <c r="Z110" s="928"/>
      <c r="AA110" s="928"/>
      <c r="AB110" s="793"/>
      <c r="AC110" s="793"/>
      <c r="AD110" s="188"/>
      <c r="AE110" s="793"/>
      <c r="AF110" s="793"/>
      <c r="AG110" s="793"/>
      <c r="AH110" s="11"/>
      <c r="AI110" s="11"/>
      <c r="AJ110" s="11"/>
      <c r="AK110" s="11"/>
      <c r="AL110" s="11"/>
      <c r="AM110" s="11"/>
      <c r="AN110" s="11"/>
    </row>
    <row r="111" spans="1:40" s="776" customFormat="1">
      <c r="A111" s="69"/>
      <c r="B111" s="52" t="s">
        <v>186</v>
      </c>
      <c r="C111" s="52"/>
      <c r="D111" s="52"/>
      <c r="E111" s="52"/>
      <c r="F111" s="793"/>
      <c r="G111" s="793"/>
      <c r="H111" s="793"/>
      <c r="I111" s="793"/>
      <c r="J111" s="793">
        <f>J78</f>
        <v>-7644</v>
      </c>
      <c r="K111" s="793">
        <f>K78</f>
        <v>-7688</v>
      </c>
      <c r="L111" s="793">
        <f>L78</f>
        <v>-7623</v>
      </c>
      <c r="M111" s="793">
        <f>M78</f>
        <v>-7227</v>
      </c>
      <c r="N111" s="928"/>
      <c r="O111" s="1286"/>
      <c r="P111" s="928"/>
      <c r="Q111" s="928"/>
      <c r="R111" s="928"/>
      <c r="S111" s="928"/>
      <c r="T111" s="928"/>
      <c r="U111" s="928"/>
      <c r="V111" s="928"/>
      <c r="W111" s="928"/>
      <c r="X111" s="928"/>
      <c r="Y111" s="928"/>
      <c r="Z111" s="928"/>
      <c r="AA111" s="928"/>
      <c r="AB111" s="793"/>
      <c r="AC111" s="793"/>
      <c r="AD111" s="188"/>
      <c r="AE111" s="793"/>
      <c r="AF111" s="793"/>
      <c r="AG111" s="793"/>
      <c r="AH111" s="11"/>
      <c r="AI111" s="11"/>
      <c r="AJ111" s="11"/>
      <c r="AK111" s="11"/>
      <c r="AL111" s="11"/>
      <c r="AM111" s="11"/>
      <c r="AN111" s="11"/>
    </row>
    <row r="112" spans="1:40" s="776" customFormat="1">
      <c r="A112" s="69"/>
      <c r="B112" s="52" t="s">
        <v>209</v>
      </c>
      <c r="C112" s="52"/>
      <c r="D112" s="52"/>
      <c r="E112" s="52"/>
      <c r="F112" s="793">
        <v>0</v>
      </c>
      <c r="G112" s="793">
        <v>0</v>
      </c>
      <c r="H112" s="793">
        <v>0</v>
      </c>
      <c r="I112" s="793">
        <v>0</v>
      </c>
      <c r="J112" s="793">
        <f>J80</f>
        <v>-376</v>
      </c>
      <c r="K112" s="793">
        <f>K80</f>
        <v>-4022</v>
      </c>
      <c r="L112" s="793">
        <f>L80</f>
        <v>-76</v>
      </c>
      <c r="M112" s="793">
        <f>M80</f>
        <v>-77</v>
      </c>
      <c r="N112" s="928"/>
      <c r="O112" s="928"/>
      <c r="P112" s="928"/>
      <c r="Q112" s="928"/>
      <c r="R112" s="928"/>
      <c r="S112" s="928"/>
      <c r="T112" s="928"/>
      <c r="U112" s="928"/>
      <c r="V112" s="928"/>
      <c r="W112" s="928"/>
      <c r="X112" s="928"/>
      <c r="Y112" s="928"/>
      <c r="Z112" s="928"/>
      <c r="AA112" s="928"/>
      <c r="AB112" s="793"/>
      <c r="AC112" s="793"/>
      <c r="AD112" s="188"/>
      <c r="AE112" s="793"/>
      <c r="AF112" s="793"/>
      <c r="AG112" s="793"/>
      <c r="AH112" s="11"/>
      <c r="AI112" s="11"/>
      <c r="AJ112" s="11"/>
      <c r="AK112" s="11"/>
      <c r="AL112" s="11"/>
      <c r="AM112" s="11"/>
      <c r="AN112" s="11"/>
    </row>
    <row r="113" spans="1:40" s="776" customFormat="1">
      <c r="A113" s="69"/>
      <c r="B113" s="52" t="s">
        <v>190</v>
      </c>
      <c r="C113" s="52"/>
      <c r="D113" s="52"/>
      <c r="E113" s="52"/>
      <c r="F113" s="793">
        <v>0</v>
      </c>
      <c r="G113" s="793">
        <v>0</v>
      </c>
      <c r="H113" s="793">
        <v>0</v>
      </c>
      <c r="I113" s="793">
        <v>0</v>
      </c>
      <c r="J113" s="793">
        <f>J82</f>
        <v>-5858</v>
      </c>
      <c r="K113" s="793">
        <f>K82</f>
        <v>-14491</v>
      </c>
      <c r="L113" s="793">
        <f>L82</f>
        <v>0</v>
      </c>
      <c r="M113" s="793"/>
      <c r="N113" s="928"/>
      <c r="O113" s="928"/>
      <c r="P113" s="928"/>
      <c r="Q113" s="928"/>
      <c r="R113" s="928"/>
      <c r="S113" s="928"/>
      <c r="T113" s="928"/>
      <c r="U113" s="928"/>
      <c r="V113" s="928"/>
      <c r="W113" s="928"/>
      <c r="X113" s="928"/>
      <c r="Y113" s="928"/>
      <c r="Z113" s="928"/>
      <c r="AA113" s="928"/>
      <c r="AB113" s="793"/>
      <c r="AC113" s="793"/>
      <c r="AD113" s="188"/>
      <c r="AE113" s="793"/>
      <c r="AF113" s="793"/>
      <c r="AG113" s="793"/>
      <c r="AH113" s="11"/>
      <c r="AI113" s="11"/>
      <c r="AJ113" s="11"/>
      <c r="AK113" s="11"/>
      <c r="AL113" s="11"/>
      <c r="AM113" s="11"/>
      <c r="AN113" s="11"/>
    </row>
    <row r="114" spans="1:40" s="776" customFormat="1">
      <c r="A114" s="69"/>
      <c r="B114" s="67" t="s">
        <v>210</v>
      </c>
      <c r="C114" s="67"/>
      <c r="D114" s="67"/>
      <c r="E114" s="67"/>
      <c r="F114" s="892">
        <f t="shared" ref="F114:M114" si="71">F77</f>
        <v>-39</v>
      </c>
      <c r="G114" s="892">
        <f t="shared" si="71"/>
        <v>-250</v>
      </c>
      <c r="H114" s="892">
        <f t="shared" si="71"/>
        <v>-107</v>
      </c>
      <c r="I114" s="892">
        <f t="shared" si="71"/>
        <v>-108</v>
      </c>
      <c r="J114" s="892">
        <f t="shared" si="71"/>
        <v>-22</v>
      </c>
      <c r="K114" s="892">
        <f t="shared" si="71"/>
        <v>-425</v>
      </c>
      <c r="L114" s="892">
        <f t="shared" si="71"/>
        <v>-875</v>
      </c>
      <c r="M114" s="892">
        <f t="shared" si="71"/>
        <v>-149</v>
      </c>
      <c r="N114" s="928"/>
      <c r="O114" s="928"/>
      <c r="P114" s="928"/>
      <c r="Q114" s="928"/>
      <c r="R114" s="928"/>
      <c r="S114" s="928"/>
      <c r="T114" s="928"/>
      <c r="U114" s="928"/>
      <c r="V114" s="928"/>
      <c r="W114" s="928"/>
      <c r="X114" s="928"/>
      <c r="Y114" s="928"/>
      <c r="Z114" s="928"/>
      <c r="AA114" s="928"/>
      <c r="AB114" s="793"/>
      <c r="AC114" s="793"/>
      <c r="AD114" s="188"/>
      <c r="AE114" s="793"/>
      <c r="AF114" s="793"/>
      <c r="AG114" s="793"/>
      <c r="AH114" s="11"/>
      <c r="AI114" s="11"/>
      <c r="AJ114" s="11"/>
      <c r="AK114" s="11"/>
      <c r="AL114" s="11"/>
      <c r="AM114" s="11"/>
      <c r="AN114" s="11"/>
    </row>
    <row r="115" spans="1:40" s="776" customFormat="1">
      <c r="A115" s="929" t="s">
        <v>78</v>
      </c>
      <c r="C115" s="52"/>
      <c r="D115" s="52"/>
      <c r="E115" s="52"/>
      <c r="F115" s="241">
        <f t="shared" ref="F115:M115" si="72">F108+SUM(F109:F114)</f>
        <v>54717</v>
      </c>
      <c r="G115" s="241">
        <f t="shared" si="72"/>
        <v>159659</v>
      </c>
      <c r="H115" s="241">
        <f t="shared" si="72"/>
        <v>207104</v>
      </c>
      <c r="I115" s="241">
        <f t="shared" si="72"/>
        <v>165058</v>
      </c>
      <c r="J115" s="241">
        <f t="shared" si="72"/>
        <v>231285</v>
      </c>
      <c r="K115" s="241">
        <f t="shared" si="72"/>
        <v>331283</v>
      </c>
      <c r="L115" s="241">
        <f t="shared" si="72"/>
        <v>417188</v>
      </c>
      <c r="M115" s="241">
        <f t="shared" si="72"/>
        <v>363426</v>
      </c>
      <c r="N115" s="928"/>
      <c r="O115" s="928"/>
      <c r="P115" s="928"/>
      <c r="Q115" s="928"/>
      <c r="R115" s="928"/>
      <c r="S115" s="928"/>
      <c r="T115" s="928"/>
      <c r="U115" s="928"/>
      <c r="V115" s="928"/>
      <c r="W115" s="928"/>
      <c r="X115" s="928"/>
      <c r="Y115" s="928"/>
      <c r="Z115" s="928"/>
      <c r="AA115" s="928"/>
      <c r="AB115" s="793"/>
      <c r="AC115" s="793"/>
      <c r="AD115" s="188"/>
      <c r="AE115" s="793"/>
      <c r="AF115" s="793"/>
      <c r="AG115" s="793"/>
      <c r="AH115" s="11"/>
      <c r="AI115" s="11"/>
      <c r="AJ115" s="11"/>
      <c r="AK115" s="11"/>
      <c r="AL115" s="11"/>
      <c r="AM115" s="11"/>
      <c r="AN115" s="11"/>
    </row>
    <row r="116" spans="1:40" s="776" customFormat="1">
      <c r="A116" s="69"/>
      <c r="B116" s="52" t="s">
        <v>211</v>
      </c>
      <c r="C116" s="52"/>
      <c r="D116" s="52"/>
      <c r="E116" s="52"/>
      <c r="F116" s="793">
        <f t="shared" ref="F116:M116" si="73">F244</f>
        <v>-7094</v>
      </c>
      <c r="G116" s="793">
        <f t="shared" si="73"/>
        <v>-18950</v>
      </c>
      <c r="H116" s="793">
        <f t="shared" si="73"/>
        <v>-17356</v>
      </c>
      <c r="I116" s="793">
        <f t="shared" si="73"/>
        <v>-32249</v>
      </c>
      <c r="J116" s="793">
        <f t="shared" si="73"/>
        <v>-57469</v>
      </c>
      <c r="K116" s="793">
        <f t="shared" si="73"/>
        <v>-86945</v>
      </c>
      <c r="L116" s="793">
        <f t="shared" si="73"/>
        <v>-92092</v>
      </c>
      <c r="M116" s="793">
        <f t="shared" si="73"/>
        <v>-69424</v>
      </c>
      <c r="N116" s="928"/>
      <c r="O116" s="928"/>
      <c r="P116" s="928"/>
      <c r="Q116" s="928"/>
      <c r="R116" s="928"/>
      <c r="S116" s="928"/>
      <c r="T116" s="928"/>
      <c r="U116" s="928"/>
      <c r="V116" s="928"/>
      <c r="W116" s="928"/>
      <c r="X116" s="928"/>
      <c r="Y116" s="928"/>
      <c r="Z116" s="928"/>
      <c r="AA116" s="928"/>
      <c r="AB116" s="793"/>
      <c r="AC116" s="793"/>
      <c r="AD116" s="188"/>
      <c r="AE116" s="793"/>
      <c r="AF116" s="793"/>
      <c r="AG116" s="793"/>
      <c r="AH116" s="11"/>
      <c r="AI116" s="11"/>
      <c r="AJ116" s="11"/>
      <c r="AK116" s="11"/>
      <c r="AL116" s="11"/>
      <c r="AM116" s="11"/>
      <c r="AN116" s="11"/>
    </row>
    <row r="117" spans="1:40" s="776" customFormat="1">
      <c r="A117" s="69"/>
      <c r="B117" s="52" t="s">
        <v>80</v>
      </c>
      <c r="C117" s="52"/>
      <c r="D117" s="52"/>
      <c r="E117" s="52"/>
      <c r="F117" s="793">
        <v>575</v>
      </c>
      <c r="G117" s="793">
        <v>2409</v>
      </c>
      <c r="H117" s="793">
        <v>4056</v>
      </c>
      <c r="I117" s="793">
        <v>962</v>
      </c>
      <c r="J117" s="793">
        <v>1431</v>
      </c>
      <c r="K117" s="793">
        <v>6547</v>
      </c>
      <c r="L117" s="793">
        <v>7015</v>
      </c>
      <c r="M117" s="793">
        <v>39488</v>
      </c>
      <c r="N117" s="928"/>
      <c r="O117" s="928"/>
      <c r="P117" s="928"/>
      <c r="Q117" s="928"/>
      <c r="R117" s="928"/>
      <c r="S117" s="928"/>
      <c r="T117" s="928"/>
      <c r="U117" s="928"/>
      <c r="V117" s="928"/>
      <c r="W117" s="928"/>
      <c r="X117" s="928"/>
      <c r="Y117" s="928"/>
      <c r="Z117" s="928"/>
      <c r="AA117" s="928"/>
      <c r="AB117" s="793"/>
      <c r="AC117" s="793"/>
      <c r="AD117" s="188"/>
      <c r="AE117" s="793"/>
      <c r="AF117" s="793"/>
      <c r="AG117" s="793"/>
      <c r="AH117" s="11"/>
      <c r="AI117" s="11"/>
      <c r="AJ117" s="11"/>
      <c r="AK117" s="11"/>
      <c r="AL117" s="11"/>
      <c r="AM117" s="11"/>
      <c r="AN117" s="11"/>
    </row>
    <row r="118" spans="1:40" s="776" customFormat="1">
      <c r="A118" s="69"/>
      <c r="B118" s="242" t="s">
        <v>212</v>
      </c>
      <c r="C118" s="242"/>
      <c r="D118" s="52"/>
      <c r="E118" s="52"/>
      <c r="F118" s="793">
        <v>0</v>
      </c>
      <c r="G118" s="793">
        <v>0</v>
      </c>
      <c r="H118" s="793">
        <v>0</v>
      </c>
      <c r="I118" s="793">
        <v>0</v>
      </c>
      <c r="J118" s="793">
        <v>0</v>
      </c>
      <c r="K118" s="793">
        <v>0</v>
      </c>
      <c r="L118" s="793">
        <v>0</v>
      </c>
      <c r="M118" s="793">
        <v>0</v>
      </c>
      <c r="N118" s="928"/>
      <c r="O118" s="928"/>
      <c r="P118" s="928"/>
      <c r="Q118" s="928"/>
      <c r="R118" s="928"/>
      <c r="S118" s="928"/>
      <c r="T118" s="928"/>
      <c r="U118" s="928"/>
      <c r="V118" s="928"/>
      <c r="W118" s="928"/>
      <c r="X118" s="928"/>
      <c r="Y118" s="928"/>
      <c r="Z118" s="928"/>
      <c r="AA118" s="928"/>
      <c r="AB118" s="793"/>
      <c r="AC118" s="793"/>
      <c r="AD118" s="188"/>
      <c r="AE118" s="793"/>
      <c r="AF118" s="793"/>
      <c r="AG118" s="793"/>
      <c r="AH118" s="11"/>
      <c r="AI118" s="11"/>
      <c r="AJ118" s="11"/>
      <c r="AK118" s="11"/>
      <c r="AL118" s="11"/>
      <c r="AM118" s="11"/>
      <c r="AN118" s="11"/>
    </row>
    <row r="119" spans="1:40" s="776" customFormat="1">
      <c r="A119" s="69"/>
      <c r="B119" s="242" t="s">
        <v>213</v>
      </c>
      <c r="C119" s="242"/>
      <c r="D119" s="242"/>
      <c r="E119" s="242"/>
      <c r="F119" s="793">
        <v>0</v>
      </c>
      <c r="G119" s="793">
        <v>0</v>
      </c>
      <c r="H119" s="793">
        <v>-3100</v>
      </c>
      <c r="I119" s="793">
        <v>-1972</v>
      </c>
      <c r="J119" s="793">
        <v>-3235</v>
      </c>
      <c r="K119" s="793">
        <v>-328</v>
      </c>
      <c r="L119" s="793">
        <v>125</v>
      </c>
      <c r="M119" s="793">
        <v>-1430</v>
      </c>
      <c r="N119" s="928"/>
      <c r="O119" s="928"/>
      <c r="P119" s="928"/>
      <c r="Q119" s="928"/>
      <c r="R119" s="928"/>
      <c r="S119" s="928"/>
      <c r="T119" s="928"/>
      <c r="U119" s="928"/>
      <c r="V119" s="928"/>
      <c r="W119" s="928"/>
      <c r="X119" s="928"/>
      <c r="Y119" s="928"/>
      <c r="Z119" s="928"/>
      <c r="AA119" s="928"/>
      <c r="AB119" s="793"/>
      <c r="AC119" s="793"/>
      <c r="AD119" s="188"/>
      <c r="AE119" s="793"/>
      <c r="AF119" s="793"/>
      <c r="AG119" s="793"/>
      <c r="AH119" s="11"/>
      <c r="AI119" s="11"/>
      <c r="AJ119" s="11"/>
      <c r="AK119" s="11"/>
      <c r="AL119" s="11"/>
      <c r="AM119" s="11"/>
      <c r="AN119" s="11"/>
    </row>
    <row r="120" spans="1:40" s="776" customFormat="1">
      <c r="A120" s="69"/>
      <c r="B120" s="52" t="s">
        <v>214</v>
      </c>
      <c r="C120" s="52"/>
      <c r="D120" s="52"/>
      <c r="E120" s="52"/>
      <c r="F120" s="793">
        <v>0</v>
      </c>
      <c r="G120" s="793">
        <v>0</v>
      </c>
      <c r="H120" s="793">
        <v>0</v>
      </c>
      <c r="I120" s="793">
        <v>0</v>
      </c>
      <c r="J120" s="793">
        <v>0</v>
      </c>
      <c r="K120" s="793">
        <v>-38660</v>
      </c>
      <c r="L120" s="793">
        <v>0</v>
      </c>
      <c r="M120" s="793"/>
      <c r="N120" s="928"/>
      <c r="O120" s="928"/>
      <c r="P120" s="928"/>
      <c r="Q120" s="928"/>
      <c r="R120" s="928"/>
      <c r="S120" s="928"/>
      <c r="T120" s="928"/>
      <c r="U120" s="928"/>
      <c r="V120" s="928"/>
      <c r="W120" s="928"/>
      <c r="X120" s="928"/>
      <c r="Y120" s="928"/>
      <c r="Z120" s="928"/>
      <c r="AA120" s="928"/>
      <c r="AB120" s="793"/>
      <c r="AC120" s="793"/>
      <c r="AD120" s="188"/>
      <c r="AE120" s="793"/>
      <c r="AF120" s="793"/>
      <c r="AG120" s="793"/>
      <c r="AH120" s="11"/>
      <c r="AI120" s="11"/>
      <c r="AJ120" s="11"/>
      <c r="AK120" s="11"/>
      <c r="AL120" s="11"/>
      <c r="AM120" s="11"/>
      <c r="AN120" s="11"/>
    </row>
    <row r="121" spans="1:40" s="776" customFormat="1">
      <c r="A121" s="69"/>
      <c r="B121" s="52" t="s">
        <v>215</v>
      </c>
      <c r="C121" s="52"/>
      <c r="D121" s="52"/>
      <c r="E121" s="52"/>
      <c r="F121" s="793">
        <v>80950</v>
      </c>
      <c r="G121" s="793">
        <v>0</v>
      </c>
      <c r="H121" s="793">
        <v>0</v>
      </c>
      <c r="I121" s="793">
        <v>0</v>
      </c>
      <c r="J121" s="793">
        <v>0</v>
      </c>
      <c r="K121" s="793">
        <v>0</v>
      </c>
      <c r="L121" s="793">
        <v>0</v>
      </c>
      <c r="M121" s="793">
        <v>652516</v>
      </c>
      <c r="N121" s="928"/>
      <c r="O121" s="928"/>
      <c r="P121" s="928"/>
      <c r="Q121" s="928"/>
      <c r="R121" s="928"/>
      <c r="S121" s="928"/>
      <c r="T121" s="928"/>
      <c r="U121" s="928"/>
      <c r="V121" s="928"/>
      <c r="W121" s="928"/>
      <c r="X121" s="928"/>
      <c r="Y121" s="928"/>
      <c r="Z121" s="928"/>
      <c r="AA121" s="928"/>
      <c r="AB121" s="793"/>
      <c r="AC121" s="793"/>
      <c r="AD121" s="188"/>
      <c r="AE121" s="793"/>
      <c r="AF121" s="793"/>
      <c r="AG121" s="793"/>
      <c r="AH121" s="11"/>
      <c r="AI121" s="11"/>
      <c r="AJ121" s="11"/>
      <c r="AK121" s="11"/>
      <c r="AL121" s="11"/>
      <c r="AM121" s="11"/>
      <c r="AN121" s="11"/>
    </row>
    <row r="122" spans="1:40" s="776" customFormat="1">
      <c r="A122" s="69"/>
      <c r="B122" s="242" t="s">
        <v>75</v>
      </c>
      <c r="C122" s="242"/>
      <c r="D122" s="242"/>
      <c r="E122" s="242"/>
      <c r="F122" s="793">
        <v>0</v>
      </c>
      <c r="G122" s="793">
        <v>0</v>
      </c>
      <c r="H122" s="793">
        <v>0</v>
      </c>
      <c r="I122" s="793">
        <v>0</v>
      </c>
      <c r="J122" s="793">
        <v>0</v>
      </c>
      <c r="K122" s="793">
        <v>0</v>
      </c>
      <c r="L122" s="793">
        <v>0</v>
      </c>
      <c r="M122" s="793">
        <v>-26879</v>
      </c>
      <c r="N122" s="928"/>
      <c r="O122" s="928"/>
      <c r="P122" s="928"/>
      <c r="Q122" s="928"/>
      <c r="R122" s="928"/>
      <c r="S122" s="928"/>
      <c r="T122" s="928"/>
      <c r="U122" s="928"/>
      <c r="V122" s="928"/>
      <c r="W122" s="928"/>
      <c r="X122" s="928"/>
      <c r="Y122" s="928"/>
      <c r="Z122" s="928"/>
      <c r="AA122" s="928"/>
      <c r="AB122" s="793"/>
      <c r="AC122" s="793"/>
      <c r="AD122" s="188"/>
      <c r="AE122" s="793"/>
      <c r="AF122" s="793"/>
      <c r="AG122" s="793"/>
      <c r="AH122" s="11"/>
      <c r="AI122" s="11"/>
      <c r="AJ122" s="11"/>
      <c r="AK122" s="11"/>
      <c r="AL122" s="11"/>
      <c r="AM122" s="11"/>
      <c r="AN122" s="11"/>
    </row>
    <row r="123" spans="1:40" s="776" customFormat="1">
      <c r="A123" s="69"/>
      <c r="B123" s="74" t="s">
        <v>76</v>
      </c>
      <c r="C123" s="74"/>
      <c r="D123" s="74"/>
      <c r="E123" s="74"/>
      <c r="F123" s="892">
        <v>-3305</v>
      </c>
      <c r="G123" s="892">
        <v>0</v>
      </c>
      <c r="H123" s="892">
        <v>0</v>
      </c>
      <c r="I123" s="892">
        <v>0</v>
      </c>
      <c r="J123" s="892">
        <v>0</v>
      </c>
      <c r="K123" s="892">
        <v>0</v>
      </c>
      <c r="L123" s="892">
        <v>0</v>
      </c>
      <c r="M123" s="892">
        <v>0</v>
      </c>
      <c r="N123" s="928"/>
      <c r="O123" s="928"/>
      <c r="P123" s="928"/>
      <c r="Q123" s="928"/>
      <c r="R123" s="928"/>
      <c r="S123" s="928"/>
      <c r="T123" s="928"/>
      <c r="U123" s="928"/>
      <c r="V123" s="928"/>
      <c r="W123" s="928"/>
      <c r="X123" s="928"/>
      <c r="Y123" s="928"/>
      <c r="Z123" s="928"/>
      <c r="AA123" s="928"/>
      <c r="AB123" s="793"/>
      <c r="AC123" s="793"/>
      <c r="AD123" s="188"/>
      <c r="AE123" s="793"/>
      <c r="AF123" s="793"/>
      <c r="AG123" s="793"/>
      <c r="AH123" s="11"/>
      <c r="AI123" s="11"/>
      <c r="AJ123" s="11"/>
      <c r="AK123" s="11"/>
      <c r="AL123" s="11"/>
      <c r="AM123" s="11"/>
      <c r="AN123" s="11"/>
    </row>
    <row r="124" spans="1:40" s="776" customFormat="1">
      <c r="A124" s="929" t="s">
        <v>82</v>
      </c>
      <c r="C124" s="52"/>
      <c r="D124" s="52"/>
      <c r="E124" s="52"/>
      <c r="F124" s="793">
        <f t="shared" ref="F124:M124" si="74">SUM(F115:F123)</f>
        <v>125843</v>
      </c>
      <c r="G124" s="793">
        <f t="shared" si="74"/>
        <v>143118</v>
      </c>
      <c r="H124" s="793">
        <f t="shared" si="74"/>
        <v>190704</v>
      </c>
      <c r="I124" s="793">
        <f t="shared" si="74"/>
        <v>131799</v>
      </c>
      <c r="J124" s="793">
        <f t="shared" si="74"/>
        <v>172012</v>
      </c>
      <c r="K124" s="793">
        <f t="shared" si="74"/>
        <v>211897</v>
      </c>
      <c r="L124" s="793">
        <f t="shared" si="74"/>
        <v>332236</v>
      </c>
      <c r="M124" s="793">
        <f t="shared" si="74"/>
        <v>957697</v>
      </c>
      <c r="N124" s="928"/>
      <c r="O124" s="928"/>
      <c r="P124" s="928"/>
      <c r="Q124" s="928"/>
      <c r="R124" s="928"/>
      <c r="S124" s="928"/>
      <c r="T124" s="928"/>
      <c r="U124" s="928"/>
      <c r="V124" s="928"/>
      <c r="W124" s="928"/>
      <c r="X124" s="928"/>
      <c r="Y124" s="928"/>
      <c r="Z124" s="928"/>
      <c r="AA124" s="928"/>
      <c r="AB124" s="793"/>
      <c r="AC124" s="793"/>
      <c r="AD124" s="188"/>
      <c r="AE124" s="793"/>
      <c r="AF124" s="793"/>
      <c r="AG124" s="793"/>
      <c r="AH124" s="11"/>
      <c r="AI124" s="11"/>
      <c r="AJ124" s="11"/>
      <c r="AK124" s="11"/>
      <c r="AL124" s="11"/>
      <c r="AM124" s="11"/>
      <c r="AN124" s="11"/>
    </row>
    <row r="125" spans="1:40" s="776" customFormat="1">
      <c r="A125" s="69"/>
      <c r="B125" s="929"/>
      <c r="C125" s="52"/>
      <c r="D125" s="70"/>
      <c r="E125" s="70"/>
      <c r="F125" s="793"/>
      <c r="G125" s="793"/>
      <c r="H125" s="793"/>
      <c r="I125" s="793"/>
      <c r="J125" s="793"/>
      <c r="K125" s="793"/>
      <c r="L125" s="793"/>
      <c r="M125" s="793"/>
      <c r="N125" s="928"/>
      <c r="O125" s="928"/>
      <c r="P125" s="928"/>
      <c r="Q125" s="928"/>
      <c r="R125" s="928"/>
      <c r="S125" s="928"/>
      <c r="T125" s="928"/>
      <c r="U125" s="928"/>
      <c r="V125" s="928"/>
      <c r="W125" s="928"/>
      <c r="X125" s="928"/>
      <c r="Y125" s="928"/>
      <c r="Z125" s="928"/>
      <c r="AA125" s="928"/>
      <c r="AB125" s="793"/>
      <c r="AC125" s="793"/>
      <c r="AD125" s="188"/>
      <c r="AE125" s="793"/>
      <c r="AF125" s="793"/>
      <c r="AG125" s="793"/>
      <c r="AH125" s="11"/>
      <c r="AI125" s="11"/>
      <c r="AJ125" s="11"/>
      <c r="AK125" s="11"/>
      <c r="AL125" s="11"/>
      <c r="AM125" s="11"/>
      <c r="AN125" s="11"/>
    </row>
    <row r="126" spans="1:40" s="776" customFormat="1">
      <c r="A126" s="69"/>
      <c r="B126" s="950" t="s">
        <v>216</v>
      </c>
      <c r="C126" s="951"/>
      <c r="D126" s="52"/>
      <c r="E126" s="52"/>
      <c r="F126" s="793">
        <v>-10489</v>
      </c>
      <c r="G126" s="793">
        <v>-23070</v>
      </c>
      <c r="H126" s="793">
        <v>-40118</v>
      </c>
      <c r="I126" s="793">
        <v>-21199</v>
      </c>
      <c r="J126" s="793">
        <v>-37996</v>
      </c>
      <c r="K126" s="793">
        <v>-70955</v>
      </c>
      <c r="L126" s="793">
        <v>-79870</v>
      </c>
      <c r="M126" s="793">
        <v>-104359</v>
      </c>
      <c r="N126" s="928"/>
      <c r="O126" s="928"/>
      <c r="P126" s="928"/>
      <c r="Q126" s="928"/>
      <c r="R126" s="928"/>
      <c r="S126" s="928"/>
      <c r="T126" s="928"/>
      <c r="U126" s="928"/>
      <c r="V126" s="928"/>
      <c r="W126" s="928"/>
      <c r="X126" s="928"/>
      <c r="Y126" s="928"/>
      <c r="Z126" s="928"/>
      <c r="AA126" s="928"/>
      <c r="AB126" s="793"/>
      <c r="AC126" s="793"/>
      <c r="AD126" s="188"/>
      <c r="AE126" s="793"/>
      <c r="AF126" s="793"/>
      <c r="AG126" s="793"/>
      <c r="AH126" s="11"/>
      <c r="AI126" s="11"/>
      <c r="AJ126" s="11"/>
      <c r="AK126" s="11"/>
      <c r="AL126" s="11"/>
      <c r="AM126" s="11"/>
      <c r="AN126" s="11"/>
    </row>
    <row r="127" spans="1:40" s="776" customFormat="1">
      <c r="A127" s="69"/>
      <c r="B127" s="950" t="s">
        <v>10</v>
      </c>
      <c r="C127" s="52"/>
      <c r="D127" s="52"/>
      <c r="E127" s="52"/>
      <c r="F127" s="892">
        <v>-5014</v>
      </c>
      <c r="G127" s="892">
        <v>-23714</v>
      </c>
      <c r="H127" s="892">
        <v>-25486</v>
      </c>
      <c r="I127" s="892">
        <v>-26554</v>
      </c>
      <c r="J127" s="892">
        <v>-24702</v>
      </c>
      <c r="K127" s="892">
        <v>-8037</v>
      </c>
      <c r="L127" s="892">
        <v>-34138</v>
      </c>
      <c r="M127" s="892">
        <v>3498</v>
      </c>
      <c r="N127" s="928"/>
      <c r="O127" s="928"/>
      <c r="P127" s="928"/>
      <c r="Q127" s="928"/>
      <c r="R127" s="928"/>
      <c r="S127" s="928"/>
      <c r="T127" s="928"/>
      <c r="U127" s="928"/>
      <c r="V127" s="928"/>
      <c r="W127" s="928"/>
      <c r="X127" s="928"/>
      <c r="Y127" s="928"/>
      <c r="Z127" s="928"/>
      <c r="AA127" s="928"/>
      <c r="AB127" s="793"/>
      <c r="AC127" s="793"/>
      <c r="AD127" s="188"/>
      <c r="AE127" s="793"/>
      <c r="AF127" s="793"/>
      <c r="AG127" s="793"/>
      <c r="AH127" s="11"/>
      <c r="AI127" s="11"/>
      <c r="AJ127" s="11"/>
      <c r="AK127" s="11"/>
      <c r="AL127" s="11"/>
      <c r="AM127" s="11"/>
      <c r="AN127" s="11"/>
    </row>
    <row r="128" spans="1:40" s="776" customFormat="1">
      <c r="A128" s="69"/>
      <c r="B128" s="52" t="s">
        <v>83</v>
      </c>
      <c r="C128" s="52"/>
      <c r="D128" s="52"/>
      <c r="E128" s="52"/>
      <c r="F128" s="793">
        <f t="shared" ref="F128:M128" si="75">F126+F127</f>
        <v>-15503</v>
      </c>
      <c r="G128" s="793">
        <f t="shared" si="75"/>
        <v>-46784</v>
      </c>
      <c r="H128" s="793">
        <f t="shared" si="75"/>
        <v>-65604</v>
      </c>
      <c r="I128" s="793">
        <f t="shared" si="75"/>
        <v>-47753</v>
      </c>
      <c r="J128" s="793">
        <f t="shared" si="75"/>
        <v>-62698</v>
      </c>
      <c r="K128" s="793">
        <f t="shared" si="75"/>
        <v>-78992</v>
      </c>
      <c r="L128" s="793">
        <f t="shared" si="75"/>
        <v>-114008</v>
      </c>
      <c r="M128" s="793">
        <f t="shared" si="75"/>
        <v>-100861</v>
      </c>
      <c r="N128" s="928"/>
      <c r="O128" s="928"/>
      <c r="P128" s="928"/>
      <c r="Q128" s="928"/>
      <c r="R128" s="928"/>
      <c r="S128" s="928"/>
      <c r="T128" s="928"/>
      <c r="U128" s="928"/>
      <c r="V128" s="928"/>
      <c r="W128" s="928"/>
      <c r="X128" s="928"/>
      <c r="Y128" s="928"/>
      <c r="Z128" s="928"/>
      <c r="AA128" s="928"/>
      <c r="AB128" s="793"/>
      <c r="AC128" s="793"/>
      <c r="AD128" s="188"/>
      <c r="AE128" s="793"/>
      <c r="AF128" s="793"/>
      <c r="AG128" s="793"/>
      <c r="AH128" s="11"/>
      <c r="AI128" s="11"/>
      <c r="AJ128" s="11"/>
      <c r="AK128" s="11"/>
      <c r="AL128" s="11"/>
      <c r="AM128" s="11"/>
      <c r="AN128" s="11"/>
    </row>
    <row r="129" spans="1:40" s="776" customFormat="1" ht="15.75">
      <c r="A129" s="791" t="s">
        <v>4</v>
      </c>
      <c r="C129" s="242"/>
      <c r="D129" s="242"/>
      <c r="E129" s="73"/>
      <c r="F129" s="937">
        <f t="shared" ref="F129:M129" si="76">F124+F128</f>
        <v>110340</v>
      </c>
      <c r="G129" s="937">
        <f t="shared" si="76"/>
        <v>96334</v>
      </c>
      <c r="H129" s="937">
        <f t="shared" si="76"/>
        <v>125100</v>
      </c>
      <c r="I129" s="937">
        <f t="shared" si="76"/>
        <v>84046</v>
      </c>
      <c r="J129" s="937">
        <f t="shared" si="76"/>
        <v>109314</v>
      </c>
      <c r="K129" s="937">
        <f t="shared" si="76"/>
        <v>132905</v>
      </c>
      <c r="L129" s="937">
        <f t="shared" si="76"/>
        <v>218228</v>
      </c>
      <c r="M129" s="937">
        <f t="shared" si="76"/>
        <v>856836</v>
      </c>
      <c r="N129" s="928"/>
      <c r="O129" s="928"/>
      <c r="P129" s="928"/>
      <c r="Q129" s="928"/>
      <c r="R129" s="928"/>
      <c r="S129" s="928"/>
      <c r="T129" s="928"/>
      <c r="U129" s="928"/>
      <c r="V129" s="928"/>
      <c r="W129" s="1434"/>
      <c r="X129" s="1434"/>
      <c r="Y129" s="1434"/>
      <c r="Z129" s="1434"/>
      <c r="AA129" s="1287"/>
      <c r="AB129" s="793"/>
      <c r="AC129" s="793"/>
      <c r="AD129" s="188"/>
      <c r="AE129" s="793"/>
      <c r="AF129" s="793"/>
      <c r="AG129" s="793"/>
      <c r="AH129" s="11"/>
      <c r="AI129" s="11"/>
      <c r="AJ129" s="11"/>
      <c r="AK129" s="11"/>
      <c r="AL129" s="11"/>
      <c r="AM129" s="11"/>
      <c r="AN129" s="11"/>
    </row>
    <row r="130" spans="1:40" s="776" customFormat="1">
      <c r="A130" s="69"/>
      <c r="B130" s="242" t="s">
        <v>90</v>
      </c>
      <c r="C130" s="242"/>
      <c r="D130" s="242"/>
      <c r="E130" s="73"/>
      <c r="F130" s="241"/>
      <c r="G130" s="241"/>
      <c r="H130" s="241"/>
      <c r="I130" s="241"/>
      <c r="J130" s="241"/>
      <c r="K130" s="241"/>
      <c r="L130" s="241"/>
      <c r="M130" s="241"/>
      <c r="N130" s="928"/>
      <c r="O130" s="928"/>
      <c r="P130" s="928"/>
      <c r="Q130" s="928"/>
      <c r="R130" s="928"/>
      <c r="S130" s="928"/>
      <c r="T130" s="928"/>
      <c r="U130" s="928"/>
      <c r="V130" s="928"/>
      <c r="W130" s="928"/>
      <c r="X130" s="928"/>
      <c r="Y130" s="928"/>
      <c r="Z130" s="928"/>
      <c r="AA130" s="928"/>
      <c r="AB130" s="793"/>
      <c r="AC130" s="793"/>
      <c r="AD130" s="188"/>
      <c r="AE130" s="793"/>
      <c r="AF130" s="793"/>
      <c r="AG130" s="793"/>
      <c r="AH130" s="11"/>
      <c r="AI130" s="11"/>
      <c r="AJ130" s="11"/>
      <c r="AK130" s="11"/>
      <c r="AL130" s="11"/>
      <c r="AM130" s="11"/>
      <c r="AN130" s="11"/>
    </row>
    <row r="131" spans="1:40" s="776" customFormat="1">
      <c r="A131" s="52"/>
      <c r="B131" s="52" t="s">
        <v>217</v>
      </c>
      <c r="C131" s="52"/>
      <c r="D131" s="52"/>
      <c r="E131" s="69"/>
      <c r="F131" s="892"/>
      <c r="G131" s="892"/>
      <c r="H131" s="892"/>
      <c r="I131" s="892"/>
      <c r="J131" s="892"/>
      <c r="K131" s="892"/>
      <c r="L131" s="892"/>
      <c r="M131" s="892"/>
      <c r="N131" s="928"/>
      <c r="O131" s="928"/>
      <c r="P131" s="928"/>
      <c r="Q131" s="928"/>
      <c r="R131" s="928"/>
      <c r="S131" s="928"/>
      <c r="T131" s="928"/>
      <c r="U131" s="928"/>
      <c r="V131" s="928"/>
      <c r="W131" s="928"/>
      <c r="X131" s="928"/>
      <c r="Y131" s="928"/>
      <c r="Z131" s="928"/>
      <c r="AA131" s="928"/>
      <c r="AB131" s="793"/>
      <c r="AC131" s="793"/>
      <c r="AD131" s="188"/>
      <c r="AE131" s="793"/>
      <c r="AF131" s="793"/>
      <c r="AG131" s="793"/>
      <c r="AH131" s="11"/>
      <c r="AI131" s="11"/>
      <c r="AJ131" s="11"/>
      <c r="AK131" s="11"/>
      <c r="AL131" s="11"/>
      <c r="AM131" s="11"/>
      <c r="AN131" s="11"/>
    </row>
    <row r="132" spans="1:40" s="776" customFormat="1">
      <c r="A132" s="52"/>
      <c r="B132" s="929"/>
      <c r="C132" s="52"/>
      <c r="D132" s="52"/>
      <c r="E132" s="69"/>
      <c r="F132" s="173">
        <f t="shared" ref="F132:M132" si="77">F129-F131</f>
        <v>110340</v>
      </c>
      <c r="G132" s="173">
        <f t="shared" si="77"/>
        <v>96334</v>
      </c>
      <c r="H132" s="173">
        <f t="shared" si="77"/>
        <v>125100</v>
      </c>
      <c r="I132" s="173">
        <f t="shared" si="77"/>
        <v>84046</v>
      </c>
      <c r="J132" s="173">
        <f t="shared" si="77"/>
        <v>109314</v>
      </c>
      <c r="K132" s="173">
        <f t="shared" si="77"/>
        <v>132905</v>
      </c>
      <c r="L132" s="173">
        <f t="shared" si="77"/>
        <v>218228</v>
      </c>
      <c r="M132" s="173">
        <f t="shared" si="77"/>
        <v>856836</v>
      </c>
      <c r="N132" s="928"/>
      <c r="O132" s="928"/>
      <c r="P132" s="928"/>
      <c r="Q132" s="928"/>
      <c r="R132" s="928"/>
      <c r="S132" s="928"/>
      <c r="T132" s="928"/>
      <c r="U132" s="928"/>
      <c r="V132" s="928"/>
      <c r="W132" s="928"/>
      <c r="X132" s="928"/>
      <c r="Y132" s="928"/>
      <c r="Z132" s="928"/>
      <c r="AA132" s="928"/>
      <c r="AB132" s="793"/>
      <c r="AC132" s="793"/>
      <c r="AD132" s="188"/>
      <c r="AE132" s="793"/>
      <c r="AF132" s="793"/>
      <c r="AG132" s="793"/>
      <c r="AH132" s="11"/>
      <c r="AI132" s="11"/>
      <c r="AJ132" s="11"/>
      <c r="AK132" s="11"/>
      <c r="AL132" s="11"/>
      <c r="AM132" s="11"/>
      <c r="AN132" s="11"/>
    </row>
    <row r="133" spans="1:40" s="776" customFormat="1">
      <c r="A133" s="52"/>
      <c r="B133" s="52" t="s">
        <v>218</v>
      </c>
      <c r="C133" s="52"/>
      <c r="D133" s="52"/>
      <c r="E133" s="69"/>
      <c r="F133" s="793">
        <v>-148985</v>
      </c>
      <c r="G133" s="793">
        <v>-62351</v>
      </c>
      <c r="H133" s="793">
        <v>-181480</v>
      </c>
      <c r="I133" s="793">
        <v>-31000</v>
      </c>
      <c r="J133" s="793">
        <v>-77230</v>
      </c>
      <c r="K133" s="793">
        <v>-17400</v>
      </c>
      <c r="L133" s="793">
        <v>-148830</v>
      </c>
      <c r="M133" s="793">
        <v>-879406</v>
      </c>
      <c r="N133" s="928"/>
      <c r="O133" s="928"/>
      <c r="P133" s="928"/>
      <c r="Q133" s="928"/>
      <c r="R133" s="928"/>
      <c r="S133" s="928"/>
      <c r="T133" s="928"/>
      <c r="U133" s="928"/>
      <c r="V133" s="928"/>
      <c r="W133" s="928"/>
      <c r="X133" s="928"/>
      <c r="Y133" s="928"/>
      <c r="Z133" s="928"/>
      <c r="AA133" s="928"/>
      <c r="AB133" s="793"/>
      <c r="AC133" s="793"/>
      <c r="AD133" s="188"/>
      <c r="AE133" s="793"/>
      <c r="AF133" s="793"/>
      <c r="AG133" s="793"/>
      <c r="AH133" s="11"/>
      <c r="AI133" s="11"/>
      <c r="AJ133" s="11"/>
      <c r="AK133" s="11"/>
      <c r="AL133" s="11"/>
      <c r="AM133" s="11"/>
      <c r="AN133" s="11"/>
    </row>
    <row r="134" spans="1:40" s="776" customFormat="1" ht="13.5" thickBot="1">
      <c r="A134" s="929" t="s">
        <v>219</v>
      </c>
      <c r="C134" s="52"/>
      <c r="D134" s="52"/>
      <c r="E134" s="69"/>
      <c r="F134" s="982">
        <f t="shared" ref="F134:M134" si="78">F132+F133</f>
        <v>-38645</v>
      </c>
      <c r="G134" s="982">
        <f t="shared" si="78"/>
        <v>33983</v>
      </c>
      <c r="H134" s="982">
        <f t="shared" si="78"/>
        <v>-56380</v>
      </c>
      <c r="I134" s="982">
        <f t="shared" si="78"/>
        <v>53046</v>
      </c>
      <c r="J134" s="982">
        <f t="shared" si="78"/>
        <v>32084</v>
      </c>
      <c r="K134" s="982">
        <f t="shared" si="78"/>
        <v>115505</v>
      </c>
      <c r="L134" s="982">
        <f t="shared" si="78"/>
        <v>69398</v>
      </c>
      <c r="M134" s="982">
        <f t="shared" si="78"/>
        <v>-22570</v>
      </c>
      <c r="N134" s="928"/>
      <c r="O134" s="928"/>
      <c r="P134" s="928"/>
      <c r="Q134" s="928"/>
      <c r="R134" s="928"/>
      <c r="S134" s="928"/>
      <c r="T134" s="928"/>
      <c r="U134" s="928"/>
      <c r="V134" s="928"/>
      <c r="W134" s="928"/>
      <c r="X134" s="928"/>
      <c r="Y134" s="928"/>
      <c r="Z134" s="928"/>
      <c r="AA134" s="928"/>
      <c r="AB134" s="793"/>
      <c r="AC134" s="793"/>
      <c r="AD134" s="188"/>
      <c r="AE134" s="793"/>
      <c r="AF134" s="793"/>
      <c r="AG134" s="793"/>
      <c r="AH134" s="11"/>
      <c r="AI134" s="11"/>
      <c r="AJ134" s="11"/>
      <c r="AK134" s="11"/>
      <c r="AL134" s="11"/>
      <c r="AM134" s="11"/>
      <c r="AN134" s="11"/>
    </row>
    <row r="135" spans="1:40" s="776" customFormat="1" ht="13.5" thickTop="1">
      <c r="A135" s="52"/>
      <c r="B135" s="929"/>
      <c r="C135" s="52"/>
      <c r="D135" s="907"/>
      <c r="E135" s="612"/>
      <c r="F135" s="173">
        <f>F133+F134</f>
        <v>-187630</v>
      </c>
      <c r="G135" s="173">
        <v>33983</v>
      </c>
      <c r="H135" s="173">
        <v>-56380</v>
      </c>
      <c r="I135" s="173">
        <v>53046</v>
      </c>
      <c r="J135" s="173">
        <v>32084</v>
      </c>
      <c r="K135" s="173">
        <v>115505</v>
      </c>
      <c r="L135" s="173">
        <v>218228</v>
      </c>
      <c r="M135" s="173">
        <v>856836</v>
      </c>
      <c r="N135" s="928"/>
      <c r="O135" s="928"/>
      <c r="P135" s="928"/>
      <c r="Q135" s="928"/>
      <c r="R135" s="928"/>
      <c r="S135" s="928"/>
      <c r="T135" s="928"/>
      <c r="U135" s="928"/>
      <c r="V135" s="928"/>
      <c r="W135" s="928"/>
      <c r="X135" s="928"/>
      <c r="Y135" s="928"/>
      <c r="Z135" s="928"/>
      <c r="AA135" s="928"/>
      <c r="AB135" s="793"/>
      <c r="AC135" s="793"/>
      <c r="AD135" s="188"/>
      <c r="AE135" s="793"/>
      <c r="AF135" s="793"/>
      <c r="AG135" s="793"/>
      <c r="AH135" s="11"/>
      <c r="AI135" s="11"/>
      <c r="AJ135" s="11"/>
      <c r="AK135" s="11"/>
      <c r="AL135" s="11"/>
      <c r="AM135" s="11"/>
      <c r="AN135" s="11"/>
    </row>
    <row r="136" spans="1:40" s="776" customFormat="1">
      <c r="A136" s="67"/>
      <c r="B136" s="67"/>
      <c r="C136" s="67"/>
      <c r="D136" s="795" t="s">
        <v>220</v>
      </c>
      <c r="E136" s="795"/>
      <c r="F136" s="1214">
        <f t="shared" ref="F136:M136" si="79">F129-F67</f>
        <v>0</v>
      </c>
      <c r="G136" s="1214">
        <f t="shared" si="79"/>
        <v>0</v>
      </c>
      <c r="H136" s="1214">
        <f t="shared" si="79"/>
        <v>0</v>
      </c>
      <c r="I136" s="1214">
        <f t="shared" si="79"/>
        <v>0</v>
      </c>
      <c r="J136" s="1214">
        <f t="shared" si="79"/>
        <v>0</v>
      </c>
      <c r="K136" s="1214">
        <f t="shared" si="79"/>
        <v>0</v>
      </c>
      <c r="L136" s="1214">
        <f t="shared" si="79"/>
        <v>0</v>
      </c>
      <c r="M136" s="1214">
        <f t="shared" si="79"/>
        <v>0</v>
      </c>
      <c r="N136" s="793"/>
      <c r="O136" s="793"/>
      <c r="P136" s="793"/>
      <c r="Q136" s="793"/>
      <c r="R136" s="793"/>
      <c r="S136" s="793"/>
      <c r="T136" s="793"/>
      <c r="U136" s="793"/>
      <c r="V136" s="793"/>
      <c r="W136" s="793"/>
      <c r="X136" s="793"/>
      <c r="Y136" s="793"/>
      <c r="Z136" s="793"/>
      <c r="AA136" s="793"/>
      <c r="AB136" s="793"/>
      <c r="AC136" s="793"/>
      <c r="AD136" s="188"/>
      <c r="AE136" s="793"/>
      <c r="AF136" s="793"/>
      <c r="AG136" s="793"/>
      <c r="AH136" s="11"/>
      <c r="AI136" s="11"/>
      <c r="AJ136" s="11"/>
      <c r="AK136" s="11"/>
      <c r="AL136" s="11"/>
      <c r="AM136" s="11"/>
      <c r="AN136" s="11"/>
    </row>
    <row r="137" spans="1:40" s="776" customFormat="1">
      <c r="A137" s="52"/>
      <c r="B137" s="922"/>
      <c r="C137" s="69"/>
      <c r="D137" s="908"/>
      <c r="E137" s="1222"/>
      <c r="F137" s="899"/>
      <c r="G137" s="899"/>
      <c r="H137" s="899"/>
      <c r="I137" s="899"/>
      <c r="J137" s="899"/>
      <c r="K137" s="899"/>
      <c r="L137" s="899"/>
      <c r="M137" s="899"/>
      <c r="N137" s="899"/>
      <c r="O137" s="899"/>
      <c r="P137" s="899"/>
      <c r="Q137" s="899"/>
      <c r="R137" s="899"/>
      <c r="S137" s="899"/>
      <c r="T137" s="899"/>
      <c r="U137" s="899"/>
      <c r="V137" s="899"/>
      <c r="W137" s="899"/>
      <c r="X137" s="899"/>
      <c r="Y137" s="899"/>
      <c r="Z137" s="899"/>
      <c r="AA137" s="899"/>
      <c r="AB137" s="899"/>
      <c r="AC137" s="793"/>
      <c r="AD137" s="188"/>
      <c r="AE137" s="793"/>
      <c r="AF137" s="793"/>
      <c r="AG137" s="793"/>
      <c r="AH137" s="11"/>
      <c r="AI137" s="11"/>
      <c r="AJ137" s="11"/>
      <c r="AK137" s="11"/>
      <c r="AL137" s="11"/>
      <c r="AM137" s="11"/>
      <c r="AN137" s="11"/>
    </row>
    <row r="138" spans="1:40" s="776" customFormat="1" ht="18">
      <c r="A138" s="1224" t="s">
        <v>23</v>
      </c>
      <c r="B138" s="1225"/>
      <c r="C138" s="1225"/>
      <c r="D138" s="1225"/>
      <c r="E138" s="1439" t="s">
        <v>1407</v>
      </c>
      <c r="F138" s="1440"/>
      <c r="G138" s="1440"/>
      <c r="H138" s="1440"/>
      <c r="I138" s="38"/>
      <c r="J138" s="38"/>
      <c r="K138" s="38"/>
      <c r="L138" s="1226"/>
      <c r="M138" s="1226"/>
      <c r="N138" s="1226"/>
      <c r="O138" s="1226"/>
      <c r="P138" s="1226"/>
      <c r="Q138" s="1226"/>
      <c r="R138" s="1226"/>
      <c r="S138" s="1226"/>
      <c r="T138" s="1226"/>
      <c r="U138" s="1226"/>
      <c r="V138" s="1375"/>
      <c r="W138" s="1430" t="s">
        <v>23</v>
      </c>
      <c r="X138" s="1430"/>
      <c r="Y138" s="1430"/>
      <c r="Z138" s="1430"/>
      <c r="AA138" s="1430"/>
      <c r="AB138" s="1380">
        <v>2.2000000000000002</v>
      </c>
      <c r="AC138" s="793"/>
      <c r="AD138" s="188"/>
      <c r="AE138" s="793"/>
      <c r="AF138" s="793"/>
      <c r="AG138" s="793"/>
      <c r="AH138" s="11"/>
      <c r="AI138" s="11"/>
      <c r="AJ138" s="11"/>
      <c r="AK138" s="11"/>
      <c r="AL138" s="11"/>
      <c r="AM138" s="11"/>
      <c r="AN138" s="11"/>
    </row>
    <row r="139" spans="1:40" s="776" customFormat="1">
      <c r="E139" s="13"/>
      <c r="F139" s="69">
        <v>0</v>
      </c>
      <c r="G139" s="69">
        <f t="shared" ref="G139" si="80">F139+1</f>
        <v>1</v>
      </c>
      <c r="H139" s="69">
        <f t="shared" ref="H139" si="81">G139+1</f>
        <v>2</v>
      </c>
      <c r="I139" s="69">
        <f t="shared" ref="I139" si="82">H139+1</f>
        <v>3</v>
      </c>
      <c r="J139" s="69">
        <f t="shared" ref="J139" si="83">I139+1</f>
        <v>4</v>
      </c>
      <c r="K139" s="69">
        <f t="shared" ref="K139" si="84">J139+1</f>
        <v>5</v>
      </c>
      <c r="L139" s="69">
        <f t="shared" ref="L139" si="85">K139+1</f>
        <v>6</v>
      </c>
      <c r="M139" s="69">
        <f t="shared" ref="M139" si="86">L139+1</f>
        <v>7</v>
      </c>
      <c r="N139" s="649">
        <f t="shared" ref="N139" si="87">M139+1</f>
        <v>8</v>
      </c>
      <c r="O139" s="73">
        <f t="shared" ref="O139" si="88">N139+1</f>
        <v>9</v>
      </c>
      <c r="P139" s="73">
        <f t="shared" ref="P139" si="89">O139+1</f>
        <v>10</v>
      </c>
      <c r="Q139" s="73">
        <f t="shared" ref="Q139" si="90">P139+1</f>
        <v>11</v>
      </c>
      <c r="R139" s="73">
        <f t="shared" ref="R139" si="91">Q139+1</f>
        <v>12</v>
      </c>
      <c r="S139" s="73">
        <f t="shared" ref="S139" si="92">R139+1</f>
        <v>13</v>
      </c>
      <c r="T139" s="73">
        <f t="shared" ref="T139" si="93">S139+1</f>
        <v>14</v>
      </c>
      <c r="U139" s="73">
        <f t="shared" ref="U139" si="94">T139+1</f>
        <v>15</v>
      </c>
      <c r="V139" s="73">
        <f t="shared" ref="V139" si="95">U139+1</f>
        <v>16</v>
      </c>
      <c r="W139" s="73">
        <f t="shared" ref="W139" si="96">V139+1</f>
        <v>17</v>
      </c>
      <c r="X139" s="73">
        <f t="shared" ref="X139" si="97">W139+1</f>
        <v>18</v>
      </c>
      <c r="Y139" s="73">
        <f t="shared" ref="Y139" si="98">X139+1</f>
        <v>19</v>
      </c>
      <c r="Z139" s="73">
        <f t="shared" ref="Z139" si="99">Y139+1</f>
        <v>20</v>
      </c>
      <c r="AA139" s="73">
        <f t="shared" ref="AA139:AB139" si="100">Z139+1</f>
        <v>21</v>
      </c>
      <c r="AB139" s="73">
        <f t="shared" si="100"/>
        <v>22</v>
      </c>
      <c r="AC139" s="793"/>
      <c r="AD139" s="793"/>
      <c r="AE139" s="793"/>
      <c r="AF139" s="793"/>
      <c r="AG139" s="793"/>
      <c r="AH139" s="11"/>
      <c r="AI139" s="11"/>
      <c r="AJ139" s="11"/>
      <c r="AK139" s="11"/>
      <c r="AL139" s="11"/>
      <c r="AM139" s="11"/>
      <c r="AN139" s="11"/>
    </row>
    <row r="140" spans="1:40" s="776" customFormat="1">
      <c r="A140" s="1291" t="s">
        <v>1317</v>
      </c>
      <c r="B140" s="52"/>
      <c r="C140" s="52"/>
      <c r="E140" s="1266" t="s">
        <v>3</v>
      </c>
      <c r="F140" s="1202">
        <f t="shared" ref="F140:AB140" si="101">F3</f>
        <v>1999</v>
      </c>
      <c r="G140" s="1202">
        <f t="shared" si="101"/>
        <v>2000</v>
      </c>
      <c r="H140" s="1202">
        <f t="shared" si="101"/>
        <v>2001</v>
      </c>
      <c r="I140" s="1202">
        <f t="shared" si="101"/>
        <v>2002</v>
      </c>
      <c r="J140" s="1202">
        <f t="shared" si="101"/>
        <v>2003</v>
      </c>
      <c r="K140" s="1202">
        <f t="shared" si="101"/>
        <v>2004</v>
      </c>
      <c r="L140" s="1202">
        <f t="shared" si="101"/>
        <v>2005</v>
      </c>
      <c r="M140" s="1202">
        <f t="shared" si="101"/>
        <v>2006</v>
      </c>
      <c r="N140" s="1202">
        <f t="shared" si="101"/>
        <v>2007</v>
      </c>
      <c r="O140" s="1202">
        <f t="shared" si="101"/>
        <v>2008</v>
      </c>
      <c r="P140" s="1202">
        <f t="shared" si="101"/>
        <v>2009</v>
      </c>
      <c r="Q140" s="1202">
        <f t="shared" si="101"/>
        <v>2010</v>
      </c>
      <c r="R140" s="1202">
        <f t="shared" si="101"/>
        <v>2011</v>
      </c>
      <c r="S140" s="1202">
        <f t="shared" si="101"/>
        <v>2012</v>
      </c>
      <c r="T140" s="1202">
        <f t="shared" si="101"/>
        <v>2013</v>
      </c>
      <c r="U140" s="1202">
        <f t="shared" si="101"/>
        <v>2014</v>
      </c>
      <c r="V140" s="1202">
        <f t="shared" si="101"/>
        <v>2015</v>
      </c>
      <c r="W140" s="1202">
        <f t="shared" si="101"/>
        <v>2016</v>
      </c>
      <c r="X140" s="1202">
        <f t="shared" si="101"/>
        <v>2017</v>
      </c>
      <c r="Y140" s="1202">
        <f t="shared" si="101"/>
        <v>2018</v>
      </c>
      <c r="Z140" s="1202">
        <f t="shared" si="101"/>
        <v>2019</v>
      </c>
      <c r="AA140" s="1202">
        <f t="shared" si="101"/>
        <v>2020</v>
      </c>
      <c r="AB140" s="1202">
        <f t="shared" si="101"/>
        <v>2021</v>
      </c>
      <c r="AC140" s="793"/>
      <c r="AD140" s="793"/>
      <c r="AE140" s="793"/>
      <c r="AF140" s="793"/>
      <c r="AG140" s="793"/>
      <c r="AH140" s="11"/>
      <c r="AI140" s="11"/>
      <c r="AJ140" s="11"/>
      <c r="AK140" s="11"/>
      <c r="AL140" s="11"/>
      <c r="AM140" s="11"/>
      <c r="AN140" s="11"/>
    </row>
    <row r="141" spans="1:40" s="776" customFormat="1">
      <c r="A141" s="1291" t="s">
        <v>1318</v>
      </c>
      <c r="B141" s="52"/>
      <c r="C141" s="52"/>
      <c r="E141" s="1290"/>
      <c r="F141" s="1217"/>
      <c r="G141" s="1217"/>
      <c r="H141" s="1217"/>
      <c r="I141" s="1217"/>
      <c r="J141" s="1217"/>
      <c r="K141" s="1217"/>
      <c r="L141" s="1217"/>
      <c r="M141" s="1217"/>
      <c r="N141" s="1217"/>
      <c r="O141" s="1217"/>
      <c r="P141" s="1217"/>
      <c r="Q141" s="1217"/>
      <c r="R141" s="1217"/>
      <c r="S141" s="1217"/>
      <c r="T141" s="1217"/>
      <c r="U141" s="1217"/>
      <c r="V141" s="1217"/>
      <c r="W141" s="1217"/>
      <c r="X141" s="1217"/>
      <c r="Y141" s="1217"/>
      <c r="Z141" s="1217"/>
      <c r="AA141" s="1217"/>
      <c r="AB141" s="1217"/>
      <c r="AC141" s="793"/>
      <c r="AD141" s="793"/>
      <c r="AE141" s="793"/>
      <c r="AF141" s="793"/>
      <c r="AG141" s="793"/>
      <c r="AH141" s="11"/>
      <c r="AI141" s="11"/>
      <c r="AJ141" s="11"/>
      <c r="AK141" s="11"/>
      <c r="AL141" s="11"/>
      <c r="AM141" s="11"/>
      <c r="AN141" s="11"/>
    </row>
    <row r="142" spans="1:40" s="776" customFormat="1">
      <c r="A142" s="52"/>
      <c r="C142" s="52"/>
      <c r="D142" s="52"/>
      <c r="E142" s="242"/>
      <c r="F142" s="790" t="s">
        <v>34</v>
      </c>
      <c r="G142" s="74"/>
      <c r="H142" s="74"/>
      <c r="I142" s="74"/>
      <c r="J142" s="897"/>
      <c r="K142" s="74"/>
      <c r="L142" s="888"/>
      <c r="M142" s="889"/>
      <c r="N142" s="889"/>
      <c r="O142" s="889"/>
      <c r="P142" s="897"/>
      <c r="Q142" s="897"/>
      <c r="R142" s="897"/>
      <c r="S142" s="897"/>
      <c r="T142" s="897"/>
      <c r="U142" s="897"/>
      <c r="V142" s="897"/>
      <c r="W142" s="897"/>
      <c r="X142" s="897"/>
      <c r="Y142" s="897"/>
      <c r="Z142" s="897"/>
      <c r="AA142" s="892"/>
      <c r="AB142" s="892"/>
      <c r="AC142" s="793"/>
      <c r="AD142" s="793"/>
      <c r="AE142" s="793"/>
      <c r="AF142" s="793"/>
      <c r="AG142" s="793"/>
      <c r="AH142" s="11"/>
      <c r="AI142" s="11"/>
      <c r="AJ142" s="11"/>
      <c r="AK142" s="11"/>
      <c r="AL142" s="11"/>
      <c r="AM142" s="11"/>
      <c r="AN142" s="11"/>
    </row>
    <row r="143" spans="1:40" s="776" customFormat="1">
      <c r="A143" s="52"/>
      <c r="B143" s="791" t="s">
        <v>4</v>
      </c>
      <c r="C143" s="927"/>
      <c r="D143" s="907"/>
      <c r="E143" s="978"/>
      <c r="F143" s="793">
        <f t="shared" ref="F143:AB143" si="102">F59</f>
        <v>110340</v>
      </c>
      <c r="G143" s="793">
        <f t="shared" si="102"/>
        <v>96334</v>
      </c>
      <c r="H143" s="793">
        <f t="shared" si="102"/>
        <v>125100</v>
      </c>
      <c r="I143" s="793">
        <f t="shared" si="102"/>
        <v>84046</v>
      </c>
      <c r="J143" s="793">
        <f t="shared" si="102"/>
        <v>109314</v>
      </c>
      <c r="K143" s="793">
        <f t="shared" si="102"/>
        <v>132905</v>
      </c>
      <c r="L143" s="793">
        <f t="shared" si="102"/>
        <v>218228</v>
      </c>
      <c r="M143" s="793">
        <f t="shared" si="102"/>
        <v>856836</v>
      </c>
      <c r="N143" s="793">
        <f t="shared" si="102"/>
        <v>241230</v>
      </c>
      <c r="O143" s="793">
        <f t="shared" si="102"/>
        <v>128562</v>
      </c>
      <c r="P143" s="793">
        <f t="shared" si="102"/>
        <v>89263</v>
      </c>
      <c r="Q143" s="793">
        <f t="shared" si="102"/>
        <v>184049</v>
      </c>
      <c r="R143" s="793">
        <f t="shared" si="102"/>
        <v>303111</v>
      </c>
      <c r="S143" s="793">
        <f t="shared" si="102"/>
        <v>74600</v>
      </c>
      <c r="T143" s="793">
        <f t="shared" si="102"/>
        <v>295100</v>
      </c>
      <c r="U143" s="793">
        <f t="shared" si="102"/>
        <v>229800</v>
      </c>
      <c r="V143" s="793">
        <f t="shared" si="102"/>
        <v>247000</v>
      </c>
      <c r="W143" s="793">
        <f t="shared" si="102"/>
        <v>185000</v>
      </c>
      <c r="X143" s="793">
        <f t="shared" si="102"/>
        <v>200000</v>
      </c>
      <c r="Y143" s="793">
        <f t="shared" si="102"/>
        <v>201000</v>
      </c>
      <c r="Z143" s="793">
        <f t="shared" si="102"/>
        <v>339000</v>
      </c>
      <c r="AA143" s="793">
        <f t="shared" si="102"/>
        <v>176000</v>
      </c>
      <c r="AB143" s="793">
        <f t="shared" si="102"/>
        <v>428000</v>
      </c>
      <c r="AC143" s="793"/>
      <c r="AD143" s="793"/>
      <c r="AE143" s="793"/>
      <c r="AF143" s="793"/>
      <c r="AG143" s="793"/>
      <c r="AH143" s="11"/>
      <c r="AI143" s="11"/>
      <c r="AJ143" s="11"/>
      <c r="AK143" s="11"/>
      <c r="AL143" s="11"/>
      <c r="AM143" s="11"/>
      <c r="AN143" s="11"/>
    </row>
    <row r="144" spans="1:40" s="776" customFormat="1">
      <c r="A144" s="52"/>
      <c r="B144" s="791"/>
      <c r="C144" s="927"/>
      <c r="D144" s="927"/>
      <c r="E144" s="927"/>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11"/>
      <c r="AI144" s="11"/>
      <c r="AJ144" s="11"/>
      <c r="AK144" s="11"/>
      <c r="AL144" s="11"/>
      <c r="AM144" s="11"/>
      <c r="AN144" s="11"/>
    </row>
    <row r="145" spans="1:40" s="776" customFormat="1">
      <c r="A145" s="52"/>
      <c r="B145" s="791" t="s">
        <v>23</v>
      </c>
      <c r="C145" s="927"/>
      <c r="D145" s="927"/>
      <c r="E145" s="927"/>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11"/>
      <c r="AI145" s="11"/>
      <c r="AJ145" s="11"/>
      <c r="AK145" s="11"/>
      <c r="AL145" s="11"/>
      <c r="AM145" s="11"/>
      <c r="AN145" s="11"/>
    </row>
    <row r="146" spans="1:40" s="776" customFormat="1">
      <c r="A146" s="52"/>
      <c r="C146" s="927"/>
      <c r="D146" s="927"/>
      <c r="E146" s="927"/>
      <c r="F146" s="793"/>
      <c r="G146" s="793"/>
      <c r="H146" s="793"/>
      <c r="I146" s="793"/>
      <c r="J146" s="793"/>
      <c r="K146" s="793"/>
      <c r="L146" s="793"/>
      <c r="M146" s="793"/>
      <c r="N146" s="793"/>
      <c r="O146" s="793"/>
      <c r="P146" s="793"/>
      <c r="Q146" s="793"/>
      <c r="R146" s="793"/>
      <c r="S146" s="793"/>
      <c r="T146" s="793"/>
      <c r="U146" s="793"/>
      <c r="V146" s="793"/>
      <c r="W146" s="793"/>
      <c r="X146" s="793"/>
      <c r="Y146" s="793"/>
      <c r="Z146" s="793"/>
      <c r="AA146" s="793"/>
      <c r="AB146" s="793"/>
      <c r="AC146" s="793"/>
      <c r="AD146" s="793"/>
      <c r="AE146" s="793"/>
      <c r="AF146" s="793"/>
      <c r="AG146" s="793"/>
      <c r="AH146" s="11"/>
      <c r="AI146" s="11"/>
      <c r="AJ146" s="11"/>
      <c r="AK146" s="11"/>
      <c r="AL146" s="11"/>
      <c r="AM146" s="11"/>
      <c r="AN146" s="11"/>
    </row>
    <row r="147" spans="1:40" s="776" customFormat="1">
      <c r="A147" s="52"/>
      <c r="B147" s="52" t="s">
        <v>91</v>
      </c>
      <c r="C147" s="52"/>
      <c r="D147" s="52"/>
      <c r="E147" s="242"/>
      <c r="F147" s="186"/>
      <c r="G147" s="186">
        <v>77813</v>
      </c>
      <c r="H147" s="186">
        <v>0</v>
      </c>
      <c r="I147" s="186">
        <v>0</v>
      </c>
      <c r="J147" s="186">
        <v>600000</v>
      </c>
      <c r="K147" s="186">
        <v>0</v>
      </c>
      <c r="L147" s="186">
        <v>0</v>
      </c>
      <c r="M147" s="186">
        <v>1800000</v>
      </c>
      <c r="N147" s="186">
        <v>1455000</v>
      </c>
      <c r="O147" s="186">
        <v>0</v>
      </c>
      <c r="P147" s="899">
        <v>0</v>
      </c>
      <c r="Q147" s="899">
        <v>1213663</v>
      </c>
      <c r="R147" s="899">
        <v>129673</v>
      </c>
      <c r="S147" s="899">
        <v>0</v>
      </c>
      <c r="T147" s="899">
        <v>-476200</v>
      </c>
      <c r="U147" s="899">
        <v>0</v>
      </c>
      <c r="V147" s="899">
        <v>329000</v>
      </c>
      <c r="W147" s="899">
        <v>889000</v>
      </c>
      <c r="X147" s="899">
        <v>428000</v>
      </c>
      <c r="Y147" s="899">
        <v>0</v>
      </c>
      <c r="Z147" s="899">
        <v>1139000</v>
      </c>
      <c r="AA147" s="899">
        <v>-22000</v>
      </c>
      <c r="AB147" s="899">
        <v>202000</v>
      </c>
      <c r="AC147" s="1320">
        <f>SUM(G147:AB147)</f>
        <v>7764949</v>
      </c>
      <c r="AD147" s="793"/>
      <c r="AE147" s="793"/>
      <c r="AF147" s="793"/>
      <c r="AG147" s="793"/>
      <c r="AH147" s="11"/>
      <c r="AI147" s="11"/>
      <c r="AJ147" s="11"/>
      <c r="AK147" s="11"/>
      <c r="AL147" s="11"/>
      <c r="AM147" s="11"/>
      <c r="AN147" s="11"/>
    </row>
    <row r="148" spans="1:40" s="776" customFormat="1">
      <c r="A148" s="52"/>
      <c r="B148" s="52" t="s">
        <v>92</v>
      </c>
      <c r="C148" s="52"/>
      <c r="D148" s="52"/>
      <c r="E148" s="242"/>
      <c r="F148" s="1214"/>
      <c r="G148" s="1214"/>
      <c r="H148" s="1214"/>
      <c r="I148" s="1214"/>
      <c r="J148" s="1214">
        <v>0</v>
      </c>
      <c r="K148" s="1214">
        <v>0</v>
      </c>
      <c r="L148" s="1214">
        <v>0</v>
      </c>
      <c r="M148" s="1214">
        <v>0</v>
      </c>
      <c r="N148" s="1214">
        <v>0</v>
      </c>
      <c r="O148" s="1214">
        <v>0</v>
      </c>
      <c r="P148" s="892">
        <v>0</v>
      </c>
      <c r="Q148" s="892">
        <v>0</v>
      </c>
      <c r="R148" s="892">
        <v>0</v>
      </c>
      <c r="S148" s="892">
        <v>4300</v>
      </c>
      <c r="T148" s="892">
        <v>133300</v>
      </c>
      <c r="U148" s="892">
        <v>0</v>
      </c>
      <c r="V148" s="892">
        <v>-92000</v>
      </c>
      <c r="W148" s="892">
        <v>-248000</v>
      </c>
      <c r="X148" s="892">
        <v>-120000</v>
      </c>
      <c r="Y148" s="892">
        <v>0</v>
      </c>
      <c r="Z148" s="892">
        <v>-320000</v>
      </c>
      <c r="AA148" s="892">
        <v>7000</v>
      </c>
      <c r="AB148" s="892">
        <v>-58000</v>
      </c>
      <c r="AC148" s="793"/>
      <c r="AD148" s="793"/>
      <c r="AE148" s="793"/>
      <c r="AF148" s="793"/>
      <c r="AG148" s="793"/>
      <c r="AH148" s="11"/>
      <c r="AI148" s="11"/>
      <c r="AJ148" s="11"/>
      <c r="AK148" s="11"/>
      <c r="AL148" s="11"/>
      <c r="AM148" s="11"/>
      <c r="AN148" s="11"/>
    </row>
    <row r="149" spans="1:40" s="776" customFormat="1">
      <c r="A149" s="52"/>
      <c r="B149" s="52" t="s">
        <v>93</v>
      </c>
      <c r="C149" s="52"/>
      <c r="D149" s="52"/>
      <c r="E149" s="242"/>
      <c r="F149" s="173">
        <f>SUM(F147:F148)</f>
        <v>0</v>
      </c>
      <c r="G149" s="173">
        <f t="shared" ref="G149:AA149" si="103">SUM(G147:G148)</f>
        <v>77813</v>
      </c>
      <c r="H149" s="173">
        <f t="shared" si="103"/>
        <v>0</v>
      </c>
      <c r="I149" s="173">
        <f t="shared" si="103"/>
        <v>0</v>
      </c>
      <c r="J149" s="173">
        <f t="shared" si="103"/>
        <v>600000</v>
      </c>
      <c r="K149" s="173">
        <f t="shared" si="103"/>
        <v>0</v>
      </c>
      <c r="L149" s="173">
        <f t="shared" si="103"/>
        <v>0</v>
      </c>
      <c r="M149" s="173">
        <f t="shared" si="103"/>
        <v>1800000</v>
      </c>
      <c r="N149" s="173">
        <f t="shared" si="103"/>
        <v>1455000</v>
      </c>
      <c r="O149" s="173">
        <f t="shared" si="103"/>
        <v>0</v>
      </c>
      <c r="P149" s="173">
        <f t="shared" si="103"/>
        <v>0</v>
      </c>
      <c r="Q149" s="173">
        <f t="shared" si="103"/>
        <v>1213663</v>
      </c>
      <c r="R149" s="173">
        <f t="shared" si="103"/>
        <v>129673</v>
      </c>
      <c r="S149" s="173">
        <f t="shared" si="103"/>
        <v>4300</v>
      </c>
      <c r="T149" s="173">
        <f t="shared" si="103"/>
        <v>-342900</v>
      </c>
      <c r="U149" s="173">
        <f t="shared" si="103"/>
        <v>0</v>
      </c>
      <c r="V149" s="173">
        <f t="shared" si="103"/>
        <v>237000</v>
      </c>
      <c r="W149" s="173">
        <f t="shared" si="103"/>
        <v>641000</v>
      </c>
      <c r="X149" s="173">
        <f t="shared" si="103"/>
        <v>308000</v>
      </c>
      <c r="Y149" s="173">
        <f t="shared" si="103"/>
        <v>0</v>
      </c>
      <c r="Z149" s="173">
        <f t="shared" si="103"/>
        <v>819000</v>
      </c>
      <c r="AA149" s="173">
        <f t="shared" si="103"/>
        <v>-15000</v>
      </c>
      <c r="AB149" s="173">
        <f t="shared" ref="AB149" si="104">SUM(AB147:AB148)</f>
        <v>144000</v>
      </c>
      <c r="AC149" s="793"/>
      <c r="AD149" s="793"/>
      <c r="AE149" s="793"/>
      <c r="AF149" s="793"/>
      <c r="AG149" s="793"/>
      <c r="AH149" s="11"/>
      <c r="AI149" s="11"/>
      <c r="AJ149" s="11"/>
      <c r="AK149" s="11"/>
      <c r="AL149" s="11"/>
      <c r="AM149" s="11"/>
      <c r="AN149" s="11"/>
    </row>
    <row r="150" spans="1:40" s="776" customFormat="1">
      <c r="A150" s="52"/>
      <c r="B150" s="52"/>
      <c r="C150" s="52"/>
      <c r="D150" s="52"/>
      <c r="E150" s="242"/>
      <c r="F150" s="173"/>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793"/>
      <c r="AD150" s="793"/>
      <c r="AE150" s="793"/>
      <c r="AF150" s="793"/>
      <c r="AG150" s="793"/>
      <c r="AH150" s="11"/>
      <c r="AI150" s="11"/>
      <c r="AJ150" s="11"/>
      <c r="AK150" s="11"/>
      <c r="AL150" s="11"/>
      <c r="AM150" s="11"/>
      <c r="AN150" s="11"/>
    </row>
    <row r="151" spans="1:40" s="776" customFormat="1">
      <c r="A151" s="52"/>
      <c r="B151" s="810" t="s">
        <v>94</v>
      </c>
      <c r="C151" s="810"/>
      <c r="D151" s="810"/>
      <c r="E151" s="242"/>
      <c r="F151" s="173"/>
      <c r="G151" s="173"/>
      <c r="H151" s="173"/>
      <c r="I151" s="173"/>
      <c r="J151" s="173"/>
      <c r="K151" s="173"/>
      <c r="L151" s="173"/>
      <c r="M151" s="173"/>
      <c r="N151" s="173"/>
      <c r="O151" s="173">
        <v>-1314</v>
      </c>
      <c r="P151" s="173"/>
      <c r="Q151" s="1329">
        <v>103299</v>
      </c>
      <c r="R151" s="173">
        <v>2580</v>
      </c>
      <c r="S151" s="173"/>
      <c r="T151" s="173"/>
      <c r="U151" s="173"/>
      <c r="V151" s="173"/>
      <c r="W151" s="173"/>
      <c r="X151" s="173"/>
      <c r="Y151" s="173"/>
      <c r="Z151" s="173"/>
      <c r="AA151" s="173"/>
      <c r="AB151" s="173"/>
      <c r="AC151" s="793"/>
      <c r="AD151" s="793"/>
      <c r="AE151" s="793"/>
      <c r="AF151" s="793"/>
      <c r="AG151" s="793"/>
      <c r="AH151" s="11"/>
      <c r="AI151" s="11"/>
      <c r="AJ151" s="11"/>
      <c r="AK151" s="11"/>
      <c r="AL151" s="11"/>
      <c r="AM151" s="11"/>
      <c r="AN151" s="11"/>
    </row>
    <row r="152" spans="1:40" s="776" customFormat="1">
      <c r="A152" s="52"/>
      <c r="B152" s="52" t="s">
        <v>95</v>
      </c>
      <c r="C152" s="52"/>
      <c r="D152" s="52"/>
      <c r="E152" s="242"/>
      <c r="F152" s="173"/>
      <c r="G152" s="173"/>
      <c r="H152" s="173"/>
      <c r="I152" s="173"/>
      <c r="J152" s="173"/>
      <c r="K152" s="173"/>
      <c r="L152" s="173"/>
      <c r="M152" s="173"/>
      <c r="N152" s="173"/>
      <c r="O152" s="173"/>
      <c r="P152" s="173"/>
      <c r="Q152" s="173"/>
      <c r="R152" s="173"/>
      <c r="S152" s="173">
        <v>-1000</v>
      </c>
      <c r="T152" s="173"/>
      <c r="U152" s="173"/>
      <c r="V152" s="173"/>
      <c r="W152" s="173"/>
      <c r="X152" s="173"/>
      <c r="Y152" s="173"/>
      <c r="Z152" s="173"/>
      <c r="AA152" s="173"/>
      <c r="AB152" s="173"/>
      <c r="AC152" s="793"/>
      <c r="AD152" s="793"/>
      <c r="AE152" s="793"/>
      <c r="AF152" s="793"/>
      <c r="AG152" s="793"/>
      <c r="AH152" s="11"/>
      <c r="AI152" s="11"/>
      <c r="AJ152" s="11"/>
      <c r="AK152" s="11"/>
      <c r="AL152" s="11"/>
      <c r="AM152" s="11"/>
      <c r="AN152" s="11"/>
    </row>
    <row r="153" spans="1:40" s="776" customFormat="1">
      <c r="A153" s="52"/>
      <c r="B153" s="52" t="s">
        <v>96</v>
      </c>
      <c r="C153" s="52"/>
      <c r="D153" s="52"/>
      <c r="E153" s="242"/>
      <c r="F153" s="173"/>
      <c r="G153" s="173"/>
      <c r="H153" s="173"/>
      <c r="I153" s="173"/>
      <c r="J153" s="173"/>
      <c r="K153" s="173"/>
      <c r="L153" s="173"/>
      <c r="M153" s="173"/>
      <c r="N153" s="173">
        <v>479</v>
      </c>
      <c r="O153" s="173"/>
      <c r="P153" s="793">
        <v>1258</v>
      </c>
      <c r="Q153" s="793">
        <v>8</v>
      </c>
      <c r="R153" s="793">
        <v>-311</v>
      </c>
      <c r="S153" s="793">
        <v>-300</v>
      </c>
      <c r="T153" s="793">
        <v>2300</v>
      </c>
      <c r="U153" s="793">
        <v>-2000</v>
      </c>
      <c r="V153" s="793"/>
      <c r="W153" s="793"/>
      <c r="X153" s="793"/>
      <c r="Y153" s="793"/>
      <c r="Z153" s="793"/>
      <c r="AA153" s="793"/>
      <c r="AB153" s="793"/>
      <c r="AC153" s="793"/>
      <c r="AD153" s="793"/>
      <c r="AE153" s="793"/>
      <c r="AF153" s="793"/>
      <c r="AG153" s="793"/>
      <c r="AH153" s="11"/>
      <c r="AI153" s="11"/>
      <c r="AJ153" s="11"/>
      <c r="AK153" s="11"/>
      <c r="AL153" s="11"/>
      <c r="AM153" s="11"/>
      <c r="AN153" s="11"/>
    </row>
    <row r="154" spans="1:40" s="776" customFormat="1">
      <c r="A154" s="52"/>
      <c r="B154" s="52" t="s">
        <v>97</v>
      </c>
      <c r="C154" s="52"/>
      <c r="D154" s="52"/>
      <c r="E154" s="242"/>
      <c r="F154" s="173"/>
      <c r="G154" s="173"/>
      <c r="H154" s="173"/>
      <c r="I154" s="173"/>
      <c r="J154" s="173"/>
      <c r="K154" s="173"/>
      <c r="L154" s="173"/>
      <c r="M154" s="173"/>
      <c r="N154" s="173"/>
      <c r="O154" s="173">
        <v>-2842</v>
      </c>
      <c r="P154" s="793"/>
      <c r="Q154" s="793"/>
      <c r="R154" s="793"/>
      <c r="S154" s="793"/>
      <c r="T154" s="793"/>
      <c r="U154" s="793"/>
      <c r="V154" s="793"/>
      <c r="W154" s="793"/>
      <c r="X154" s="793"/>
      <c r="Y154" s="793"/>
      <c r="Z154" s="793"/>
      <c r="AA154" s="793"/>
      <c r="AB154" s="793"/>
      <c r="AC154" s="793"/>
      <c r="AD154" s="793"/>
      <c r="AE154" s="793"/>
      <c r="AF154" s="793"/>
      <c r="AG154" s="793"/>
      <c r="AH154" s="11"/>
      <c r="AI154" s="11"/>
      <c r="AJ154" s="11"/>
      <c r="AK154" s="11"/>
      <c r="AL154" s="11"/>
      <c r="AM154" s="11"/>
      <c r="AN154" s="11"/>
    </row>
    <row r="155" spans="1:40" s="776" customFormat="1">
      <c r="A155" s="52"/>
      <c r="B155" s="52" t="s">
        <v>98</v>
      </c>
      <c r="C155" s="52"/>
      <c r="D155" s="52"/>
      <c r="E155" s="242"/>
      <c r="F155" s="173"/>
      <c r="G155" s="173"/>
      <c r="H155" s="173"/>
      <c r="I155" s="173"/>
      <c r="J155" s="173"/>
      <c r="K155" s="173"/>
      <c r="L155" s="173"/>
      <c r="M155" s="173"/>
      <c r="N155" s="173"/>
      <c r="O155" s="173"/>
      <c r="P155" s="793">
        <v>0</v>
      </c>
      <c r="Q155" s="926">
        <v>33087</v>
      </c>
      <c r="R155" s="793"/>
      <c r="S155" s="793"/>
      <c r="T155" s="793"/>
      <c r="U155" s="793"/>
      <c r="V155" s="793"/>
      <c r="W155" s="793"/>
      <c r="X155" s="793"/>
      <c r="Y155" s="793"/>
      <c r="Z155" s="793"/>
      <c r="AA155" s="793"/>
      <c r="AB155" s="793"/>
      <c r="AC155" s="793"/>
      <c r="AD155" s="793"/>
      <c r="AE155" s="793"/>
      <c r="AF155" s="793"/>
      <c r="AG155" s="793"/>
      <c r="AH155" s="11"/>
      <c r="AI155" s="11"/>
      <c r="AJ155" s="11"/>
      <c r="AK155" s="11"/>
      <c r="AL155" s="11"/>
      <c r="AM155" s="11"/>
      <c r="AN155" s="11"/>
    </row>
    <row r="156" spans="1:40" s="776" customFormat="1">
      <c r="A156" s="52"/>
      <c r="B156" s="52" t="s">
        <v>99</v>
      </c>
      <c r="C156" s="52"/>
      <c r="D156" s="52"/>
      <c r="E156" s="242"/>
      <c r="F156" s="173"/>
      <c r="G156" s="173"/>
      <c r="H156" s="173"/>
      <c r="I156" s="173"/>
      <c r="J156" s="173"/>
      <c r="K156" s="173"/>
      <c r="L156" s="173"/>
      <c r="M156" s="173"/>
      <c r="N156" s="173">
        <v>-12575</v>
      </c>
      <c r="O156" s="173">
        <v>-38070</v>
      </c>
      <c r="P156" s="793">
        <v>26896</v>
      </c>
      <c r="Q156" s="793">
        <v>-24279</v>
      </c>
      <c r="R156" s="793">
        <v>-1217</v>
      </c>
      <c r="S156" s="793">
        <v>-59500</v>
      </c>
      <c r="T156" s="793">
        <v>28300</v>
      </c>
      <c r="U156" s="793">
        <v>-15000</v>
      </c>
      <c r="V156" s="793">
        <v>-2000</v>
      </c>
      <c r="W156" s="793">
        <v>0</v>
      </c>
      <c r="X156" s="793">
        <v>2000</v>
      </c>
      <c r="Y156" s="793">
        <v>2000</v>
      </c>
      <c r="Z156" s="793">
        <v>-5000</v>
      </c>
      <c r="AA156" s="793">
        <v>2000</v>
      </c>
      <c r="AB156" s="793">
        <v>6000</v>
      </c>
      <c r="AC156" s="793"/>
      <c r="AD156" s="793"/>
      <c r="AE156" s="793"/>
      <c r="AF156" s="793"/>
      <c r="AG156" s="793"/>
      <c r="AH156" s="11"/>
      <c r="AI156" s="11"/>
      <c r="AJ156" s="11"/>
      <c r="AK156" s="11"/>
      <c r="AL156" s="11"/>
      <c r="AM156" s="11"/>
      <c r="AN156" s="11"/>
    </row>
    <row r="157" spans="1:40" s="776" customFormat="1">
      <c r="A157" s="52"/>
      <c r="B157" s="52" t="s">
        <v>100</v>
      </c>
      <c r="C157" s="52"/>
      <c r="D157" s="52"/>
      <c r="E157" s="242"/>
      <c r="F157" s="173"/>
      <c r="G157" s="173"/>
      <c r="H157" s="173">
        <v>1387</v>
      </c>
      <c r="I157" s="173">
        <v>-8957</v>
      </c>
      <c r="J157" s="173">
        <v>5471</v>
      </c>
      <c r="K157" s="173">
        <v>-13528</v>
      </c>
      <c r="L157" s="173">
        <v>-2097</v>
      </c>
      <c r="M157" s="173">
        <v>-9159</v>
      </c>
      <c r="N157" s="173">
        <v>-2</v>
      </c>
      <c r="O157" s="173">
        <v>81</v>
      </c>
      <c r="P157" s="793">
        <v>255</v>
      </c>
      <c r="Q157" s="793">
        <v>-3060</v>
      </c>
      <c r="R157" s="793">
        <v>2065</v>
      </c>
      <c r="S157" s="793">
        <v>-1000</v>
      </c>
      <c r="T157" s="793">
        <f>13600-25100</f>
        <v>-11500</v>
      </c>
      <c r="U157" s="793">
        <f>5000-15000</f>
        <v>-10000</v>
      </c>
      <c r="V157" s="793">
        <v>18000</v>
      </c>
      <c r="W157" s="793">
        <v>-23000</v>
      </c>
      <c r="X157" s="793">
        <v>1000</v>
      </c>
      <c r="Y157" s="793">
        <v>11000</v>
      </c>
      <c r="Z157" s="793">
        <v>-21000</v>
      </c>
      <c r="AA157" s="793">
        <v>11000</v>
      </c>
      <c r="AB157" s="793">
        <v>2000</v>
      </c>
      <c r="AC157" s="793"/>
      <c r="AD157" s="793"/>
      <c r="AE157" s="793"/>
      <c r="AF157" s="793"/>
      <c r="AG157" s="793"/>
      <c r="AH157" s="11"/>
      <c r="AI157" s="11"/>
      <c r="AJ157" s="11"/>
      <c r="AK157" s="11"/>
      <c r="AL157" s="11"/>
      <c r="AM157" s="11"/>
      <c r="AN157" s="11"/>
    </row>
    <row r="158" spans="1:40" s="776" customFormat="1">
      <c r="A158" s="52"/>
      <c r="B158" s="52" t="s">
        <v>101</v>
      </c>
      <c r="C158" s="52"/>
      <c r="D158" s="52"/>
      <c r="E158" s="242"/>
      <c r="F158" s="173"/>
      <c r="G158" s="173"/>
      <c r="H158" s="173"/>
      <c r="I158" s="173"/>
      <c r="J158" s="173"/>
      <c r="K158" s="173"/>
      <c r="L158" s="173"/>
      <c r="M158" s="173"/>
      <c r="N158" s="173"/>
      <c r="O158" s="173"/>
      <c r="P158" s="793"/>
      <c r="Q158" s="793"/>
      <c r="R158" s="926">
        <v>147153</v>
      </c>
      <c r="S158" s="793"/>
      <c r="T158" s="793"/>
      <c r="U158" s="793"/>
      <c r="V158" s="793"/>
      <c r="W158" s="793"/>
      <c r="X158" s="793"/>
      <c r="Y158" s="793"/>
      <c r="Z158" s="793"/>
      <c r="AA158" s="793"/>
      <c r="AB158" s="793"/>
      <c r="AC158" s="793"/>
      <c r="AD158" s="793"/>
      <c r="AE158" s="793"/>
      <c r="AF158" s="793"/>
      <c r="AG158" s="793"/>
      <c r="AH158" s="11"/>
      <c r="AI158" s="11"/>
      <c r="AJ158" s="11"/>
      <c r="AK158" s="11"/>
      <c r="AL158" s="11"/>
      <c r="AM158" s="11"/>
      <c r="AN158" s="11"/>
    </row>
    <row r="159" spans="1:40" s="776" customFormat="1">
      <c r="A159" s="52"/>
      <c r="B159" s="52" t="s">
        <v>102</v>
      </c>
      <c r="C159" s="52"/>
      <c r="D159" s="52"/>
      <c r="E159" s="242"/>
      <c r="F159" s="173"/>
      <c r="G159" s="173"/>
      <c r="H159" s="173"/>
      <c r="I159" s="173"/>
      <c r="J159" s="173"/>
      <c r="K159" s="173"/>
      <c r="L159" s="173"/>
      <c r="M159" s="173"/>
      <c r="N159" s="173"/>
      <c r="O159" s="173">
        <v>13341</v>
      </c>
      <c r="P159" s="793"/>
      <c r="Q159" s="793"/>
      <c r="R159" s="793"/>
      <c r="S159" s="793"/>
      <c r="T159" s="793"/>
      <c r="U159" s="793"/>
      <c r="V159" s="793"/>
      <c r="W159" s="793"/>
      <c r="X159" s="793"/>
      <c r="Y159" s="793"/>
      <c r="Z159" s="793"/>
      <c r="AA159" s="793"/>
      <c r="AB159" s="793"/>
      <c r="AC159" s="793"/>
      <c r="AD159" s="793"/>
      <c r="AE159" s="793"/>
      <c r="AF159" s="793"/>
      <c r="AG159" s="793"/>
      <c r="AH159" s="11"/>
      <c r="AI159" s="11"/>
      <c r="AJ159" s="11"/>
      <c r="AK159" s="11"/>
      <c r="AL159" s="11"/>
      <c r="AM159" s="11"/>
      <c r="AN159" s="11"/>
    </row>
    <row r="160" spans="1:40" s="776" customFormat="1">
      <c r="A160" s="52"/>
      <c r="B160" s="810" t="s">
        <v>103</v>
      </c>
      <c r="C160" s="810"/>
      <c r="D160" s="810"/>
      <c r="E160" s="242"/>
      <c r="F160" s="745"/>
      <c r="G160" s="745"/>
      <c r="H160" s="745"/>
      <c r="I160" s="745"/>
      <c r="J160" s="745"/>
      <c r="K160" s="745"/>
      <c r="L160" s="745"/>
      <c r="M160" s="745"/>
      <c r="N160" s="745"/>
      <c r="O160" s="745"/>
      <c r="P160" s="1007">
        <v>-8274</v>
      </c>
      <c r="Q160" s="977">
        <v>-366738</v>
      </c>
      <c r="R160" s="977">
        <v>-38691</v>
      </c>
      <c r="S160" s="1007">
        <v>18000</v>
      </c>
      <c r="T160" s="1007">
        <v>-9200</v>
      </c>
      <c r="U160" s="1007">
        <v>5000</v>
      </c>
      <c r="V160" s="892"/>
      <c r="W160" s="892"/>
      <c r="X160" s="892"/>
      <c r="Y160" s="892"/>
      <c r="Z160" s="1007">
        <v>1000</v>
      </c>
      <c r="AA160" s="1007">
        <v>-1000</v>
      </c>
      <c r="AB160" s="1007">
        <v>-2000</v>
      </c>
      <c r="AC160" s="793"/>
      <c r="AD160" s="793"/>
      <c r="AE160" s="793"/>
      <c r="AF160" s="793"/>
      <c r="AG160" s="793"/>
      <c r="AH160" s="11"/>
      <c r="AI160" s="11"/>
      <c r="AJ160" s="11"/>
      <c r="AK160" s="11"/>
      <c r="AL160" s="11"/>
      <c r="AM160" s="11"/>
      <c r="AN160" s="11"/>
    </row>
    <row r="161" spans="1:44" s="776" customFormat="1">
      <c r="A161" s="52"/>
      <c r="B161" s="930" t="s">
        <v>104</v>
      </c>
      <c r="C161" s="931"/>
      <c r="D161" s="931"/>
      <c r="E161" s="242"/>
      <c r="F161" s="793">
        <f>SUM(F149:F160)</f>
        <v>0</v>
      </c>
      <c r="G161" s="793">
        <f t="shared" ref="G161:AA161" si="105">SUM(G149:G160)</f>
        <v>77813</v>
      </c>
      <c r="H161" s="793">
        <f t="shared" si="105"/>
        <v>1387</v>
      </c>
      <c r="I161" s="793">
        <f t="shared" si="105"/>
        <v>-8957</v>
      </c>
      <c r="J161" s="793">
        <f t="shared" si="105"/>
        <v>605471</v>
      </c>
      <c r="K161" s="793">
        <f t="shared" si="105"/>
        <v>-13528</v>
      </c>
      <c r="L161" s="793">
        <f t="shared" si="105"/>
        <v>-2097</v>
      </c>
      <c r="M161" s="793">
        <f t="shared" si="105"/>
        <v>1790841</v>
      </c>
      <c r="N161" s="793">
        <f t="shared" si="105"/>
        <v>1442902</v>
      </c>
      <c r="O161" s="793">
        <f t="shared" si="105"/>
        <v>-28804</v>
      </c>
      <c r="P161" s="793">
        <f t="shared" si="105"/>
        <v>20135</v>
      </c>
      <c r="Q161" s="793">
        <f t="shared" si="105"/>
        <v>955980</v>
      </c>
      <c r="R161" s="793">
        <f t="shared" si="105"/>
        <v>241252</v>
      </c>
      <c r="S161" s="793">
        <f t="shared" si="105"/>
        <v>-39500</v>
      </c>
      <c r="T161" s="793">
        <f t="shared" si="105"/>
        <v>-333000</v>
      </c>
      <c r="U161" s="793">
        <f t="shared" si="105"/>
        <v>-22000</v>
      </c>
      <c r="V161" s="793">
        <f t="shared" si="105"/>
        <v>253000</v>
      </c>
      <c r="W161" s="793">
        <f t="shared" si="105"/>
        <v>618000</v>
      </c>
      <c r="X161" s="793">
        <f t="shared" si="105"/>
        <v>311000</v>
      </c>
      <c r="Y161" s="793">
        <f t="shared" si="105"/>
        <v>13000</v>
      </c>
      <c r="Z161" s="793">
        <f t="shared" si="105"/>
        <v>794000</v>
      </c>
      <c r="AA161" s="793">
        <f t="shared" si="105"/>
        <v>-3000</v>
      </c>
      <c r="AB161" s="793">
        <f t="shared" ref="AB161" si="106">SUM(AB149:AB160)</f>
        <v>150000</v>
      </c>
      <c r="AC161" s="793"/>
      <c r="AD161" s="793"/>
      <c r="AE161" s="793"/>
      <c r="AF161" s="793"/>
      <c r="AG161" s="793"/>
      <c r="AH161" s="11"/>
      <c r="AI161" s="11"/>
      <c r="AJ161" s="11"/>
      <c r="AK161" s="11"/>
      <c r="AL161" s="11"/>
      <c r="AM161" s="11"/>
      <c r="AN161" s="11"/>
    </row>
    <row r="162" spans="1:44" s="776" customFormat="1">
      <c r="A162" s="52"/>
      <c r="B162" s="927"/>
      <c r="C162" s="927"/>
      <c r="D162" s="927"/>
      <c r="E162" s="927"/>
      <c r="F162" s="793"/>
      <c r="G162" s="793"/>
      <c r="H162" s="793"/>
      <c r="I162" s="793"/>
      <c r="J162" s="793"/>
      <c r="K162" s="793"/>
      <c r="L162" s="793"/>
      <c r="M162" s="793"/>
      <c r="N162" s="793"/>
      <c r="O162" s="793"/>
      <c r="P162" s="793"/>
      <c r="Q162" s="793"/>
      <c r="R162" s="793"/>
      <c r="S162" s="793"/>
      <c r="T162" s="793"/>
      <c r="U162" s="793"/>
      <c r="V162" s="793"/>
      <c r="W162" s="793"/>
      <c r="X162" s="793"/>
      <c r="Y162" s="793"/>
      <c r="Z162" s="793"/>
      <c r="AA162" s="793"/>
      <c r="AB162" s="793"/>
      <c r="AC162" s="793"/>
      <c r="AD162" s="793"/>
      <c r="AE162" s="793"/>
      <c r="AF162" s="793"/>
      <c r="AG162" s="793"/>
      <c r="AH162" s="11"/>
      <c r="AI162" s="11"/>
      <c r="AJ162" s="11"/>
      <c r="AK162" s="11"/>
      <c r="AL162" s="11"/>
      <c r="AM162" s="11"/>
      <c r="AN162" s="11"/>
    </row>
    <row r="163" spans="1:44" s="776" customFormat="1" ht="13.5" thickBot="1">
      <c r="A163" s="791" t="s">
        <v>105</v>
      </c>
      <c r="B163" s="242"/>
      <c r="C163" s="242"/>
      <c r="D163" s="242"/>
      <c r="E163" s="242"/>
      <c r="F163" s="925">
        <f>F143+F161</f>
        <v>110340</v>
      </c>
      <c r="G163" s="925">
        <f t="shared" ref="G163:AA163" si="107">G143+G161</f>
        <v>174147</v>
      </c>
      <c r="H163" s="925">
        <f t="shared" si="107"/>
        <v>126487</v>
      </c>
      <c r="I163" s="925">
        <f t="shared" si="107"/>
        <v>75089</v>
      </c>
      <c r="J163" s="925">
        <f t="shared" si="107"/>
        <v>714785</v>
      </c>
      <c r="K163" s="925">
        <f t="shared" si="107"/>
        <v>119377</v>
      </c>
      <c r="L163" s="925">
        <f t="shared" si="107"/>
        <v>216131</v>
      </c>
      <c r="M163" s="925">
        <f t="shared" si="107"/>
        <v>2647677</v>
      </c>
      <c r="N163" s="925">
        <f t="shared" si="107"/>
        <v>1684132</v>
      </c>
      <c r="O163" s="925">
        <f t="shared" si="107"/>
        <v>99758</v>
      </c>
      <c r="P163" s="925">
        <f t="shared" si="107"/>
        <v>109398</v>
      </c>
      <c r="Q163" s="925">
        <f t="shared" si="107"/>
        <v>1140029</v>
      </c>
      <c r="R163" s="925">
        <f t="shared" si="107"/>
        <v>544363</v>
      </c>
      <c r="S163" s="925">
        <f t="shared" si="107"/>
        <v>35100</v>
      </c>
      <c r="T163" s="925">
        <f t="shared" si="107"/>
        <v>-37900</v>
      </c>
      <c r="U163" s="925">
        <f t="shared" si="107"/>
        <v>207800</v>
      </c>
      <c r="V163" s="925">
        <f t="shared" si="107"/>
        <v>500000</v>
      </c>
      <c r="W163" s="925">
        <f t="shared" si="107"/>
        <v>803000</v>
      </c>
      <c r="X163" s="925">
        <f t="shared" si="107"/>
        <v>511000</v>
      </c>
      <c r="Y163" s="925">
        <f t="shared" si="107"/>
        <v>214000</v>
      </c>
      <c r="Z163" s="925">
        <f t="shared" si="107"/>
        <v>1133000</v>
      </c>
      <c r="AA163" s="1353">
        <f t="shared" si="107"/>
        <v>173000</v>
      </c>
      <c r="AB163" s="898">
        <f t="shared" ref="AB163" si="108">AB143+AB161</f>
        <v>578000</v>
      </c>
      <c r="AC163" s="793"/>
      <c r="AD163" s="793"/>
      <c r="AE163" s="793"/>
      <c r="AF163" s="793"/>
      <c r="AG163" s="793"/>
      <c r="AH163" s="11"/>
      <c r="AI163" s="11"/>
      <c r="AJ163" s="11"/>
      <c r="AK163" s="11"/>
      <c r="AL163" s="11"/>
      <c r="AM163" s="11"/>
      <c r="AN163" s="11"/>
    </row>
    <row r="164" spans="1:44" s="776" customFormat="1" ht="18" customHeight="1" thickTop="1">
      <c r="A164" s="1227" t="s">
        <v>25</v>
      </c>
      <c r="B164" s="1227"/>
      <c r="C164" s="1227"/>
      <c r="D164" s="1227"/>
      <c r="E164" s="1445" t="s">
        <v>1407</v>
      </c>
      <c r="F164" s="1446"/>
      <c r="G164" s="1446"/>
      <c r="H164" s="1446"/>
      <c r="I164" s="1411"/>
      <c r="J164" s="1228"/>
      <c r="K164" s="1228"/>
      <c r="L164" s="1228"/>
      <c r="M164" s="1228"/>
      <c r="N164" s="1229"/>
      <c r="O164" s="1228"/>
      <c r="P164" s="1228"/>
      <c r="Q164" s="1228"/>
      <c r="R164" s="1228"/>
      <c r="S164" s="1228"/>
      <c r="T164" s="1228"/>
      <c r="U164" s="1436" t="s">
        <v>106</v>
      </c>
      <c r="V164" s="1437"/>
      <c r="W164" s="1437"/>
      <c r="X164" s="1437"/>
      <c r="Y164" s="1437"/>
      <c r="Z164" s="1437"/>
      <c r="AA164" s="1438"/>
      <c r="AB164" s="1380">
        <v>2.2999999999999998</v>
      </c>
      <c r="AC164" s="1376"/>
      <c r="AD164" s="793"/>
      <c r="AE164" s="793"/>
      <c r="AF164" s="793"/>
      <c r="AG164" s="793"/>
      <c r="AH164" s="11"/>
      <c r="AI164" s="11"/>
      <c r="AJ164" s="11"/>
      <c r="AK164" s="11"/>
      <c r="AL164" s="11"/>
      <c r="AM164" s="11"/>
      <c r="AN164" s="11"/>
      <c r="AO164" s="2"/>
      <c r="AP164" s="2"/>
      <c r="AQ164" s="2"/>
      <c r="AR164" s="2"/>
    </row>
    <row r="165" spans="1:44" s="776" customFormat="1">
      <c r="A165" s="1441" t="s">
        <v>26</v>
      </c>
      <c r="B165" s="1441" t="s">
        <v>26</v>
      </c>
      <c r="C165" s="1441" t="s">
        <v>26</v>
      </c>
      <c r="D165" s="1441" t="s">
        <v>26</v>
      </c>
      <c r="E165" s="1176"/>
      <c r="F165" s="69">
        <v>0</v>
      </c>
      <c r="G165" s="69">
        <f t="shared" ref="G165" si="109">F165+1</f>
        <v>1</v>
      </c>
      <c r="H165" s="69">
        <f t="shared" ref="H165" si="110">G165+1</f>
        <v>2</v>
      </c>
      <c r="I165" s="69">
        <f t="shared" ref="I165" si="111">H165+1</f>
        <v>3</v>
      </c>
      <c r="J165" s="69">
        <f t="shared" ref="J165" si="112">I165+1</f>
        <v>4</v>
      </c>
      <c r="K165" s="69">
        <f t="shared" ref="K165" si="113">J165+1</f>
        <v>5</v>
      </c>
      <c r="L165" s="69">
        <f t="shared" ref="L165" si="114">K165+1</f>
        <v>6</v>
      </c>
      <c r="M165" s="69">
        <f t="shared" ref="M165" si="115">L165+1</f>
        <v>7</v>
      </c>
      <c r="N165" s="649">
        <f t="shared" ref="N165" si="116">M165+1</f>
        <v>8</v>
      </c>
      <c r="O165" s="73">
        <f t="shared" ref="O165" si="117">N165+1</f>
        <v>9</v>
      </c>
      <c r="P165" s="73">
        <f t="shared" ref="P165" si="118">O165+1</f>
        <v>10</v>
      </c>
      <c r="Q165" s="73">
        <f t="shared" ref="Q165" si="119">P165+1</f>
        <v>11</v>
      </c>
      <c r="R165" s="73">
        <f t="shared" ref="R165" si="120">Q165+1</f>
        <v>12</v>
      </c>
      <c r="S165" s="73">
        <f t="shared" ref="S165" si="121">R165+1</f>
        <v>13</v>
      </c>
      <c r="T165" s="73">
        <f t="shared" ref="T165" si="122">S165+1</f>
        <v>14</v>
      </c>
      <c r="U165" s="73">
        <f t="shared" ref="U165" si="123">T165+1</f>
        <v>15</v>
      </c>
      <c r="V165" s="73">
        <f t="shared" ref="V165" si="124">U165+1</f>
        <v>16</v>
      </c>
      <c r="W165" s="73">
        <f t="shared" ref="W165" si="125">V165+1</f>
        <v>17</v>
      </c>
      <c r="X165" s="73">
        <f t="shared" ref="X165" si="126">W165+1</f>
        <v>18</v>
      </c>
      <c r="Y165" s="73">
        <f t="shared" ref="Y165" si="127">X165+1</f>
        <v>19</v>
      </c>
      <c r="Z165" s="73">
        <f t="shared" ref="Z165" si="128">Y165+1</f>
        <v>20</v>
      </c>
      <c r="AA165" s="1060">
        <f t="shared" ref="AA165:AB165" si="129">Z165+1</f>
        <v>21</v>
      </c>
      <c r="AB165" s="1060">
        <f t="shared" si="129"/>
        <v>22</v>
      </c>
      <c r="AC165" s="793"/>
      <c r="AD165" s="793"/>
      <c r="AE165" s="793"/>
      <c r="AF165" s="793"/>
      <c r="AG165" s="793"/>
      <c r="AH165" s="11"/>
      <c r="AI165" s="11"/>
      <c r="AJ165" s="11"/>
      <c r="AK165" s="11"/>
      <c r="AL165" s="11"/>
      <c r="AM165" s="11"/>
      <c r="AN165" s="11"/>
      <c r="AO165" s="2"/>
      <c r="AP165" s="2"/>
      <c r="AQ165" s="2"/>
      <c r="AR165" s="2"/>
    </row>
    <row r="166" spans="1:44" s="776" customFormat="1">
      <c r="A166" s="934"/>
      <c r="B166" s="52"/>
      <c r="C166" s="935"/>
      <c r="D166" s="895"/>
      <c r="E166" s="593" t="s">
        <v>34</v>
      </c>
      <c r="F166" s="1202">
        <f t="shared" ref="F166:AB166" si="130">F3</f>
        <v>1999</v>
      </c>
      <c r="G166" s="1202">
        <f t="shared" si="130"/>
        <v>2000</v>
      </c>
      <c r="H166" s="1202">
        <f t="shared" si="130"/>
        <v>2001</v>
      </c>
      <c r="I166" s="1202">
        <f t="shared" si="130"/>
        <v>2002</v>
      </c>
      <c r="J166" s="1202">
        <f t="shared" si="130"/>
        <v>2003</v>
      </c>
      <c r="K166" s="1202">
        <f t="shared" si="130"/>
        <v>2004</v>
      </c>
      <c r="L166" s="1202">
        <f t="shared" si="130"/>
        <v>2005</v>
      </c>
      <c r="M166" s="1202">
        <f t="shared" si="130"/>
        <v>2006</v>
      </c>
      <c r="N166" s="1202">
        <f t="shared" si="130"/>
        <v>2007</v>
      </c>
      <c r="O166" s="1202">
        <f t="shared" si="130"/>
        <v>2008</v>
      </c>
      <c r="P166" s="1202">
        <f t="shared" si="130"/>
        <v>2009</v>
      </c>
      <c r="Q166" s="1202">
        <f t="shared" si="130"/>
        <v>2010</v>
      </c>
      <c r="R166" s="1202">
        <f t="shared" si="130"/>
        <v>2011</v>
      </c>
      <c r="S166" s="1202">
        <f t="shared" si="130"/>
        <v>2012</v>
      </c>
      <c r="T166" s="1202">
        <f t="shared" si="130"/>
        <v>2013</v>
      </c>
      <c r="U166" s="1202">
        <f t="shared" si="130"/>
        <v>2014</v>
      </c>
      <c r="V166" s="1202">
        <f t="shared" si="130"/>
        <v>2015</v>
      </c>
      <c r="W166" s="1202">
        <f t="shared" si="130"/>
        <v>2016</v>
      </c>
      <c r="X166" s="1202">
        <f t="shared" si="130"/>
        <v>2017</v>
      </c>
      <c r="Y166" s="1202">
        <f t="shared" si="130"/>
        <v>2018</v>
      </c>
      <c r="Z166" s="1202">
        <f t="shared" si="130"/>
        <v>2019</v>
      </c>
      <c r="AA166" s="1202">
        <f t="shared" si="130"/>
        <v>2020</v>
      </c>
      <c r="AB166" s="1202">
        <f t="shared" si="130"/>
        <v>2021</v>
      </c>
      <c r="AC166" s="793"/>
      <c r="AD166" s="793"/>
      <c r="AE166" s="793"/>
      <c r="AF166" s="793"/>
      <c r="AG166" s="793"/>
      <c r="AH166" s="11"/>
      <c r="AI166" s="11"/>
      <c r="AJ166" s="11"/>
      <c r="AK166" s="11"/>
      <c r="AL166" s="11"/>
      <c r="AM166" s="11"/>
      <c r="AN166" s="11"/>
      <c r="AO166" s="2"/>
      <c r="AP166" s="2"/>
      <c r="AQ166" s="2"/>
      <c r="AR166" s="2"/>
    </row>
    <row r="167" spans="1:44" s="776" customFormat="1">
      <c r="A167" s="52"/>
      <c r="B167" s="52"/>
      <c r="C167" s="52"/>
      <c r="D167" s="52"/>
      <c r="E167" s="242"/>
      <c r="F167" s="1204"/>
      <c r="G167" s="1204"/>
      <c r="H167" s="1204"/>
      <c r="I167" s="74"/>
      <c r="J167" s="897"/>
      <c r="K167" s="74"/>
      <c r="L167" s="888" t="s">
        <v>35</v>
      </c>
      <c r="M167" s="889" t="s">
        <v>36</v>
      </c>
      <c r="N167" s="889" t="s">
        <v>37</v>
      </c>
      <c r="O167" s="889" t="s">
        <v>37</v>
      </c>
      <c r="P167" s="897"/>
      <c r="Q167" s="897"/>
      <c r="R167" s="897"/>
      <c r="S167" s="897"/>
      <c r="T167" s="897" t="s">
        <v>38</v>
      </c>
      <c r="U167" s="897"/>
      <c r="V167" s="897" t="s">
        <v>39</v>
      </c>
      <c r="W167" s="897"/>
      <c r="X167" s="897" t="s">
        <v>40</v>
      </c>
      <c r="Y167" s="897"/>
      <c r="Z167" s="897"/>
      <c r="AA167" s="1203"/>
      <c r="AB167" s="1203"/>
      <c r="AC167" s="52"/>
      <c r="AD167" s="52"/>
      <c r="AE167" s="52"/>
      <c r="AF167" s="52"/>
      <c r="AG167" s="52"/>
      <c r="AN167" s="11"/>
      <c r="AO167" s="2"/>
      <c r="AP167" s="2"/>
      <c r="AQ167" s="2"/>
      <c r="AR167" s="2"/>
    </row>
    <row r="168" spans="1:44" s="776" customFormat="1">
      <c r="A168" s="932"/>
      <c r="B168" s="791" t="s">
        <v>4</v>
      </c>
      <c r="C168" s="52"/>
      <c r="D168" s="907"/>
      <c r="E168" s="978"/>
      <c r="F168" s="793">
        <f t="shared" ref="F168:AB168" si="131">F59</f>
        <v>110340</v>
      </c>
      <c r="G168" s="793">
        <f t="shared" si="131"/>
        <v>96334</v>
      </c>
      <c r="H168" s="793">
        <f t="shared" si="131"/>
        <v>125100</v>
      </c>
      <c r="I168" s="793">
        <f t="shared" si="131"/>
        <v>84046</v>
      </c>
      <c r="J168" s="793">
        <f t="shared" si="131"/>
        <v>109314</v>
      </c>
      <c r="K168" s="793">
        <f t="shared" si="131"/>
        <v>132905</v>
      </c>
      <c r="L168" s="793">
        <f t="shared" si="131"/>
        <v>218228</v>
      </c>
      <c r="M168" s="793">
        <f t="shared" si="131"/>
        <v>856836</v>
      </c>
      <c r="N168" s="793">
        <f t="shared" si="131"/>
        <v>241230</v>
      </c>
      <c r="O168" s="793">
        <f t="shared" si="131"/>
        <v>128562</v>
      </c>
      <c r="P168" s="793">
        <f t="shared" si="131"/>
        <v>89263</v>
      </c>
      <c r="Q168" s="793">
        <f t="shared" si="131"/>
        <v>184049</v>
      </c>
      <c r="R168" s="793">
        <f t="shared" si="131"/>
        <v>303111</v>
      </c>
      <c r="S168" s="793">
        <f t="shared" si="131"/>
        <v>74600</v>
      </c>
      <c r="T168" s="793">
        <f t="shared" si="131"/>
        <v>295100</v>
      </c>
      <c r="U168" s="793">
        <f t="shared" si="131"/>
        <v>229800</v>
      </c>
      <c r="V168" s="793">
        <f t="shared" si="131"/>
        <v>247000</v>
      </c>
      <c r="W168" s="793">
        <f t="shared" si="131"/>
        <v>185000</v>
      </c>
      <c r="X168" s="793">
        <f t="shared" si="131"/>
        <v>200000</v>
      </c>
      <c r="Y168" s="793">
        <f t="shared" si="131"/>
        <v>201000</v>
      </c>
      <c r="Z168" s="793">
        <f t="shared" si="131"/>
        <v>339000</v>
      </c>
      <c r="AA168" s="793">
        <f t="shared" si="131"/>
        <v>176000</v>
      </c>
      <c r="AB168" s="793">
        <f t="shared" si="131"/>
        <v>428000</v>
      </c>
      <c r="AC168" s="52"/>
      <c r="AD168" s="52"/>
      <c r="AE168" s="52"/>
      <c r="AF168" s="52"/>
      <c r="AG168" s="52"/>
      <c r="AN168" s="11"/>
      <c r="AO168" s="2"/>
      <c r="AP168" s="2"/>
      <c r="AQ168" s="2"/>
      <c r="AR168" s="2"/>
    </row>
    <row r="169" spans="1:44" s="776" customFormat="1">
      <c r="A169" s="932"/>
      <c r="B169" s="918" t="s">
        <v>107</v>
      </c>
      <c r="C169" s="67"/>
      <c r="D169" s="938"/>
      <c r="E169" s="939"/>
      <c r="F169" s="793"/>
      <c r="G169" s="793"/>
      <c r="H169" s="793"/>
      <c r="I169" s="793"/>
      <c r="J169" s="793"/>
      <c r="K169" s="793"/>
      <c r="L169" s="793"/>
      <c r="M169" s="793"/>
      <c r="N169" s="793"/>
      <c r="O169" s="793"/>
      <c r="P169" s="793"/>
      <c r="Q169" s="793"/>
      <c r="R169" s="793"/>
      <c r="S169" s="793"/>
      <c r="T169" s="793"/>
      <c r="U169" s="793"/>
      <c r="V169" s="793"/>
      <c r="W169" s="793"/>
      <c r="X169" s="793"/>
      <c r="Y169" s="793"/>
      <c r="Z169" s="793"/>
      <c r="AA169" s="793"/>
      <c r="AB169" s="793"/>
      <c r="AC169" s="52"/>
      <c r="AD169" s="52"/>
      <c r="AE169" s="52"/>
      <c r="AF169" s="52"/>
      <c r="AG169" s="52"/>
      <c r="AN169" s="11"/>
      <c r="AO169" s="2"/>
      <c r="AP169" s="2"/>
      <c r="AQ169" s="2"/>
      <c r="AR169" s="2"/>
    </row>
    <row r="170" spans="1:44" s="776" customFormat="1">
      <c r="A170" s="932"/>
      <c r="B170" s="52" t="s">
        <v>108</v>
      </c>
      <c r="C170" s="52"/>
      <c r="D170" s="932"/>
      <c r="E170" s="793"/>
      <c r="F170" s="793">
        <v>0</v>
      </c>
      <c r="G170" s="793">
        <v>533</v>
      </c>
      <c r="H170" s="793">
        <v>0</v>
      </c>
      <c r="I170" s="793">
        <v>0</v>
      </c>
      <c r="J170" s="793">
        <v>0</v>
      </c>
      <c r="K170" s="793">
        <v>0</v>
      </c>
      <c r="L170" s="793">
        <v>0</v>
      </c>
      <c r="M170" s="793">
        <v>0</v>
      </c>
      <c r="N170" s="793">
        <v>0</v>
      </c>
      <c r="O170" s="793">
        <v>0</v>
      </c>
      <c r="P170" s="793">
        <v>0</v>
      </c>
      <c r="Q170" s="793">
        <v>0</v>
      </c>
      <c r="R170" s="793">
        <v>0</v>
      </c>
      <c r="S170" s="793">
        <v>0</v>
      </c>
      <c r="T170" s="793">
        <v>0</v>
      </c>
      <c r="U170" s="793">
        <v>0</v>
      </c>
      <c r="V170" s="793">
        <v>0</v>
      </c>
      <c r="W170" s="793">
        <v>0</v>
      </c>
      <c r="X170" s="793">
        <v>0</v>
      </c>
      <c r="Y170" s="793">
        <v>0</v>
      </c>
      <c r="Z170" s="793">
        <v>0</v>
      </c>
      <c r="AA170" s="793">
        <v>0</v>
      </c>
      <c r="AB170" s="793">
        <v>0</v>
      </c>
      <c r="AC170" s="52"/>
      <c r="AD170" s="52"/>
      <c r="AE170" s="52"/>
      <c r="AF170" s="52"/>
      <c r="AG170" s="52"/>
      <c r="AN170" s="11"/>
      <c r="AO170" s="2"/>
      <c r="AP170" s="2"/>
      <c r="AQ170" s="2"/>
      <c r="AR170" s="2"/>
    </row>
    <row r="171" spans="1:44" s="776" customFormat="1">
      <c r="A171" s="932"/>
      <c r="B171" s="52" t="s">
        <v>109</v>
      </c>
      <c r="C171" s="52"/>
      <c r="D171" s="932"/>
      <c r="E171" s="793"/>
      <c r="F171" s="793">
        <v>0</v>
      </c>
      <c r="G171" s="893">
        <v>-8472</v>
      </c>
      <c r="H171" s="893">
        <v>-4210</v>
      </c>
      <c r="I171" s="893">
        <v>-1628</v>
      </c>
      <c r="J171" s="893">
        <v>-229</v>
      </c>
      <c r="K171" s="893">
        <v>-25</v>
      </c>
      <c r="L171" s="793">
        <v>0</v>
      </c>
      <c r="M171" s="793">
        <v>0</v>
      </c>
      <c r="N171" s="793">
        <v>0</v>
      </c>
      <c r="O171" s="793">
        <v>0</v>
      </c>
      <c r="P171" s="793">
        <v>0</v>
      </c>
      <c r="Q171" s="793">
        <v>0</v>
      </c>
      <c r="R171" s="793">
        <v>0</v>
      </c>
      <c r="S171" s="793">
        <v>0</v>
      </c>
      <c r="T171" s="793">
        <v>0</v>
      </c>
      <c r="U171" s="793">
        <v>0</v>
      </c>
      <c r="V171" s="793">
        <v>0</v>
      </c>
      <c r="W171" s="793">
        <v>0</v>
      </c>
      <c r="X171" s="793">
        <v>0</v>
      </c>
      <c r="Y171" s="793">
        <v>0</v>
      </c>
      <c r="Z171" s="793">
        <v>0</v>
      </c>
      <c r="AA171" s="793">
        <v>0</v>
      </c>
      <c r="AB171" s="793">
        <v>0</v>
      </c>
      <c r="AC171" s="52"/>
      <c r="AD171" s="52"/>
      <c r="AE171" s="52"/>
      <c r="AF171" s="52"/>
      <c r="AG171" s="52"/>
      <c r="AN171" s="11"/>
      <c r="AO171" s="2"/>
      <c r="AP171" s="2"/>
      <c r="AQ171" s="2"/>
      <c r="AR171" s="2"/>
    </row>
    <row r="172" spans="1:44" s="776" customFormat="1">
      <c r="A172" s="932"/>
      <c r="B172" s="52" t="s">
        <v>10</v>
      </c>
      <c r="C172" s="52"/>
      <c r="D172" s="932"/>
      <c r="E172" s="793"/>
      <c r="F172" s="793">
        <v>0</v>
      </c>
      <c r="G172" s="793">
        <v>23714</v>
      </c>
      <c r="H172" s="793">
        <v>37673</v>
      </c>
      <c r="I172" s="793">
        <v>26555</v>
      </c>
      <c r="J172" s="793">
        <v>46840</v>
      </c>
      <c r="K172" s="793">
        <v>6388</v>
      </c>
      <c r="L172" s="793">
        <v>33908</v>
      </c>
      <c r="M172" s="793">
        <v>-2167</v>
      </c>
      <c r="N172" s="793">
        <v>-5416</v>
      </c>
      <c r="O172" s="793">
        <v>8648</v>
      </c>
      <c r="P172" s="793">
        <v>-35848</v>
      </c>
      <c r="Q172" s="793">
        <v>-10726</v>
      </c>
      <c r="R172" s="793">
        <v>-17784</v>
      </c>
      <c r="S172" s="793">
        <v>53700</v>
      </c>
      <c r="T172" s="793">
        <v>40300</v>
      </c>
      <c r="U172" s="793">
        <v>-18000</v>
      </c>
      <c r="V172" s="793">
        <v>-58000</v>
      </c>
      <c r="W172" s="793">
        <v>-37000</v>
      </c>
      <c r="X172" s="793">
        <v>-29000</v>
      </c>
      <c r="Y172" s="793">
        <v>-35000</v>
      </c>
      <c r="Z172" s="793">
        <v>-28000</v>
      </c>
      <c r="AA172" s="793">
        <v>-106000</v>
      </c>
      <c r="AB172" s="793">
        <v>29000</v>
      </c>
      <c r="AC172" s="52"/>
      <c r="AD172" s="52"/>
      <c r="AE172" s="52"/>
      <c r="AF172" s="52"/>
      <c r="AG172" s="52"/>
      <c r="AN172" s="11"/>
      <c r="AO172" s="2"/>
      <c r="AP172" s="2"/>
      <c r="AQ172" s="2"/>
      <c r="AR172" s="2"/>
    </row>
    <row r="173" spans="1:44" s="776" customFormat="1">
      <c r="A173" s="932"/>
      <c r="B173" s="52" t="s">
        <v>110</v>
      </c>
      <c r="C173" s="52"/>
      <c r="D173" s="932"/>
      <c r="E173" s="793"/>
      <c r="F173" s="793">
        <v>0</v>
      </c>
      <c r="G173" s="793">
        <v>413</v>
      </c>
      <c r="H173" s="793">
        <v>179</v>
      </c>
      <c r="I173" s="793">
        <v>49</v>
      </c>
      <c r="J173" s="793">
        <v>2</v>
      </c>
      <c r="K173" s="793">
        <v>0</v>
      </c>
      <c r="L173" s="793">
        <v>-221</v>
      </c>
      <c r="M173" s="793">
        <v>0</v>
      </c>
      <c r="N173" s="793">
        <v>0</v>
      </c>
      <c r="O173" s="793">
        <v>467</v>
      </c>
      <c r="P173" s="793">
        <v>1883</v>
      </c>
      <c r="Q173" s="793">
        <v>0</v>
      </c>
      <c r="R173" s="793">
        <v>0</v>
      </c>
      <c r="S173" s="793">
        <v>0</v>
      </c>
      <c r="T173" s="793">
        <v>0</v>
      </c>
      <c r="U173" s="793">
        <v>0</v>
      </c>
      <c r="V173" s="793">
        <v>0</v>
      </c>
      <c r="W173" s="793">
        <v>0</v>
      </c>
      <c r="X173" s="793">
        <v>0</v>
      </c>
      <c r="Y173" s="793">
        <v>0</v>
      </c>
      <c r="Z173" s="793">
        <v>0</v>
      </c>
      <c r="AA173" s="793">
        <v>0</v>
      </c>
      <c r="AB173" s="793">
        <v>0</v>
      </c>
      <c r="AC173" s="52"/>
      <c r="AD173" s="52"/>
      <c r="AE173" s="52"/>
      <c r="AF173" s="52"/>
      <c r="AG173" s="52"/>
      <c r="AN173" s="11"/>
      <c r="AO173" s="2"/>
      <c r="AP173" s="2"/>
      <c r="AQ173" s="2"/>
      <c r="AR173" s="2"/>
    </row>
    <row r="174" spans="1:44" s="776" customFormat="1">
      <c r="A174" s="932"/>
      <c r="B174" s="52" t="s">
        <v>111</v>
      </c>
      <c r="C174" s="52"/>
      <c r="D174" s="932"/>
      <c r="E174" s="793"/>
      <c r="F174" s="793">
        <v>0</v>
      </c>
      <c r="G174" s="793">
        <v>0</v>
      </c>
      <c r="H174" s="793">
        <v>40</v>
      </c>
      <c r="I174" s="793">
        <v>0</v>
      </c>
      <c r="J174" s="793">
        <v>5235</v>
      </c>
      <c r="K174" s="793">
        <v>328</v>
      </c>
      <c r="L174" s="793">
        <v>760</v>
      </c>
      <c r="M174" s="793">
        <v>7191</v>
      </c>
      <c r="N174" s="793">
        <v>0</v>
      </c>
      <c r="O174" s="793">
        <v>0</v>
      </c>
      <c r="P174" s="793">
        <v>0</v>
      </c>
      <c r="Q174" s="793">
        <v>0</v>
      </c>
      <c r="R174" s="793">
        <v>0</v>
      </c>
      <c r="S174" s="793">
        <v>0</v>
      </c>
      <c r="T174" s="793">
        <v>0</v>
      </c>
      <c r="U174" s="793">
        <v>0</v>
      </c>
      <c r="V174" s="793">
        <v>0</v>
      </c>
      <c r="W174" s="793">
        <v>0</v>
      </c>
      <c r="X174" s="793">
        <v>0</v>
      </c>
      <c r="Y174" s="793">
        <v>0</v>
      </c>
      <c r="Z174" s="793">
        <v>0</v>
      </c>
      <c r="AA174" s="793">
        <v>0</v>
      </c>
      <c r="AB174" s="793">
        <v>0</v>
      </c>
      <c r="AC174" s="52"/>
      <c r="AD174" s="52"/>
      <c r="AE174" s="52"/>
      <c r="AF174" s="52"/>
      <c r="AG174" s="52"/>
      <c r="AN174" s="11"/>
      <c r="AO174" s="2"/>
      <c r="AP174" s="2"/>
      <c r="AQ174" s="2"/>
      <c r="AR174" s="2"/>
    </row>
    <row r="175" spans="1:44" s="776" customFormat="1">
      <c r="A175" s="932"/>
      <c r="B175" s="242" t="s">
        <v>112</v>
      </c>
      <c r="C175" s="52"/>
      <c r="D175" s="932"/>
      <c r="E175" s="793"/>
      <c r="F175" s="793"/>
      <c r="G175" s="793"/>
      <c r="H175" s="793"/>
      <c r="I175" s="793"/>
      <c r="J175" s="793"/>
      <c r="K175" s="926">
        <v>12419</v>
      </c>
      <c r="L175" s="793"/>
      <c r="M175" s="793"/>
      <c r="N175" s="793"/>
      <c r="O175" s="793"/>
      <c r="P175" s="793"/>
      <c r="Q175" s="793"/>
      <c r="R175" s="793"/>
      <c r="S175" s="793"/>
      <c r="T175" s="793"/>
      <c r="U175" s="793"/>
      <c r="V175" s="793"/>
      <c r="W175" s="793"/>
      <c r="X175" s="793"/>
      <c r="Y175" s="793"/>
      <c r="Z175" s="793"/>
      <c r="AA175" s="793"/>
      <c r="AB175" s="793"/>
      <c r="AC175" s="52"/>
      <c r="AD175" s="52"/>
      <c r="AE175" s="52"/>
      <c r="AF175" s="52"/>
      <c r="AG175" s="52"/>
      <c r="AN175" s="11"/>
      <c r="AO175" s="2"/>
      <c r="AP175" s="2"/>
      <c r="AQ175" s="2"/>
      <c r="AR175" s="2"/>
    </row>
    <row r="176" spans="1:44" s="776" customFormat="1">
      <c r="A176" s="932"/>
      <c r="B176" s="52" t="s">
        <v>113</v>
      </c>
      <c r="C176" s="52"/>
      <c r="D176" s="932"/>
      <c r="E176" s="793"/>
      <c r="F176" s="793">
        <v>0</v>
      </c>
      <c r="G176" s="793">
        <v>0</v>
      </c>
      <c r="H176" s="793">
        <v>0</v>
      </c>
      <c r="I176" s="793">
        <v>0</v>
      </c>
      <c r="J176" s="793">
        <v>0</v>
      </c>
      <c r="K176" s="793">
        <v>0</v>
      </c>
      <c r="L176" s="793">
        <v>0</v>
      </c>
      <c r="M176" s="793">
        <v>0</v>
      </c>
      <c r="N176" s="793">
        <v>0</v>
      </c>
      <c r="O176" s="793">
        <v>0</v>
      </c>
      <c r="P176" s="793">
        <v>0</v>
      </c>
      <c r="Q176" s="793">
        <v>0</v>
      </c>
      <c r="R176" s="793">
        <v>1110</v>
      </c>
      <c r="S176" s="793">
        <v>0</v>
      </c>
      <c r="T176" s="793">
        <v>0</v>
      </c>
      <c r="U176" s="793">
        <v>0</v>
      </c>
      <c r="V176" s="793">
        <v>0</v>
      </c>
      <c r="W176" s="793">
        <v>0</v>
      </c>
      <c r="X176" s="793">
        <v>0</v>
      </c>
      <c r="Y176" s="793">
        <v>0</v>
      </c>
      <c r="Z176" s="793">
        <v>0</v>
      </c>
      <c r="AA176" s="793">
        <v>0</v>
      </c>
      <c r="AB176" s="793">
        <v>0</v>
      </c>
      <c r="AC176" s="52"/>
      <c r="AD176" s="52"/>
      <c r="AE176" s="52"/>
      <c r="AF176" s="52"/>
      <c r="AG176" s="52"/>
      <c r="AN176" s="11"/>
      <c r="AO176" s="2"/>
      <c r="AP176" s="2"/>
      <c r="AQ176" s="2"/>
      <c r="AR176" s="2"/>
    </row>
    <row r="177" spans="1:44" s="776" customFormat="1">
      <c r="A177" s="932"/>
      <c r="B177" s="52" t="s">
        <v>114</v>
      </c>
      <c r="C177" s="52"/>
      <c r="D177" s="932"/>
      <c r="E177" s="793"/>
      <c r="F177" s="793">
        <v>0</v>
      </c>
      <c r="G177" s="793">
        <v>0</v>
      </c>
      <c r="H177" s="793">
        <v>0</v>
      </c>
      <c r="I177" s="793">
        <v>0</v>
      </c>
      <c r="J177" s="793">
        <v>0</v>
      </c>
      <c r="K177" s="793">
        <v>0</v>
      </c>
      <c r="L177" s="793">
        <v>0</v>
      </c>
      <c r="M177" s="793">
        <v>0</v>
      </c>
      <c r="N177" s="793">
        <v>487</v>
      </c>
      <c r="O177" s="793">
        <v>0</v>
      </c>
      <c r="P177" s="793">
        <v>2766</v>
      </c>
      <c r="Q177" s="793">
        <v>0</v>
      </c>
      <c r="R177" s="793">
        <v>0</v>
      </c>
      <c r="S177" s="793">
        <v>0</v>
      </c>
      <c r="T177" s="793">
        <v>0</v>
      </c>
      <c r="U177" s="793">
        <v>0</v>
      </c>
      <c r="V177" s="793">
        <v>0</v>
      </c>
      <c r="W177" s="793">
        <v>0</v>
      </c>
      <c r="X177" s="793">
        <v>0</v>
      </c>
      <c r="Y177" s="793">
        <v>0</v>
      </c>
      <c r="Z177" s="793">
        <v>0</v>
      </c>
      <c r="AA177" s="793">
        <v>0</v>
      </c>
      <c r="AB177" s="793">
        <v>0</v>
      </c>
      <c r="AC177" s="52"/>
      <c r="AD177" s="52"/>
      <c r="AE177" s="52"/>
      <c r="AF177" s="52"/>
      <c r="AG177" s="52"/>
      <c r="AN177" s="11"/>
      <c r="AO177" s="2"/>
      <c r="AP177" s="2"/>
      <c r="AQ177" s="2"/>
      <c r="AR177" s="2"/>
    </row>
    <row r="178" spans="1:44" s="776" customFormat="1">
      <c r="A178" s="932"/>
      <c r="B178" s="52" t="s">
        <v>115</v>
      </c>
      <c r="C178" s="52"/>
      <c r="D178" s="932"/>
      <c r="E178" s="793"/>
      <c r="F178" s="793">
        <v>0</v>
      </c>
      <c r="G178" s="793">
        <v>0</v>
      </c>
      <c r="H178" s="793">
        <v>0</v>
      </c>
      <c r="I178" s="793">
        <v>0</v>
      </c>
      <c r="J178" s="793">
        <v>0</v>
      </c>
      <c r="K178" s="793">
        <v>0</v>
      </c>
      <c r="L178" s="793">
        <v>0</v>
      </c>
      <c r="M178" s="793">
        <v>0</v>
      </c>
      <c r="N178" s="793"/>
      <c r="O178" s="793">
        <v>0</v>
      </c>
      <c r="P178" s="793">
        <v>6428</v>
      </c>
      <c r="Q178" s="793">
        <v>1200</v>
      </c>
      <c r="R178" s="793">
        <v>9846</v>
      </c>
      <c r="S178" s="793">
        <v>60100</v>
      </c>
      <c r="T178" s="793">
        <v>24800</v>
      </c>
      <c r="U178" s="793"/>
      <c r="V178" s="793">
        <v>35000</v>
      </c>
      <c r="W178" s="793">
        <v>-4000</v>
      </c>
      <c r="X178" s="793">
        <v>10000</v>
      </c>
      <c r="Y178" s="793">
        <v>2000</v>
      </c>
      <c r="Z178" s="793">
        <v>5000</v>
      </c>
      <c r="AA178" s="793">
        <v>0</v>
      </c>
      <c r="AB178" s="793">
        <v>0</v>
      </c>
      <c r="AC178" s="52"/>
      <c r="AD178" s="52"/>
      <c r="AE178" s="52"/>
      <c r="AF178" s="52"/>
      <c r="AG178" s="52"/>
      <c r="AN178" s="11"/>
      <c r="AO178" s="2"/>
      <c r="AP178" s="2"/>
      <c r="AQ178" s="2"/>
      <c r="AR178" s="2"/>
    </row>
    <row r="179" spans="1:44" s="776" customFormat="1">
      <c r="A179" s="793"/>
      <c r="B179" s="242" t="s">
        <v>116</v>
      </c>
      <c r="C179" s="242"/>
      <c r="D179" s="793"/>
      <c r="E179" s="793"/>
      <c r="F179" s="793">
        <v>0</v>
      </c>
      <c r="G179" s="793">
        <v>0</v>
      </c>
      <c r="H179" s="793">
        <v>0</v>
      </c>
      <c r="I179" s="793">
        <v>0</v>
      </c>
      <c r="J179" s="793">
        <v>0</v>
      </c>
      <c r="K179" s="793">
        <v>0</v>
      </c>
      <c r="L179" s="793">
        <v>0</v>
      </c>
      <c r="M179" s="793">
        <v>0</v>
      </c>
      <c r="N179" s="793"/>
      <c r="O179" s="793">
        <v>139556</v>
      </c>
      <c r="P179" s="793">
        <v>149793</v>
      </c>
      <c r="Q179" s="793">
        <v>174318</v>
      </c>
      <c r="R179" s="793">
        <v>209283</v>
      </c>
      <c r="S179" s="793"/>
      <c r="T179" s="793"/>
      <c r="U179" s="793">
        <v>220000</v>
      </c>
      <c r="V179" s="793">
        <v>239000</v>
      </c>
      <c r="W179" s="793">
        <v>236000</v>
      </c>
      <c r="X179" s="793">
        <v>264000</v>
      </c>
      <c r="Y179" s="793">
        <v>268000</v>
      </c>
      <c r="Z179" s="793">
        <v>276000</v>
      </c>
      <c r="AA179" s="793">
        <v>312000</v>
      </c>
      <c r="AB179" s="793">
        <v>303000</v>
      </c>
      <c r="AC179" s="52"/>
      <c r="AD179" s="52"/>
      <c r="AE179" s="52"/>
      <c r="AF179" s="52"/>
      <c r="AG179" s="52"/>
      <c r="AN179" s="11"/>
      <c r="AO179" s="2"/>
      <c r="AP179" s="2"/>
      <c r="AQ179" s="2"/>
      <c r="AR179" s="2"/>
    </row>
    <row r="180" spans="1:44" s="776" customFormat="1">
      <c r="A180" s="793"/>
      <c r="B180" s="242" t="s">
        <v>117</v>
      </c>
      <c r="C180" s="242"/>
      <c r="D180" s="793"/>
      <c r="E180" s="793"/>
      <c r="F180" s="793">
        <v>14508</v>
      </c>
      <c r="G180" s="793">
        <v>48891</v>
      </c>
      <c r="H180" s="793">
        <v>52172</v>
      </c>
      <c r="I180" s="793">
        <v>58584</v>
      </c>
      <c r="J180" s="793">
        <v>59686</v>
      </c>
      <c r="K180" s="793">
        <v>74120</v>
      </c>
      <c r="L180" s="793">
        <v>89200</v>
      </c>
      <c r="M180" s="793">
        <v>83486</v>
      </c>
      <c r="N180" s="793">
        <v>107132</v>
      </c>
      <c r="O180" s="793">
        <v>0</v>
      </c>
      <c r="P180" s="793">
        <v>0</v>
      </c>
      <c r="Q180" s="793">
        <v>0</v>
      </c>
      <c r="R180" s="793">
        <v>0</v>
      </c>
      <c r="S180" s="793">
        <v>202900</v>
      </c>
      <c r="T180" s="793">
        <v>201200</v>
      </c>
      <c r="U180" s="793">
        <v>0</v>
      </c>
      <c r="V180" s="793">
        <v>0</v>
      </c>
      <c r="W180" s="793">
        <v>0</v>
      </c>
      <c r="X180" s="793">
        <v>0</v>
      </c>
      <c r="Y180" s="793">
        <v>0</v>
      </c>
      <c r="Z180" s="793">
        <v>0</v>
      </c>
      <c r="AA180" s="793">
        <v>0</v>
      </c>
      <c r="AB180" s="793">
        <v>0</v>
      </c>
      <c r="AC180" s="52"/>
      <c r="AD180" s="52"/>
      <c r="AE180" s="52"/>
      <c r="AF180" s="52"/>
      <c r="AG180" s="52"/>
      <c r="AN180" s="11"/>
      <c r="AO180" s="2"/>
      <c r="AP180" s="2"/>
      <c r="AQ180" s="2"/>
      <c r="AR180" s="2"/>
    </row>
    <row r="181" spans="1:44" s="776" customFormat="1">
      <c r="A181" s="793"/>
      <c r="B181" s="242" t="s">
        <v>118</v>
      </c>
      <c r="C181" s="242"/>
      <c r="D181" s="793"/>
      <c r="E181" s="793"/>
      <c r="F181" s="793">
        <v>0</v>
      </c>
      <c r="G181" s="793"/>
      <c r="H181" s="793"/>
      <c r="I181" s="793"/>
      <c r="J181" s="793"/>
      <c r="K181" s="793"/>
      <c r="L181" s="793"/>
      <c r="M181" s="793"/>
      <c r="N181" s="793">
        <v>10231</v>
      </c>
      <c r="O181" s="793">
        <v>0</v>
      </c>
      <c r="P181" s="793">
        <v>0</v>
      </c>
      <c r="Q181" s="793">
        <v>0</v>
      </c>
      <c r="R181" s="793">
        <v>0</v>
      </c>
      <c r="S181" s="793">
        <v>22200</v>
      </c>
      <c r="T181" s="793">
        <v>18500</v>
      </c>
      <c r="U181" s="793">
        <v>0</v>
      </c>
      <c r="V181" s="793">
        <v>0</v>
      </c>
      <c r="W181" s="793">
        <v>0</v>
      </c>
      <c r="X181" s="793">
        <v>0</v>
      </c>
      <c r="Y181" s="793">
        <v>0</v>
      </c>
      <c r="Z181" s="793">
        <v>0</v>
      </c>
      <c r="AA181" s="793">
        <v>0</v>
      </c>
      <c r="AB181" s="793">
        <v>0</v>
      </c>
      <c r="AC181" s="52"/>
      <c r="AD181" s="52"/>
      <c r="AE181" s="52"/>
      <c r="AF181" s="52"/>
      <c r="AG181" s="52"/>
      <c r="AN181" s="11"/>
      <c r="AO181" s="2"/>
      <c r="AP181" s="2"/>
      <c r="AQ181" s="2"/>
      <c r="AR181" s="2"/>
    </row>
    <row r="182" spans="1:44" s="776" customFormat="1">
      <c r="A182" s="793"/>
      <c r="B182" s="242" t="s">
        <v>65</v>
      </c>
      <c r="C182" s="242"/>
      <c r="D182" s="793"/>
      <c r="E182" s="793"/>
      <c r="F182" s="793">
        <v>0</v>
      </c>
      <c r="G182" s="793"/>
      <c r="H182" s="793"/>
      <c r="I182" s="793"/>
      <c r="J182" s="793"/>
      <c r="K182" s="793"/>
      <c r="L182" s="793"/>
      <c r="M182" s="793"/>
      <c r="N182" s="793"/>
      <c r="O182" s="793">
        <v>0</v>
      </c>
      <c r="P182" s="793">
        <v>0</v>
      </c>
      <c r="Q182" s="793">
        <v>17136</v>
      </c>
      <c r="R182" s="793"/>
      <c r="S182" s="793"/>
      <c r="T182" s="793"/>
      <c r="U182" s="793">
        <f>-U2416</f>
        <v>0</v>
      </c>
      <c r="V182" s="793">
        <f t="shared" ref="V182:AA182" si="132">-V2416</f>
        <v>0</v>
      </c>
      <c r="W182" s="793">
        <f t="shared" si="132"/>
        <v>0</v>
      </c>
      <c r="X182" s="793">
        <f t="shared" si="132"/>
        <v>0</v>
      </c>
      <c r="Y182" s="793">
        <f t="shared" si="132"/>
        <v>0</v>
      </c>
      <c r="Z182" s="793">
        <f t="shared" si="132"/>
        <v>0</v>
      </c>
      <c r="AA182" s="793">
        <f t="shared" si="132"/>
        <v>0</v>
      </c>
      <c r="AB182" s="793">
        <f t="shared" ref="AB182" si="133">-AB2416</f>
        <v>0</v>
      </c>
      <c r="AC182" s="52"/>
      <c r="AD182" s="52"/>
      <c r="AE182" s="52"/>
      <c r="AF182" s="52"/>
      <c r="AG182" s="52"/>
      <c r="AN182" s="11"/>
      <c r="AO182" s="2"/>
      <c r="AP182" s="2"/>
      <c r="AQ182" s="2"/>
      <c r="AR182" s="2"/>
    </row>
    <row r="183" spans="1:44" s="776" customFormat="1">
      <c r="A183" s="932"/>
      <c r="B183" s="52" t="s">
        <v>119</v>
      </c>
      <c r="C183" s="52"/>
      <c r="D183" s="932"/>
      <c r="E183" s="793"/>
      <c r="F183" s="793">
        <v>0</v>
      </c>
      <c r="G183" s="793"/>
      <c r="H183" s="793"/>
      <c r="I183" s="793">
        <v>108</v>
      </c>
      <c r="J183" s="793">
        <v>22</v>
      </c>
      <c r="K183" s="793">
        <v>425</v>
      </c>
      <c r="L183" s="793">
        <v>135</v>
      </c>
      <c r="M183" s="793">
        <v>149</v>
      </c>
      <c r="N183" s="793">
        <v>0</v>
      </c>
      <c r="O183" s="793">
        <v>-508</v>
      </c>
      <c r="P183" s="793">
        <v>-4797</v>
      </c>
      <c r="Q183" s="793">
        <v>-275</v>
      </c>
      <c r="R183" s="926">
        <v>-174125</v>
      </c>
      <c r="S183" s="793">
        <v>1100</v>
      </c>
      <c r="T183" s="793">
        <v>200</v>
      </c>
      <c r="U183" s="793">
        <v>0</v>
      </c>
      <c r="V183" s="793">
        <v>0</v>
      </c>
      <c r="W183" s="793">
        <v>0</v>
      </c>
      <c r="X183" s="793">
        <v>0</v>
      </c>
      <c r="Y183" s="793">
        <v>0</v>
      </c>
      <c r="Z183" s="793">
        <v>0</v>
      </c>
      <c r="AA183" s="793">
        <v>0</v>
      </c>
      <c r="AB183" s="793">
        <v>0</v>
      </c>
      <c r="AC183" s="52"/>
      <c r="AD183" s="52"/>
      <c r="AE183" s="52"/>
      <c r="AF183" s="52"/>
      <c r="AG183" s="52"/>
      <c r="AN183" s="11"/>
      <c r="AO183" s="2"/>
      <c r="AP183" s="2"/>
      <c r="AQ183" s="2"/>
      <c r="AR183" s="2"/>
    </row>
    <row r="184" spans="1:44" s="776" customFormat="1">
      <c r="A184" s="932"/>
      <c r="B184" s="52" t="s">
        <v>120</v>
      </c>
      <c r="C184" s="52"/>
      <c r="D184" s="932"/>
      <c r="E184" s="793"/>
      <c r="F184" s="793">
        <v>0</v>
      </c>
      <c r="G184" s="793">
        <v>0</v>
      </c>
      <c r="H184" s="793">
        <v>0</v>
      </c>
      <c r="I184" s="793">
        <v>0</v>
      </c>
      <c r="J184" s="793">
        <v>0</v>
      </c>
      <c r="K184" s="793">
        <v>0</v>
      </c>
      <c r="L184" s="793">
        <v>0</v>
      </c>
      <c r="M184" s="926">
        <v>-652516</v>
      </c>
      <c r="N184" s="793">
        <v>0</v>
      </c>
      <c r="O184" s="793">
        <v>0</v>
      </c>
      <c r="P184" s="793">
        <v>0</v>
      </c>
      <c r="Q184" s="793">
        <v>0</v>
      </c>
      <c r="R184" s="793">
        <v>0</v>
      </c>
      <c r="S184" s="793"/>
      <c r="T184" s="793"/>
      <c r="U184" s="793">
        <v>-7000</v>
      </c>
      <c r="V184" s="793">
        <v>-19000</v>
      </c>
      <c r="W184" s="793">
        <v>1000</v>
      </c>
      <c r="X184" s="793">
        <v>4000</v>
      </c>
      <c r="Y184" s="793">
        <v>-7000</v>
      </c>
      <c r="Z184" s="793">
        <v>-3000</v>
      </c>
      <c r="AA184" s="793"/>
      <c r="AB184" s="793"/>
      <c r="AC184" s="52"/>
      <c r="AD184" s="52"/>
      <c r="AE184" s="52"/>
      <c r="AF184" s="52"/>
      <c r="AG184" s="52"/>
      <c r="AN184" s="11"/>
      <c r="AO184" s="2"/>
      <c r="AP184" s="2"/>
      <c r="AQ184" s="2"/>
      <c r="AR184" s="2"/>
    </row>
    <row r="185" spans="1:44" s="776" customFormat="1">
      <c r="A185" s="932"/>
      <c r="B185" s="52" t="s">
        <v>121</v>
      </c>
      <c r="C185" s="52"/>
      <c r="D185" s="932"/>
      <c r="E185" s="793"/>
      <c r="F185" s="793">
        <v>0</v>
      </c>
      <c r="G185" s="793">
        <v>0</v>
      </c>
      <c r="H185" s="793">
        <v>0</v>
      </c>
      <c r="I185" s="793">
        <v>0</v>
      </c>
      <c r="J185" s="793">
        <v>0</v>
      </c>
      <c r="K185" s="793">
        <v>0</v>
      </c>
      <c r="L185" s="793">
        <v>0</v>
      </c>
      <c r="M185" s="793">
        <v>0</v>
      </c>
      <c r="N185" s="793">
        <v>0</v>
      </c>
      <c r="O185" s="793">
        <v>0</v>
      </c>
      <c r="P185" s="793">
        <v>0</v>
      </c>
      <c r="Q185" s="793">
        <v>0</v>
      </c>
      <c r="R185" s="793">
        <v>0</v>
      </c>
      <c r="S185" s="793">
        <v>0</v>
      </c>
      <c r="T185" s="793">
        <v>0</v>
      </c>
      <c r="U185" s="793">
        <v>0</v>
      </c>
      <c r="V185" s="793">
        <v>0</v>
      </c>
      <c r="W185" s="793">
        <v>0</v>
      </c>
      <c r="X185" s="793">
        <v>0</v>
      </c>
      <c r="Y185" s="793">
        <v>10000</v>
      </c>
      <c r="Z185" s="793">
        <v>0</v>
      </c>
      <c r="AA185" s="793">
        <v>0</v>
      </c>
      <c r="AB185" s="793">
        <v>0</v>
      </c>
      <c r="AC185" s="52"/>
      <c r="AD185" s="52"/>
      <c r="AE185" s="52"/>
      <c r="AF185" s="52"/>
      <c r="AG185" s="52"/>
      <c r="AN185" s="11"/>
      <c r="AO185" s="2"/>
      <c r="AP185" s="2"/>
      <c r="AQ185" s="2"/>
      <c r="AR185" s="2"/>
    </row>
    <row r="186" spans="1:44" s="776" customFormat="1">
      <c r="A186" s="932"/>
      <c r="B186" s="52" t="s">
        <v>122</v>
      </c>
      <c r="C186" s="52"/>
      <c r="D186" s="932"/>
      <c r="E186" s="793"/>
      <c r="F186" s="793">
        <v>0</v>
      </c>
      <c r="G186" s="793">
        <v>0</v>
      </c>
      <c r="H186" s="793">
        <v>0</v>
      </c>
      <c r="I186" s="793">
        <v>0</v>
      </c>
      <c r="J186" s="793">
        <v>0</v>
      </c>
      <c r="K186" s="793">
        <v>0</v>
      </c>
      <c r="L186" s="793">
        <v>0</v>
      </c>
      <c r="M186" s="793">
        <v>0</v>
      </c>
      <c r="N186" s="793">
        <v>0</v>
      </c>
      <c r="O186" s="793">
        <v>0</v>
      </c>
      <c r="P186" s="793">
        <v>0</v>
      </c>
      <c r="Q186" s="793">
        <v>0</v>
      </c>
      <c r="R186" s="793">
        <v>0</v>
      </c>
      <c r="S186" s="793">
        <v>400</v>
      </c>
      <c r="T186" s="926">
        <v>-107300</v>
      </c>
      <c r="U186" s="793">
        <v>0</v>
      </c>
      <c r="V186" s="793">
        <v>0</v>
      </c>
      <c r="W186" s="793">
        <v>0</v>
      </c>
      <c r="X186" s="793">
        <v>0</v>
      </c>
      <c r="Y186" s="793">
        <v>0</v>
      </c>
      <c r="Z186" s="793">
        <v>0</v>
      </c>
      <c r="AA186" s="793">
        <v>0</v>
      </c>
      <c r="AB186" s="793">
        <v>0</v>
      </c>
      <c r="AC186" s="52"/>
      <c r="AD186" s="52"/>
      <c r="AE186" s="52"/>
      <c r="AF186" s="52"/>
      <c r="AG186" s="52"/>
      <c r="AN186" s="11"/>
      <c r="AO186" s="2"/>
      <c r="AP186" s="2"/>
      <c r="AQ186" s="2"/>
      <c r="AR186" s="2"/>
    </row>
    <row r="187" spans="1:44" s="776" customFormat="1">
      <c r="A187" s="932"/>
      <c r="B187" s="52" t="s">
        <v>123</v>
      </c>
      <c r="C187" s="52"/>
      <c r="D187" s="932"/>
      <c r="E187" s="793"/>
      <c r="F187" s="793">
        <v>0</v>
      </c>
      <c r="G187" s="793">
        <v>0</v>
      </c>
      <c r="H187" s="793">
        <v>0</v>
      </c>
      <c r="I187" s="793">
        <v>0</v>
      </c>
      <c r="J187" s="793">
        <v>0</v>
      </c>
      <c r="K187" s="793">
        <v>0</v>
      </c>
      <c r="L187" s="793">
        <v>-125</v>
      </c>
      <c r="M187" s="793">
        <v>1430</v>
      </c>
      <c r="N187" s="793">
        <v>0</v>
      </c>
      <c r="O187" s="793">
        <v>0</v>
      </c>
      <c r="P187" s="793">
        <v>0</v>
      </c>
      <c r="Q187" s="793">
        <v>2012</v>
      </c>
      <c r="R187" s="793">
        <v>3382</v>
      </c>
      <c r="S187" s="793">
        <v>2700</v>
      </c>
      <c r="T187" s="793">
        <v>-100</v>
      </c>
      <c r="U187" s="793">
        <v>0</v>
      </c>
      <c r="V187" s="793">
        <v>0</v>
      </c>
      <c r="W187" s="793">
        <v>0</v>
      </c>
      <c r="X187" s="793">
        <v>0</v>
      </c>
      <c r="Y187" s="793">
        <v>0</v>
      </c>
      <c r="Z187" s="793">
        <v>0</v>
      </c>
      <c r="AA187" s="793">
        <v>0</v>
      </c>
      <c r="AB187" s="793">
        <v>0</v>
      </c>
      <c r="AC187" s="52"/>
      <c r="AD187" s="52"/>
      <c r="AE187" s="52"/>
      <c r="AF187" s="52"/>
      <c r="AG187" s="52"/>
      <c r="AN187" s="11"/>
      <c r="AO187" s="2"/>
      <c r="AP187" s="2"/>
      <c r="AQ187" s="2"/>
      <c r="AR187" s="2"/>
    </row>
    <row r="188" spans="1:44" s="776" customFormat="1">
      <c r="A188" s="932"/>
      <c r="B188" s="52" t="s">
        <v>124</v>
      </c>
      <c r="C188" s="52"/>
      <c r="D188" s="932"/>
      <c r="E188" s="793"/>
      <c r="F188" s="793">
        <v>369</v>
      </c>
      <c r="G188" s="793">
        <v>3386</v>
      </c>
      <c r="H188" s="793">
        <v>3457</v>
      </c>
      <c r="I188" s="793">
        <v>9519</v>
      </c>
      <c r="J188" s="793">
        <v>13878</v>
      </c>
      <c r="K188" s="793">
        <v>26201</v>
      </c>
      <c r="L188" s="793">
        <v>36671</v>
      </c>
      <c r="M188" s="793">
        <v>19496</v>
      </c>
      <c r="N188" s="793">
        <v>0</v>
      </c>
      <c r="O188" s="793">
        <v>13115</v>
      </c>
      <c r="P188" s="793">
        <v>13302</v>
      </c>
      <c r="Q188" s="793">
        <v>13712</v>
      </c>
      <c r="R188" s="793">
        <v>15041</v>
      </c>
      <c r="S188" s="793">
        <v>0</v>
      </c>
      <c r="T188" s="793">
        <v>0</v>
      </c>
      <c r="U188" s="793">
        <v>0</v>
      </c>
      <c r="V188" s="793">
        <v>0</v>
      </c>
      <c r="W188" s="793">
        <v>0</v>
      </c>
      <c r="X188" s="793">
        <v>0</v>
      </c>
      <c r="Y188" s="793">
        <v>0</v>
      </c>
      <c r="Z188" s="793">
        <v>0</v>
      </c>
      <c r="AA188" s="793">
        <v>0</v>
      </c>
      <c r="AB188" s="793">
        <v>0</v>
      </c>
      <c r="AC188" s="52"/>
      <c r="AD188" s="52"/>
      <c r="AE188" s="52"/>
      <c r="AF188" s="52"/>
      <c r="AG188" s="52"/>
      <c r="AN188" s="11"/>
      <c r="AO188" s="2"/>
      <c r="AP188" s="2"/>
      <c r="AQ188" s="2"/>
      <c r="AR188" s="2"/>
    </row>
    <row r="189" spans="1:44" s="776" customFormat="1">
      <c r="A189" s="932"/>
      <c r="B189" s="242" t="s">
        <v>125</v>
      </c>
      <c r="C189" s="242"/>
      <c r="D189" s="793"/>
      <c r="E189" s="793"/>
      <c r="F189" s="793">
        <v>0</v>
      </c>
      <c r="G189" s="793"/>
      <c r="H189" s="793"/>
      <c r="I189" s="793"/>
      <c r="J189" s="793"/>
      <c r="K189" s="793"/>
      <c r="L189" s="793"/>
      <c r="M189" s="793"/>
      <c r="N189" s="793">
        <v>-24546</v>
      </c>
      <c r="O189" s="793">
        <v>-31165</v>
      </c>
      <c r="P189" s="793">
        <v>146598</v>
      </c>
      <c r="Q189" s="793">
        <v>71255</v>
      </c>
      <c r="R189" s="793">
        <v>103427</v>
      </c>
      <c r="S189" s="793">
        <v>-53300</v>
      </c>
      <c r="T189" s="793">
        <v>-93800</v>
      </c>
      <c r="U189" s="793">
        <v>-18000</v>
      </c>
      <c r="V189" s="793">
        <v>33000</v>
      </c>
      <c r="W189" s="793">
        <v>83000</v>
      </c>
      <c r="X189" s="793">
        <v>21000</v>
      </c>
      <c r="Y189" s="793">
        <v>26000</v>
      </c>
      <c r="Z189" s="793">
        <v>5000</v>
      </c>
      <c r="AA189" s="793">
        <v>161000</v>
      </c>
      <c r="AB189" s="793">
        <v>-248000</v>
      </c>
      <c r="AC189" s="52"/>
      <c r="AD189" s="52"/>
      <c r="AE189" s="52"/>
      <c r="AF189" s="52"/>
      <c r="AG189" s="52"/>
      <c r="AN189" s="11"/>
      <c r="AO189" s="2"/>
      <c r="AP189" s="2"/>
      <c r="AQ189" s="2"/>
      <c r="AR189" s="2"/>
    </row>
    <row r="190" spans="1:44" s="776" customFormat="1">
      <c r="A190" s="932"/>
      <c r="B190" s="242" t="s">
        <v>126</v>
      </c>
      <c r="C190" s="242"/>
      <c r="D190" s="793"/>
      <c r="E190" s="793"/>
      <c r="F190" s="793">
        <v>0</v>
      </c>
      <c r="G190" s="793">
        <v>0</v>
      </c>
      <c r="H190" s="793">
        <v>0</v>
      </c>
      <c r="I190" s="793">
        <v>0</v>
      </c>
      <c r="J190" s="793">
        <v>0</v>
      </c>
      <c r="K190" s="793">
        <v>0</v>
      </c>
      <c r="L190" s="793">
        <v>0</v>
      </c>
      <c r="M190" s="793">
        <v>0</v>
      </c>
      <c r="N190" s="793">
        <v>0</v>
      </c>
      <c r="O190" s="793">
        <v>0</v>
      </c>
      <c r="P190" s="793">
        <v>0</v>
      </c>
      <c r="Q190" s="793">
        <v>-10686</v>
      </c>
      <c r="R190" s="793">
        <v>-17557</v>
      </c>
      <c r="S190" s="793">
        <v>-18100</v>
      </c>
      <c r="T190" s="793">
        <v>-20400</v>
      </c>
      <c r="U190" s="793">
        <v>-21000</v>
      </c>
      <c r="V190" s="793">
        <v>-16000</v>
      </c>
      <c r="W190" s="793">
        <v>-16000</v>
      </c>
      <c r="X190" s="793">
        <v>-15000</v>
      </c>
      <c r="Y190" s="793">
        <v>-15000</v>
      </c>
      <c r="Z190" s="793">
        <v>-19000</v>
      </c>
      <c r="AA190" s="793">
        <v>-22000</v>
      </c>
      <c r="AB190" s="793">
        <v>-21000</v>
      </c>
      <c r="AC190" s="52"/>
      <c r="AD190" s="52"/>
      <c r="AE190" s="52"/>
      <c r="AF190" s="52"/>
      <c r="AG190" s="52"/>
      <c r="AN190" s="11"/>
      <c r="AO190" s="2"/>
      <c r="AP190" s="2"/>
      <c r="AQ190" s="2"/>
      <c r="AR190" s="2"/>
    </row>
    <row r="191" spans="1:44" s="776" customFormat="1">
      <c r="A191" s="932"/>
      <c r="B191" s="242" t="s">
        <v>127</v>
      </c>
      <c r="C191" s="242"/>
      <c r="D191" s="793"/>
      <c r="E191" s="793"/>
      <c r="F191" s="793">
        <v>0</v>
      </c>
      <c r="G191" s="793">
        <v>0</v>
      </c>
      <c r="H191" s="793">
        <v>0</v>
      </c>
      <c r="I191" s="793">
        <v>0</v>
      </c>
      <c r="J191" s="793">
        <v>0</v>
      </c>
      <c r="K191" s="793">
        <v>0</v>
      </c>
      <c r="L191" s="793">
        <v>0</v>
      </c>
      <c r="M191" s="793">
        <v>0</v>
      </c>
      <c r="N191" s="793">
        <v>0</v>
      </c>
      <c r="O191" s="793">
        <v>0</v>
      </c>
      <c r="P191" s="793">
        <v>0</v>
      </c>
      <c r="Q191" s="793">
        <v>0</v>
      </c>
      <c r="R191" s="793">
        <v>0</v>
      </c>
      <c r="S191" s="793">
        <v>0</v>
      </c>
      <c r="T191" s="793">
        <v>0</v>
      </c>
      <c r="U191" s="926">
        <v>55000</v>
      </c>
      <c r="V191" s="793">
        <v>0</v>
      </c>
      <c r="W191" s="793">
        <v>0</v>
      </c>
      <c r="X191" s="793">
        <v>0</v>
      </c>
      <c r="Y191" s="793">
        <v>0</v>
      </c>
      <c r="Z191" s="793">
        <v>0</v>
      </c>
      <c r="AA191" s="793">
        <v>0</v>
      </c>
      <c r="AB191" s="793">
        <v>0</v>
      </c>
      <c r="AC191" s="52"/>
      <c r="AD191" s="52"/>
      <c r="AE191" s="52"/>
      <c r="AF191" s="52"/>
      <c r="AG191" s="52"/>
      <c r="AN191" s="11"/>
      <c r="AO191" s="2"/>
      <c r="AP191" s="2"/>
      <c r="AQ191" s="2"/>
      <c r="AR191" s="2"/>
    </row>
    <row r="192" spans="1:44" s="776" customFormat="1">
      <c r="A192" s="932"/>
      <c r="B192" s="52" t="s">
        <v>128</v>
      </c>
      <c r="C192" s="52"/>
      <c r="D192" s="932"/>
      <c r="E192" s="793"/>
      <c r="F192" s="793">
        <v>0</v>
      </c>
      <c r="G192" s="793">
        <v>0</v>
      </c>
      <c r="H192" s="793">
        <v>0</v>
      </c>
      <c r="I192" s="793">
        <v>0</v>
      </c>
      <c r="J192" s="793">
        <v>0</v>
      </c>
      <c r="K192" s="793">
        <v>0</v>
      </c>
      <c r="L192" s="793">
        <v>0</v>
      </c>
      <c r="M192" s="793">
        <v>0</v>
      </c>
      <c r="N192" s="793">
        <v>1422</v>
      </c>
      <c r="O192" s="793">
        <v>1422</v>
      </c>
      <c r="P192" s="793">
        <v>953</v>
      </c>
      <c r="Q192" s="793">
        <v>0</v>
      </c>
      <c r="R192" s="793">
        <v>0</v>
      </c>
      <c r="S192" s="793">
        <v>0</v>
      </c>
      <c r="T192" s="793">
        <v>0</v>
      </c>
      <c r="U192" s="793">
        <v>0</v>
      </c>
      <c r="V192" s="793">
        <v>0</v>
      </c>
      <c r="W192" s="793">
        <v>0</v>
      </c>
      <c r="X192" s="793">
        <v>0</v>
      </c>
      <c r="Y192" s="793">
        <v>0</v>
      </c>
      <c r="Z192" s="793">
        <v>0</v>
      </c>
      <c r="AA192" s="793">
        <v>0</v>
      </c>
      <c r="AB192" s="793">
        <v>0</v>
      </c>
      <c r="AC192" s="52"/>
      <c r="AD192" s="52"/>
      <c r="AE192" s="52"/>
      <c r="AF192" s="52"/>
      <c r="AG192" s="52"/>
      <c r="AN192" s="11"/>
      <c r="AO192" s="2"/>
      <c r="AP192" s="2"/>
      <c r="AQ192" s="2"/>
      <c r="AR192" s="2"/>
    </row>
    <row r="193" spans="1:44" s="776" customFormat="1">
      <c r="A193" s="932"/>
      <c r="B193" s="52" t="s">
        <v>129</v>
      </c>
      <c r="C193" s="52"/>
      <c r="D193" s="932"/>
      <c r="E193" s="793"/>
      <c r="F193" s="793">
        <v>0</v>
      </c>
      <c r="G193" s="793">
        <v>0</v>
      </c>
      <c r="H193" s="793">
        <v>0</v>
      </c>
      <c r="I193" s="793">
        <v>0</v>
      </c>
      <c r="J193" s="793">
        <v>0</v>
      </c>
      <c r="K193" s="793">
        <v>0</v>
      </c>
      <c r="L193" s="793">
        <v>0</v>
      </c>
      <c r="M193" s="793">
        <v>0</v>
      </c>
      <c r="N193" s="793">
        <v>-239</v>
      </c>
      <c r="O193" s="793">
        <v>0</v>
      </c>
      <c r="P193" s="793">
        <v>0</v>
      </c>
      <c r="Q193" s="793">
        <v>0</v>
      </c>
      <c r="R193" s="793">
        <v>0</v>
      </c>
      <c r="S193" s="793">
        <v>0</v>
      </c>
      <c r="T193" s="793">
        <v>0</v>
      </c>
      <c r="U193" s="793">
        <v>0</v>
      </c>
      <c r="V193" s="793">
        <v>0</v>
      </c>
      <c r="W193" s="793">
        <v>0</v>
      </c>
      <c r="X193" s="793">
        <v>0</v>
      </c>
      <c r="Y193" s="793">
        <v>0</v>
      </c>
      <c r="Z193" s="793">
        <v>0</v>
      </c>
      <c r="AA193" s="793">
        <v>0</v>
      </c>
      <c r="AB193" s="793">
        <v>0</v>
      </c>
      <c r="AC193" s="52"/>
      <c r="AD193" s="52"/>
      <c r="AE193" s="52"/>
      <c r="AF193" s="52"/>
      <c r="AG193" s="52"/>
      <c r="AN193" s="11"/>
      <c r="AO193" s="2"/>
      <c r="AP193" s="2"/>
      <c r="AQ193" s="2"/>
      <c r="AR193" s="2"/>
    </row>
    <row r="194" spans="1:44" s="776" customFormat="1">
      <c r="A194" s="932"/>
      <c r="B194" s="52" t="s">
        <v>130</v>
      </c>
      <c r="C194" s="52"/>
      <c r="D194" s="932"/>
      <c r="E194" s="793"/>
      <c r="F194" s="793">
        <v>0</v>
      </c>
      <c r="G194" s="793">
        <v>0</v>
      </c>
      <c r="H194" s="793">
        <v>0</v>
      </c>
      <c r="I194" s="793">
        <v>0</v>
      </c>
      <c r="J194" s="793">
        <v>0</v>
      </c>
      <c r="K194" s="793">
        <v>0</v>
      </c>
      <c r="L194" s="793">
        <v>0</v>
      </c>
      <c r="M194" s="793">
        <v>0</v>
      </c>
      <c r="N194" s="793">
        <v>0</v>
      </c>
      <c r="O194" s="793">
        <v>0</v>
      </c>
      <c r="P194" s="793">
        <v>0</v>
      </c>
      <c r="Q194" s="793">
        <v>0</v>
      </c>
      <c r="R194" s="793">
        <v>0</v>
      </c>
      <c r="S194" s="793">
        <v>-3700</v>
      </c>
      <c r="T194" s="793">
        <v>10500</v>
      </c>
      <c r="U194" s="793">
        <v>0</v>
      </c>
      <c r="V194" s="793">
        <v>0</v>
      </c>
      <c r="W194" s="793">
        <v>0</v>
      </c>
      <c r="X194" s="793">
        <v>0</v>
      </c>
      <c r="Y194" s="793">
        <v>0</v>
      </c>
      <c r="Z194" s="793">
        <v>0</v>
      </c>
      <c r="AA194" s="793">
        <v>0</v>
      </c>
      <c r="AB194" s="793">
        <v>0</v>
      </c>
      <c r="AC194" s="52"/>
      <c r="AD194" s="52"/>
      <c r="AE194" s="52"/>
      <c r="AF194" s="52"/>
      <c r="AG194" s="52"/>
      <c r="AN194" s="11"/>
      <c r="AO194" s="2"/>
      <c r="AP194" s="2"/>
      <c r="AQ194" s="2"/>
      <c r="AR194" s="2"/>
    </row>
    <row r="195" spans="1:44" s="776" customFormat="1">
      <c r="A195" s="932"/>
      <c r="B195" s="52" t="s">
        <v>131</v>
      </c>
      <c r="C195" s="52"/>
      <c r="D195" s="932"/>
      <c r="E195" s="793"/>
      <c r="F195" s="793">
        <v>0</v>
      </c>
      <c r="G195" s="793">
        <v>0</v>
      </c>
      <c r="H195" s="793">
        <v>0</v>
      </c>
      <c r="I195" s="793">
        <v>0</v>
      </c>
      <c r="J195" s="793">
        <v>0</v>
      </c>
      <c r="K195" s="793">
        <v>0</v>
      </c>
      <c r="L195" s="793">
        <v>0</v>
      </c>
      <c r="M195" s="793">
        <v>0</v>
      </c>
      <c r="N195" s="793">
        <v>0</v>
      </c>
      <c r="O195" s="793">
        <v>0</v>
      </c>
      <c r="P195" s="793">
        <v>0</v>
      </c>
      <c r="Q195" s="793">
        <v>0</v>
      </c>
      <c r="R195" s="793">
        <v>0</v>
      </c>
      <c r="S195" s="793">
        <v>-500</v>
      </c>
      <c r="T195" s="793">
        <v>0</v>
      </c>
      <c r="U195" s="793">
        <v>0</v>
      </c>
      <c r="V195" s="793">
        <v>0</v>
      </c>
      <c r="W195" s="793">
        <v>0</v>
      </c>
      <c r="X195" s="793">
        <v>0</v>
      </c>
      <c r="Y195" s="793">
        <v>0</v>
      </c>
      <c r="Z195" s="793">
        <v>0</v>
      </c>
      <c r="AA195" s="793">
        <v>0</v>
      </c>
      <c r="AB195" s="793">
        <v>0</v>
      </c>
      <c r="AC195" s="52"/>
      <c r="AD195" s="52"/>
      <c r="AE195" s="52"/>
      <c r="AF195" s="52"/>
      <c r="AG195" s="52"/>
      <c r="AN195" s="11"/>
      <c r="AO195" s="2"/>
      <c r="AP195" s="2"/>
      <c r="AQ195" s="2"/>
      <c r="AR195" s="2"/>
    </row>
    <row r="196" spans="1:44" s="776" customFormat="1">
      <c r="A196" s="932"/>
      <c r="B196" s="52" t="s">
        <v>132</v>
      </c>
      <c r="C196" s="52"/>
      <c r="D196" s="932"/>
      <c r="E196" s="793"/>
      <c r="F196" s="793">
        <v>0</v>
      </c>
      <c r="G196" s="793">
        <v>0</v>
      </c>
      <c r="H196" s="793">
        <v>0</v>
      </c>
      <c r="I196" s="793">
        <v>0</v>
      </c>
      <c r="J196" s="793">
        <v>0</v>
      </c>
      <c r="K196" s="793">
        <v>0</v>
      </c>
      <c r="L196" s="793">
        <v>0</v>
      </c>
      <c r="M196" s="793">
        <v>0</v>
      </c>
      <c r="N196" s="793">
        <v>0</v>
      </c>
      <c r="O196" s="793">
        <v>981</v>
      </c>
      <c r="P196" s="793">
        <v>98</v>
      </c>
      <c r="Q196" s="793">
        <v>19</v>
      </c>
      <c r="R196" s="793">
        <v>-101</v>
      </c>
      <c r="S196" s="793">
        <v>-1000</v>
      </c>
      <c r="T196" s="793">
        <v>0</v>
      </c>
      <c r="U196" s="793">
        <v>0</v>
      </c>
      <c r="V196" s="793">
        <v>1000</v>
      </c>
      <c r="W196" s="793">
        <v>1000</v>
      </c>
      <c r="X196" s="793">
        <v>1000</v>
      </c>
      <c r="Y196" s="793">
        <v>1000</v>
      </c>
      <c r="Z196" s="793">
        <v>1000</v>
      </c>
      <c r="AA196" s="793">
        <v>1000</v>
      </c>
      <c r="AB196" s="793">
        <v>2000</v>
      </c>
      <c r="AC196" s="52"/>
      <c r="AD196" s="52"/>
      <c r="AE196" s="52"/>
      <c r="AF196" s="52"/>
      <c r="AG196" s="52"/>
      <c r="AN196" s="11"/>
      <c r="AO196" s="2"/>
      <c r="AP196" s="2"/>
      <c r="AQ196" s="2"/>
      <c r="AR196" s="2"/>
    </row>
    <row r="197" spans="1:44" s="776" customFormat="1" ht="13.5" thickBot="1">
      <c r="A197" s="932"/>
      <c r="B197" s="929" t="s">
        <v>133</v>
      </c>
      <c r="C197" s="929"/>
      <c r="D197" s="932"/>
      <c r="E197" s="793"/>
      <c r="F197" s="925">
        <f t="shared" ref="F197:AA197" si="134">SUM(F170:F196)</f>
        <v>14877</v>
      </c>
      <c r="G197" s="925">
        <f t="shared" si="134"/>
        <v>68465</v>
      </c>
      <c r="H197" s="925">
        <f t="shared" si="134"/>
        <v>89311</v>
      </c>
      <c r="I197" s="925">
        <f t="shared" si="134"/>
        <v>93187</v>
      </c>
      <c r="J197" s="925">
        <f t="shared" si="134"/>
        <v>125434</v>
      </c>
      <c r="K197" s="925">
        <f t="shared" si="134"/>
        <v>119856</v>
      </c>
      <c r="L197" s="925">
        <f t="shared" si="134"/>
        <v>160328</v>
      </c>
      <c r="M197" s="925">
        <f t="shared" si="134"/>
        <v>-542931</v>
      </c>
      <c r="N197" s="925">
        <f t="shared" si="134"/>
        <v>89071</v>
      </c>
      <c r="O197" s="925">
        <f t="shared" si="134"/>
        <v>132516</v>
      </c>
      <c r="P197" s="925">
        <f t="shared" si="134"/>
        <v>281176</v>
      </c>
      <c r="Q197" s="925">
        <f t="shared" si="134"/>
        <v>257965</v>
      </c>
      <c r="R197" s="925">
        <f t="shared" si="134"/>
        <v>132522</v>
      </c>
      <c r="S197" s="925">
        <f t="shared" si="134"/>
        <v>266500</v>
      </c>
      <c r="T197" s="925">
        <f t="shared" si="134"/>
        <v>73900</v>
      </c>
      <c r="U197" s="925">
        <f t="shared" si="134"/>
        <v>211000</v>
      </c>
      <c r="V197" s="925">
        <f t="shared" si="134"/>
        <v>215000</v>
      </c>
      <c r="W197" s="925">
        <f t="shared" si="134"/>
        <v>264000</v>
      </c>
      <c r="X197" s="925">
        <f t="shared" si="134"/>
        <v>256000</v>
      </c>
      <c r="Y197" s="925">
        <f t="shared" si="134"/>
        <v>250000</v>
      </c>
      <c r="Z197" s="925">
        <f t="shared" si="134"/>
        <v>237000</v>
      </c>
      <c r="AA197" s="925">
        <f t="shared" si="134"/>
        <v>346000</v>
      </c>
      <c r="AB197" s="925">
        <f t="shared" ref="AB197" si="135">SUM(AB170:AB196)</f>
        <v>65000</v>
      </c>
      <c r="AC197" s="52"/>
      <c r="AD197" s="52"/>
      <c r="AE197" s="52"/>
      <c r="AF197" s="52"/>
      <c r="AG197" s="52"/>
      <c r="AN197" s="11"/>
      <c r="AO197" s="2"/>
      <c r="AP197" s="2"/>
      <c r="AQ197" s="2"/>
      <c r="AR197" s="2"/>
    </row>
    <row r="198" spans="1:44" s="776" customFormat="1" ht="13.5" thickTop="1">
      <c r="A198" s="793"/>
      <c r="B198" s="932"/>
      <c r="C198" s="932"/>
      <c r="D198" s="908"/>
      <c r="E198" s="908"/>
      <c r="F198" s="899"/>
      <c r="G198" s="899"/>
      <c r="H198" s="899"/>
      <c r="I198" s="899"/>
      <c r="J198" s="899"/>
      <c r="K198" s="899"/>
      <c r="L198" s="899"/>
      <c r="M198" s="899"/>
      <c r="N198" s="899"/>
      <c r="O198" s="899"/>
      <c r="P198" s="899"/>
      <c r="Q198" s="899"/>
      <c r="R198" s="899"/>
      <c r="S198" s="899"/>
      <c r="T198" s="899"/>
      <c r="U198" s="899"/>
      <c r="V198" s="1377"/>
      <c r="W198" s="899"/>
      <c r="X198" s="899"/>
      <c r="Y198" s="899"/>
      <c r="Z198" s="899"/>
      <c r="AA198" s="899"/>
      <c r="AB198" s="793"/>
      <c r="AC198" s="52"/>
      <c r="AD198" s="52"/>
      <c r="AE198" s="52"/>
      <c r="AF198" s="52"/>
      <c r="AG198" s="52"/>
      <c r="AN198" s="11"/>
      <c r="AO198" s="2"/>
      <c r="AP198" s="2"/>
      <c r="AQ198" s="2"/>
      <c r="AR198" s="2"/>
    </row>
    <row r="199" spans="1:44" s="776" customFormat="1" ht="18">
      <c r="A199" s="1230" t="s">
        <v>27</v>
      </c>
      <c r="B199" s="1231"/>
      <c r="C199" s="1232"/>
      <c r="D199" s="1232"/>
      <c r="E199" s="1443" t="s">
        <v>1407</v>
      </c>
      <c r="F199" s="1444"/>
      <c r="G199" s="1444"/>
      <c r="H199" s="1444"/>
      <c r="I199" s="1226"/>
      <c r="J199" s="1226"/>
      <c r="K199" s="1226"/>
      <c r="L199" s="1226"/>
      <c r="M199" s="1226"/>
      <c r="N199" s="1226"/>
      <c r="O199" s="1226"/>
      <c r="P199" s="1226"/>
      <c r="Q199" s="1226"/>
      <c r="R199" s="1226"/>
      <c r="S199" s="1226"/>
      <c r="T199" s="1226"/>
      <c r="U199" s="1226"/>
      <c r="W199" s="1431" t="s">
        <v>27</v>
      </c>
      <c r="X199" s="1432"/>
      <c r="Y199" s="1432"/>
      <c r="Z199" s="1432"/>
      <c r="AA199" s="1433"/>
      <c r="AB199" s="1380">
        <v>2.4</v>
      </c>
      <c r="AC199" s="52"/>
      <c r="AD199" s="52"/>
      <c r="AE199" s="52"/>
      <c r="AF199" s="52"/>
      <c r="AG199" s="52"/>
      <c r="AN199" s="11"/>
      <c r="AO199" s="2"/>
      <c r="AP199" s="2"/>
      <c r="AQ199" s="2"/>
      <c r="AR199" s="2"/>
    </row>
    <row r="200" spans="1:44" s="776" customFormat="1">
      <c r="E200" s="1189"/>
      <c r="F200" s="69">
        <v>0</v>
      </c>
      <c r="G200" s="69">
        <f t="shared" ref="G200:AB200" si="136">F200+1</f>
        <v>1</v>
      </c>
      <c r="H200" s="69">
        <f t="shared" si="136"/>
        <v>2</v>
      </c>
      <c r="I200" s="69">
        <f t="shared" si="136"/>
        <v>3</v>
      </c>
      <c r="J200" s="69">
        <f t="shared" si="136"/>
        <v>4</v>
      </c>
      <c r="K200" s="69">
        <f t="shared" si="136"/>
        <v>5</v>
      </c>
      <c r="L200" s="69">
        <f t="shared" si="136"/>
        <v>6</v>
      </c>
      <c r="M200" s="69">
        <f t="shared" si="136"/>
        <v>7</v>
      </c>
      <c r="N200" s="649">
        <f t="shared" si="136"/>
        <v>8</v>
      </c>
      <c r="O200" s="73">
        <f t="shared" si="136"/>
        <v>9</v>
      </c>
      <c r="P200" s="73">
        <f t="shared" si="136"/>
        <v>10</v>
      </c>
      <c r="Q200" s="73">
        <f t="shared" si="136"/>
        <v>11</v>
      </c>
      <c r="R200" s="73">
        <f t="shared" si="136"/>
        <v>12</v>
      </c>
      <c r="S200" s="73">
        <f t="shared" si="136"/>
        <v>13</v>
      </c>
      <c r="T200" s="73">
        <f t="shared" si="136"/>
        <v>14</v>
      </c>
      <c r="U200" s="73">
        <f t="shared" si="136"/>
        <v>15</v>
      </c>
      <c r="V200" s="73">
        <f t="shared" si="136"/>
        <v>16</v>
      </c>
      <c r="W200" s="73">
        <f t="shared" si="136"/>
        <v>17</v>
      </c>
      <c r="X200" s="73">
        <f t="shared" si="136"/>
        <v>18</v>
      </c>
      <c r="Y200" s="73">
        <f t="shared" si="136"/>
        <v>19</v>
      </c>
      <c r="Z200" s="73">
        <f t="shared" si="136"/>
        <v>20</v>
      </c>
      <c r="AA200" s="73">
        <f t="shared" si="136"/>
        <v>21</v>
      </c>
      <c r="AB200" s="73">
        <f t="shared" si="136"/>
        <v>22</v>
      </c>
      <c r="AC200" s="52"/>
      <c r="AD200" s="52"/>
      <c r="AE200" s="52"/>
      <c r="AF200" s="52"/>
      <c r="AG200" s="52"/>
      <c r="AN200" s="11"/>
      <c r="AO200" s="2"/>
      <c r="AP200" s="2"/>
      <c r="AQ200" s="2"/>
      <c r="AR200" s="2"/>
    </row>
    <row r="201" spans="1:44" s="776" customFormat="1">
      <c r="A201" s="932"/>
      <c r="B201" s="52"/>
      <c r="C201" s="52"/>
      <c r="D201" s="932"/>
      <c r="E201" s="1190"/>
      <c r="F201" s="1202">
        <f t="shared" ref="F201:AB201" si="137">F3</f>
        <v>1999</v>
      </c>
      <c r="G201" s="1202">
        <f t="shared" si="137"/>
        <v>2000</v>
      </c>
      <c r="H201" s="1202">
        <f t="shared" si="137"/>
        <v>2001</v>
      </c>
      <c r="I201" s="1202">
        <f t="shared" si="137"/>
        <v>2002</v>
      </c>
      <c r="J201" s="1202">
        <f t="shared" si="137"/>
        <v>2003</v>
      </c>
      <c r="K201" s="1202">
        <f t="shared" si="137"/>
        <v>2004</v>
      </c>
      <c r="L201" s="1202">
        <f t="shared" si="137"/>
        <v>2005</v>
      </c>
      <c r="M201" s="1202">
        <f t="shared" si="137"/>
        <v>2006</v>
      </c>
      <c r="N201" s="1202">
        <f t="shared" si="137"/>
        <v>2007</v>
      </c>
      <c r="O201" s="1202">
        <f t="shared" si="137"/>
        <v>2008</v>
      </c>
      <c r="P201" s="1202">
        <f t="shared" si="137"/>
        <v>2009</v>
      </c>
      <c r="Q201" s="1202">
        <f t="shared" si="137"/>
        <v>2010</v>
      </c>
      <c r="R201" s="1202">
        <f t="shared" si="137"/>
        <v>2011</v>
      </c>
      <c r="S201" s="1202">
        <f t="shared" si="137"/>
        <v>2012</v>
      </c>
      <c r="T201" s="1202">
        <f t="shared" si="137"/>
        <v>2013</v>
      </c>
      <c r="U201" s="1202">
        <f t="shared" si="137"/>
        <v>2014</v>
      </c>
      <c r="V201" s="1202">
        <f t="shared" si="137"/>
        <v>2015</v>
      </c>
      <c r="W201" s="1202">
        <f t="shared" si="137"/>
        <v>2016</v>
      </c>
      <c r="X201" s="1202">
        <f t="shared" si="137"/>
        <v>2017</v>
      </c>
      <c r="Y201" s="1202">
        <f t="shared" si="137"/>
        <v>2018</v>
      </c>
      <c r="Z201" s="1202">
        <f t="shared" si="137"/>
        <v>2019</v>
      </c>
      <c r="AA201" s="1202">
        <f t="shared" si="137"/>
        <v>2020</v>
      </c>
      <c r="AB201" s="1202">
        <f t="shared" si="137"/>
        <v>2021</v>
      </c>
      <c r="AC201" s="52"/>
      <c r="AD201" s="52"/>
      <c r="AE201" s="52"/>
      <c r="AF201" s="52"/>
      <c r="AG201" s="52"/>
      <c r="AN201" s="11"/>
      <c r="AO201" s="2"/>
      <c r="AP201" s="2"/>
      <c r="AQ201" s="2"/>
      <c r="AR201" s="2"/>
    </row>
    <row r="202" spans="1:44" s="776" customFormat="1">
      <c r="A202" s="939"/>
      <c r="B202" s="791" t="s">
        <v>134</v>
      </c>
      <c r="C202" s="939"/>
      <c r="D202" s="939"/>
      <c r="E202" s="1026"/>
      <c r="F202" s="793"/>
      <c r="G202" s="793"/>
      <c r="H202" s="793"/>
      <c r="I202" s="793"/>
      <c r="J202" s="793"/>
      <c r="K202" s="793"/>
      <c r="L202" s="793"/>
      <c r="M202" s="793"/>
      <c r="N202" s="793">
        <v>241200</v>
      </c>
      <c r="O202" s="793">
        <v>128600</v>
      </c>
      <c r="P202" s="793">
        <v>89300</v>
      </c>
      <c r="Q202" s="793">
        <v>184000</v>
      </c>
      <c r="R202" s="793">
        <v>303000</v>
      </c>
      <c r="S202" s="793">
        <v>75000</v>
      </c>
      <c r="T202" s="793">
        <v>295000</v>
      </c>
      <c r="U202" s="793">
        <v>230000</v>
      </c>
      <c r="V202" s="793">
        <v>247000</v>
      </c>
      <c r="W202" s="793">
        <v>185000</v>
      </c>
      <c r="X202" s="793">
        <v>200000</v>
      </c>
      <c r="Y202" s="793">
        <v>201000</v>
      </c>
      <c r="Z202" s="793">
        <v>339000</v>
      </c>
      <c r="AA202" s="793">
        <v>176000</v>
      </c>
      <c r="AB202" s="793">
        <v>428000</v>
      </c>
      <c r="AC202" s="52"/>
      <c r="AD202" s="52"/>
      <c r="AE202" s="52"/>
      <c r="AF202" s="52"/>
      <c r="AG202" s="52"/>
      <c r="AN202" s="11"/>
      <c r="AO202" s="2"/>
      <c r="AP202" s="2"/>
      <c r="AQ202" s="2"/>
      <c r="AR202" s="2"/>
    </row>
    <row r="203" spans="1:44" s="776" customFormat="1">
      <c r="A203" s="939"/>
      <c r="B203" s="73" t="s">
        <v>135</v>
      </c>
      <c r="C203" s="939"/>
      <c r="D203" s="939"/>
      <c r="E203" s="1026"/>
      <c r="F203" s="793"/>
      <c r="G203" s="793"/>
      <c r="H203" s="793"/>
      <c r="I203" s="793"/>
      <c r="J203" s="793"/>
      <c r="K203" s="793"/>
      <c r="L203" s="793"/>
      <c r="M203" s="793"/>
      <c r="N203" s="793"/>
      <c r="O203" s="793"/>
      <c r="P203" s="793"/>
      <c r="Q203" s="793"/>
      <c r="R203" s="793"/>
      <c r="S203" s="793"/>
      <c r="T203" s="793"/>
      <c r="U203" s="793"/>
      <c r="V203" s="793"/>
      <c r="W203" s="793"/>
      <c r="X203" s="793"/>
      <c r="Y203" s="793"/>
      <c r="Z203" s="793"/>
      <c r="AA203" s="793"/>
      <c r="AB203" s="793"/>
      <c r="AC203" s="52"/>
      <c r="AD203" s="52"/>
      <c r="AE203" s="52"/>
      <c r="AF203" s="52"/>
      <c r="AG203" s="52"/>
      <c r="AN203" s="11"/>
      <c r="AO203" s="2"/>
      <c r="AP203" s="2"/>
      <c r="AQ203" s="2"/>
      <c r="AR203" s="2"/>
    </row>
    <row r="204" spans="1:44" s="776" customFormat="1">
      <c r="A204" s="939"/>
      <c r="B204" s="74" t="s">
        <v>136</v>
      </c>
      <c r="C204" s="938"/>
      <c r="D204" s="938"/>
      <c r="E204" s="1026"/>
      <c r="F204" s="793"/>
      <c r="G204" s="793"/>
      <c r="H204" s="793"/>
      <c r="I204" s="793"/>
      <c r="J204" s="793"/>
      <c r="K204" s="793"/>
      <c r="L204" s="793"/>
      <c r="M204" s="793"/>
      <c r="N204" s="793"/>
      <c r="O204" s="793"/>
      <c r="P204" s="793"/>
      <c r="Q204" s="793"/>
      <c r="R204" s="793"/>
      <c r="S204" s="793"/>
      <c r="T204" s="793"/>
      <c r="U204" s="793"/>
      <c r="V204" s="52"/>
      <c r="W204" s="793"/>
      <c r="X204" s="793"/>
      <c r="Y204" s="793"/>
      <c r="Z204" s="793"/>
      <c r="AA204" s="793"/>
      <c r="AB204" s="793"/>
      <c r="AC204" s="52"/>
      <c r="AD204" s="52"/>
      <c r="AE204" s="52"/>
      <c r="AF204" s="52"/>
      <c r="AG204" s="52"/>
      <c r="AN204" s="11"/>
      <c r="AO204" s="2"/>
      <c r="AP204" s="2"/>
      <c r="AQ204" s="2"/>
      <c r="AR204" s="2"/>
    </row>
    <row r="205" spans="1:44" s="776" customFormat="1">
      <c r="A205" s="939"/>
      <c r="B205" s="242" t="s">
        <v>137</v>
      </c>
      <c r="C205" s="939"/>
      <c r="D205" s="939"/>
      <c r="E205" s="1026"/>
      <c r="F205" s="793"/>
      <c r="G205" s="793"/>
      <c r="H205" s="793"/>
      <c r="I205" s="793"/>
      <c r="J205" s="793"/>
      <c r="K205" s="793"/>
      <c r="L205" s="793"/>
      <c r="M205" s="793"/>
      <c r="N205" s="926">
        <v>-24500</v>
      </c>
      <c r="O205" s="793">
        <v>0</v>
      </c>
      <c r="P205" s="793">
        <v>0</v>
      </c>
      <c r="Q205" s="793">
        <v>0</v>
      </c>
      <c r="R205" s="793">
        <v>0</v>
      </c>
      <c r="S205" s="793">
        <v>0</v>
      </c>
      <c r="T205" s="793">
        <v>0</v>
      </c>
      <c r="U205" s="793">
        <v>0</v>
      </c>
      <c r="V205" s="793">
        <v>0</v>
      </c>
      <c r="W205" s="793">
        <v>0</v>
      </c>
      <c r="X205" s="793">
        <v>0</v>
      </c>
      <c r="Y205" s="793">
        <v>0</v>
      </c>
      <c r="Z205" s="793">
        <v>0</v>
      </c>
      <c r="AA205" s="793">
        <v>0</v>
      </c>
      <c r="AB205" s="793">
        <v>0</v>
      </c>
      <c r="AC205" s="52"/>
      <c r="AD205" s="52"/>
      <c r="AE205" s="52"/>
      <c r="AF205" s="52"/>
      <c r="AG205" s="52"/>
      <c r="AN205" s="11"/>
      <c r="AO205" s="2"/>
      <c r="AP205" s="2"/>
      <c r="AQ205" s="2"/>
      <c r="AR205" s="2"/>
    </row>
    <row r="206" spans="1:44" s="776" customFormat="1">
      <c r="A206" s="939"/>
      <c r="B206" s="242" t="s">
        <v>138</v>
      </c>
      <c r="C206" s="939"/>
      <c r="D206" s="939"/>
      <c r="E206" s="1026"/>
      <c r="F206" s="793"/>
      <c r="G206" s="793"/>
      <c r="H206" s="793"/>
      <c r="I206" s="793"/>
      <c r="J206" s="793"/>
      <c r="K206" s="793"/>
      <c r="L206" s="793"/>
      <c r="M206" s="793"/>
      <c r="N206" s="793"/>
      <c r="O206" s="793">
        <v>-45500</v>
      </c>
      <c r="P206" s="793">
        <v>114100</v>
      </c>
      <c r="Q206" s="926">
        <v>14700</v>
      </c>
      <c r="R206" s="793">
        <v>90000</v>
      </c>
      <c r="S206" s="793">
        <v>-122000</v>
      </c>
      <c r="T206" s="793">
        <v>-51000</v>
      </c>
      <c r="U206" s="793">
        <v>9000</v>
      </c>
      <c r="V206" s="793">
        <v>1000</v>
      </c>
      <c r="W206" s="793">
        <v>15000</v>
      </c>
      <c r="X206" s="793">
        <v>76000</v>
      </c>
      <c r="Y206" s="793">
        <v>22000</v>
      </c>
      <c r="Z206" s="793">
        <v>-58000</v>
      </c>
      <c r="AA206" s="793">
        <v>113000</v>
      </c>
      <c r="AB206" s="793">
        <v>-169000</v>
      </c>
      <c r="AC206" s="52"/>
      <c r="AD206" s="52"/>
      <c r="AE206" s="52"/>
      <c r="AF206" s="52"/>
      <c r="AG206" s="52"/>
      <c r="AN206" s="11"/>
      <c r="AO206" s="2"/>
      <c r="AP206" s="2"/>
      <c r="AQ206" s="2"/>
      <c r="AR206" s="2"/>
    </row>
    <row r="207" spans="1:44" s="776" customFormat="1">
      <c r="A207" s="939"/>
      <c r="B207" s="242" t="s">
        <v>139</v>
      </c>
      <c r="C207" s="939"/>
      <c r="D207" s="939"/>
      <c r="E207" s="1026"/>
      <c r="F207" s="793"/>
      <c r="G207" s="793"/>
      <c r="H207" s="793"/>
      <c r="I207" s="793"/>
      <c r="J207" s="793"/>
      <c r="K207" s="793"/>
      <c r="L207" s="793"/>
      <c r="M207" s="793"/>
      <c r="N207" s="793"/>
      <c r="O207" s="793">
        <v>14300</v>
      </c>
      <c r="P207" s="793">
        <v>32500</v>
      </c>
      <c r="Q207" s="793">
        <v>23600</v>
      </c>
      <c r="R207" s="793">
        <v>14000</v>
      </c>
      <c r="S207" s="793">
        <v>68000</v>
      </c>
      <c r="T207" s="793">
        <v>-43000</v>
      </c>
      <c r="U207" s="793">
        <v>-27000</v>
      </c>
      <c r="V207" s="793">
        <v>32000</v>
      </c>
      <c r="W207" s="793">
        <v>68000</v>
      </c>
      <c r="X207" s="793">
        <v>-55000</v>
      </c>
      <c r="Y207" s="793">
        <v>4000</v>
      </c>
      <c r="Z207" s="793">
        <v>63000</v>
      </c>
      <c r="AA207" s="793">
        <v>48000</v>
      </c>
      <c r="AB207" s="793">
        <v>-79000</v>
      </c>
      <c r="AC207" s="52"/>
      <c r="AD207" s="52"/>
      <c r="AE207" s="52"/>
      <c r="AF207" s="52"/>
      <c r="AG207" s="52"/>
      <c r="AN207" s="11"/>
      <c r="AO207" s="2"/>
      <c r="AP207" s="2"/>
      <c r="AQ207" s="2"/>
      <c r="AR207" s="2"/>
    </row>
    <row r="208" spans="1:44" s="776" customFormat="1">
      <c r="A208" s="939"/>
      <c r="B208" s="242" t="s">
        <v>140</v>
      </c>
      <c r="C208" s="939"/>
      <c r="D208" s="939"/>
      <c r="E208" s="1026"/>
      <c r="F208" s="793"/>
      <c r="G208" s="793"/>
      <c r="H208" s="793"/>
      <c r="I208" s="793"/>
      <c r="J208" s="793"/>
      <c r="K208" s="793"/>
      <c r="L208" s="793"/>
      <c r="M208" s="793"/>
      <c r="N208" s="793"/>
      <c r="O208" s="793"/>
      <c r="P208" s="793"/>
      <c r="Q208" s="793">
        <v>0</v>
      </c>
      <c r="R208" s="793">
        <v>-14000</v>
      </c>
      <c r="S208" s="793">
        <v>-15000</v>
      </c>
      <c r="T208" s="793">
        <v>-18000</v>
      </c>
      <c r="U208" s="793">
        <v>-20000</v>
      </c>
      <c r="V208" s="793">
        <v>-15000</v>
      </c>
      <c r="W208" s="793">
        <v>-12000</v>
      </c>
      <c r="X208" s="793">
        <v>-12000</v>
      </c>
      <c r="Y208" s="793">
        <v>-13000</v>
      </c>
      <c r="Z208" s="793">
        <v>-17000</v>
      </c>
      <c r="AA208" s="793">
        <v>-20000</v>
      </c>
      <c r="AB208" s="793">
        <v>-20000</v>
      </c>
      <c r="AC208" s="52"/>
      <c r="AD208" s="52"/>
      <c r="AE208" s="52"/>
      <c r="AF208" s="52"/>
      <c r="AG208" s="52"/>
      <c r="AN208" s="11"/>
      <c r="AO208" s="2"/>
      <c r="AP208" s="2"/>
      <c r="AQ208" s="2"/>
      <c r="AR208" s="2"/>
    </row>
    <row r="209" spans="1:44" s="776" customFormat="1">
      <c r="A209" s="939"/>
      <c r="B209" s="242" t="s">
        <v>141</v>
      </c>
      <c r="C209" s="939"/>
      <c r="D209" s="939"/>
      <c r="E209" s="1026"/>
      <c r="F209" s="793"/>
      <c r="G209" s="793"/>
      <c r="H209" s="793"/>
      <c r="I209" s="793"/>
      <c r="J209" s="793"/>
      <c r="K209" s="793"/>
      <c r="L209" s="793"/>
      <c r="M209" s="793"/>
      <c r="N209" s="793"/>
      <c r="O209" s="793"/>
      <c r="P209" s="793"/>
      <c r="Q209" s="926">
        <v>33100</v>
      </c>
      <c r="R209" s="793">
        <v>0</v>
      </c>
      <c r="S209" s="793">
        <v>0</v>
      </c>
      <c r="T209" s="793">
        <v>0</v>
      </c>
      <c r="U209" s="793">
        <v>0</v>
      </c>
      <c r="V209" s="793">
        <v>0</v>
      </c>
      <c r="W209" s="793">
        <v>0</v>
      </c>
      <c r="X209" s="793">
        <v>0</v>
      </c>
      <c r="Y209" s="793">
        <v>0</v>
      </c>
      <c r="Z209" s="793">
        <v>0</v>
      </c>
      <c r="AA209" s="793">
        <v>0</v>
      </c>
      <c r="AB209" s="793">
        <v>0</v>
      </c>
      <c r="AC209" s="52"/>
      <c r="AD209" s="52"/>
      <c r="AE209" s="52"/>
      <c r="AF209" s="52"/>
      <c r="AG209" s="52"/>
      <c r="AN209" s="11"/>
      <c r="AO209" s="2"/>
      <c r="AP209" s="2"/>
      <c r="AQ209" s="2"/>
      <c r="AR209" s="2"/>
    </row>
    <row r="210" spans="1:44" s="776" customFormat="1">
      <c r="A210" s="939"/>
      <c r="B210" s="242"/>
      <c r="C210" s="939"/>
      <c r="D210" s="939"/>
      <c r="E210" s="1026"/>
      <c r="F210" s="793"/>
      <c r="G210" s="793"/>
      <c r="H210" s="793"/>
      <c r="I210" s="793"/>
      <c r="J210" s="793"/>
      <c r="K210" s="793"/>
      <c r="L210" s="793"/>
      <c r="M210" s="793"/>
      <c r="N210" s="793"/>
      <c r="O210" s="793"/>
      <c r="P210" s="793"/>
      <c r="Q210" s="793"/>
      <c r="R210" s="793"/>
      <c r="S210" s="793"/>
      <c r="T210" s="793"/>
      <c r="U210" s="793"/>
      <c r="V210" s="793"/>
      <c r="W210" s="793"/>
      <c r="X210" s="793"/>
      <c r="Y210" s="793"/>
      <c r="Z210" s="793"/>
      <c r="AA210" s="793"/>
      <c r="AB210" s="793"/>
      <c r="AC210" s="52"/>
      <c r="AD210" s="52"/>
      <c r="AE210" s="52"/>
      <c r="AF210" s="52"/>
      <c r="AG210" s="52"/>
      <c r="AN210" s="11"/>
      <c r="AO210" s="2"/>
      <c r="AP210" s="2"/>
      <c r="AQ210" s="2"/>
      <c r="AR210" s="2"/>
    </row>
    <row r="211" spans="1:44" s="776" customFormat="1">
      <c r="A211" s="939"/>
      <c r="B211" s="74" t="s">
        <v>142</v>
      </c>
      <c r="C211" s="938"/>
      <c r="D211" s="938"/>
      <c r="E211" s="1026"/>
      <c r="F211" s="793"/>
      <c r="G211" s="793"/>
      <c r="H211" s="793"/>
      <c r="I211" s="793"/>
      <c r="J211" s="793"/>
      <c r="K211" s="793"/>
      <c r="L211" s="793"/>
      <c r="M211" s="793"/>
      <c r="N211" s="793"/>
      <c r="O211" s="793"/>
      <c r="P211" s="793"/>
      <c r="Q211" s="793"/>
      <c r="R211" s="793"/>
      <c r="S211" s="793"/>
      <c r="T211" s="793"/>
      <c r="U211" s="793"/>
      <c r="V211" s="793"/>
      <c r="W211" s="793"/>
      <c r="X211" s="793"/>
      <c r="Y211" s="793"/>
      <c r="Z211" s="793"/>
      <c r="AA211" s="793"/>
      <c r="AB211" s="793"/>
      <c r="AC211" s="52"/>
      <c r="AD211" s="52"/>
      <c r="AE211" s="52"/>
      <c r="AF211" s="52"/>
      <c r="AG211" s="52"/>
      <c r="AN211" s="11"/>
      <c r="AO211" s="2"/>
      <c r="AP211" s="2"/>
      <c r="AQ211" s="2"/>
      <c r="AR211" s="2"/>
    </row>
    <row r="212" spans="1:44" s="776" customFormat="1">
      <c r="A212" s="939"/>
      <c r="B212" s="242" t="s">
        <v>1408</v>
      </c>
      <c r="C212" s="939"/>
      <c r="D212" s="939"/>
      <c r="E212" s="1026"/>
      <c r="F212" s="793"/>
      <c r="G212" s="793"/>
      <c r="H212" s="793"/>
      <c r="I212" s="793"/>
      <c r="J212" s="793"/>
      <c r="K212" s="793"/>
      <c r="L212" s="793"/>
      <c r="M212" s="793"/>
      <c r="N212" s="793">
        <v>-1000</v>
      </c>
      <c r="O212" s="793">
        <v>-500</v>
      </c>
      <c r="P212" s="793">
        <v>-4800</v>
      </c>
      <c r="Q212" s="793">
        <v>-300</v>
      </c>
      <c r="R212" s="793">
        <v>-174000</v>
      </c>
      <c r="S212" s="793">
        <v>2000</v>
      </c>
      <c r="T212" s="793">
        <v>-107000</v>
      </c>
      <c r="U212" s="793">
        <v>-7000</v>
      </c>
      <c r="V212" s="793">
        <v>-19000</v>
      </c>
      <c r="W212" s="793">
        <v>1000</v>
      </c>
      <c r="X212" s="793">
        <v>4000</v>
      </c>
      <c r="Y212" s="793">
        <v>-7000</v>
      </c>
      <c r="Z212" s="793">
        <v>-3000</v>
      </c>
      <c r="AA212" s="793">
        <v>0</v>
      </c>
      <c r="AB212" s="793">
        <v>1000</v>
      </c>
      <c r="AC212" s="52"/>
      <c r="AD212" s="52"/>
      <c r="AE212" s="52"/>
      <c r="AF212" s="52"/>
      <c r="AG212" s="52"/>
      <c r="AN212" s="11"/>
      <c r="AO212" s="2"/>
      <c r="AP212" s="2"/>
      <c r="AQ212" s="2"/>
      <c r="AR212" s="2"/>
    </row>
    <row r="213" spans="1:44" s="776" customFormat="1">
      <c r="A213" s="939"/>
      <c r="B213" s="242" t="s">
        <v>143</v>
      </c>
      <c r="C213" s="939"/>
      <c r="D213" s="939"/>
      <c r="E213" s="1026"/>
      <c r="F213" s="892"/>
      <c r="G213" s="892"/>
      <c r="H213" s="892"/>
      <c r="I213" s="892"/>
      <c r="J213" s="892"/>
      <c r="K213" s="892"/>
      <c r="L213" s="892"/>
      <c r="M213" s="892"/>
      <c r="N213" s="892">
        <v>500</v>
      </c>
      <c r="O213" s="892"/>
      <c r="P213" s="892">
        <v>9200</v>
      </c>
      <c r="Q213" s="892">
        <v>18300</v>
      </c>
      <c r="R213" s="892">
        <v>11000</v>
      </c>
      <c r="S213" s="892">
        <v>60000</v>
      </c>
      <c r="T213" s="892">
        <v>25000</v>
      </c>
      <c r="U213" s="892">
        <v>0</v>
      </c>
      <c r="V213" s="892">
        <v>38000</v>
      </c>
      <c r="W213" s="892">
        <v>-4000</v>
      </c>
      <c r="X213" s="892">
        <v>10000</v>
      </c>
      <c r="Y213" s="892">
        <v>2000</v>
      </c>
      <c r="Z213" s="892">
        <v>5000</v>
      </c>
      <c r="AA213" s="892">
        <v>58000</v>
      </c>
      <c r="AB213" s="892">
        <v>-6000</v>
      </c>
      <c r="AC213" s="52"/>
      <c r="AD213" s="52"/>
      <c r="AE213" s="52"/>
      <c r="AF213" s="52"/>
      <c r="AG213" s="52"/>
      <c r="AN213" s="11"/>
      <c r="AO213" s="2"/>
      <c r="AP213" s="2"/>
      <c r="AQ213" s="2"/>
      <c r="AR213" s="2"/>
    </row>
    <row r="214" spans="1:44" s="776" customFormat="1">
      <c r="A214" s="939"/>
      <c r="B214" s="242" t="s">
        <v>144</v>
      </c>
      <c r="C214" s="939"/>
      <c r="D214" s="939"/>
      <c r="E214" s="1026"/>
      <c r="F214" s="793">
        <f t="shared" ref="F214:AA214" si="138">SUM(F205:F213)</f>
        <v>0</v>
      </c>
      <c r="G214" s="793">
        <f t="shared" si="138"/>
        <v>0</v>
      </c>
      <c r="H214" s="793">
        <f t="shared" si="138"/>
        <v>0</v>
      </c>
      <c r="I214" s="793">
        <f t="shared" si="138"/>
        <v>0</v>
      </c>
      <c r="J214" s="793">
        <f t="shared" si="138"/>
        <v>0</v>
      </c>
      <c r="K214" s="793">
        <f t="shared" si="138"/>
        <v>0</v>
      </c>
      <c r="L214" s="793">
        <f t="shared" si="138"/>
        <v>0</v>
      </c>
      <c r="M214" s="793">
        <f t="shared" si="138"/>
        <v>0</v>
      </c>
      <c r="N214" s="793">
        <f t="shared" si="138"/>
        <v>-25000</v>
      </c>
      <c r="O214" s="793">
        <f t="shared" si="138"/>
        <v>-31700</v>
      </c>
      <c r="P214" s="793">
        <f t="shared" si="138"/>
        <v>151000</v>
      </c>
      <c r="Q214" s="793">
        <f t="shared" si="138"/>
        <v>89400</v>
      </c>
      <c r="R214" s="793">
        <f t="shared" si="138"/>
        <v>-73000</v>
      </c>
      <c r="S214" s="793">
        <f t="shared" si="138"/>
        <v>-7000</v>
      </c>
      <c r="T214" s="793">
        <f t="shared" si="138"/>
        <v>-194000</v>
      </c>
      <c r="U214" s="793">
        <f t="shared" si="138"/>
        <v>-45000</v>
      </c>
      <c r="V214" s="793">
        <f t="shared" si="138"/>
        <v>37000</v>
      </c>
      <c r="W214" s="793">
        <f t="shared" si="138"/>
        <v>68000</v>
      </c>
      <c r="X214" s="793">
        <f t="shared" si="138"/>
        <v>23000</v>
      </c>
      <c r="Y214" s="793">
        <f t="shared" si="138"/>
        <v>8000</v>
      </c>
      <c r="Z214" s="793">
        <f t="shared" si="138"/>
        <v>-10000</v>
      </c>
      <c r="AA214" s="793">
        <f t="shared" si="138"/>
        <v>199000</v>
      </c>
      <c r="AB214" s="793">
        <f t="shared" ref="AB214" si="139">SUM(AB205:AB213)</f>
        <v>-273000</v>
      </c>
      <c r="AC214" s="52"/>
      <c r="AD214" s="52"/>
      <c r="AE214" s="52"/>
      <c r="AF214" s="52"/>
      <c r="AG214" s="52"/>
      <c r="AN214" s="11"/>
      <c r="AO214" s="2"/>
      <c r="AP214" s="2"/>
      <c r="AQ214" s="2"/>
      <c r="AR214" s="2"/>
    </row>
    <row r="215" spans="1:44" s="776" customFormat="1">
      <c r="A215" s="939"/>
      <c r="B215" s="242"/>
      <c r="C215" s="939"/>
      <c r="D215" s="939"/>
      <c r="E215" s="1026"/>
      <c r="F215" s="793"/>
      <c r="G215" s="793"/>
      <c r="H215" s="793"/>
      <c r="I215" s="793"/>
      <c r="J215" s="793"/>
      <c r="K215" s="793"/>
      <c r="L215" s="793"/>
      <c r="M215" s="793"/>
      <c r="N215" s="793"/>
      <c r="O215" s="793"/>
      <c r="P215" s="793"/>
      <c r="Q215" s="793"/>
      <c r="R215" s="793"/>
      <c r="S215" s="793"/>
      <c r="T215" s="793"/>
      <c r="U215" s="793"/>
      <c r="V215" s="793"/>
      <c r="W215" s="793"/>
      <c r="X215" s="793"/>
      <c r="Y215" s="793"/>
      <c r="Z215" s="793"/>
      <c r="AA215" s="793"/>
      <c r="AB215" s="793"/>
      <c r="AC215" s="52"/>
      <c r="AD215" s="52"/>
      <c r="AE215" s="52"/>
      <c r="AF215" s="52"/>
      <c r="AG215" s="52"/>
      <c r="AN215" s="11"/>
      <c r="AO215" s="2"/>
      <c r="AP215" s="2"/>
      <c r="AQ215" s="2"/>
      <c r="AR215" s="2"/>
    </row>
    <row r="216" spans="1:44" s="776" customFormat="1">
      <c r="A216" s="939"/>
      <c r="B216" s="74" t="s">
        <v>145</v>
      </c>
      <c r="C216" s="938"/>
      <c r="D216" s="938"/>
      <c r="E216" s="1026"/>
      <c r="F216" s="793"/>
      <c r="G216" s="793"/>
      <c r="H216" s="793"/>
      <c r="I216" s="793"/>
      <c r="J216" s="793"/>
      <c r="K216" s="793"/>
      <c r="L216" s="793"/>
      <c r="M216" s="793"/>
      <c r="N216" s="793"/>
      <c r="O216" s="793"/>
      <c r="P216" s="793"/>
      <c r="Q216" s="793"/>
      <c r="R216" s="793"/>
      <c r="S216" s="793"/>
      <c r="T216" s="793"/>
      <c r="U216" s="793"/>
      <c r="V216" s="793"/>
      <c r="W216" s="793"/>
      <c r="X216" s="793"/>
      <c r="Y216" s="793"/>
      <c r="Z216" s="793"/>
      <c r="AA216" s="793"/>
      <c r="AB216" s="793"/>
      <c r="AC216" s="52"/>
      <c r="AD216" s="52"/>
      <c r="AE216" s="52"/>
      <c r="AF216" s="52"/>
      <c r="AG216" s="52"/>
      <c r="AN216" s="11"/>
      <c r="AO216" s="2"/>
      <c r="AP216" s="2"/>
      <c r="AQ216" s="2"/>
      <c r="AR216" s="2"/>
    </row>
    <row r="217" spans="1:44" s="776" customFormat="1">
      <c r="A217" s="939"/>
      <c r="B217" s="791" t="s">
        <v>146</v>
      </c>
      <c r="C217" s="939"/>
      <c r="D217" s="939"/>
      <c r="E217" s="1026"/>
      <c r="F217" s="899"/>
      <c r="G217" s="899"/>
      <c r="H217" s="899"/>
      <c r="I217" s="899"/>
      <c r="J217" s="899"/>
      <c r="K217" s="899"/>
      <c r="L217" s="899"/>
      <c r="M217" s="899"/>
      <c r="N217" s="899">
        <v>8200</v>
      </c>
      <c r="O217" s="899">
        <v>10500</v>
      </c>
      <c r="P217" s="899">
        <v>-45300</v>
      </c>
      <c r="Q217" s="899">
        <v>-21500</v>
      </c>
      <c r="R217" s="899">
        <v>-13000</v>
      </c>
      <c r="S217" s="899">
        <v>13000</v>
      </c>
      <c r="T217" s="899">
        <v>62000</v>
      </c>
      <c r="U217" s="899">
        <v>10000</v>
      </c>
      <c r="V217" s="899">
        <v>-13000</v>
      </c>
      <c r="W217" s="899">
        <v>-20000</v>
      </c>
      <c r="X217" s="899">
        <v>-2000</v>
      </c>
      <c r="Y217" s="899">
        <v>-3000</v>
      </c>
      <c r="Z217" s="899">
        <v>4000</v>
      </c>
      <c r="AA217" s="899">
        <v>-58000</v>
      </c>
      <c r="AB217" s="899">
        <v>77000</v>
      </c>
      <c r="AC217" s="52"/>
      <c r="AD217" s="52"/>
      <c r="AE217" s="52"/>
      <c r="AF217" s="52"/>
      <c r="AG217" s="52"/>
      <c r="AN217" s="11"/>
      <c r="AO217" s="2"/>
      <c r="AP217" s="2"/>
      <c r="AQ217" s="2"/>
      <c r="AR217" s="2"/>
    </row>
    <row r="218" spans="1:44" s="776" customFormat="1">
      <c r="A218" s="939"/>
      <c r="B218" s="242" t="s">
        <v>147</v>
      </c>
      <c r="C218" s="939"/>
      <c r="D218" s="939"/>
      <c r="E218" s="1026"/>
      <c r="F218" s="793"/>
      <c r="G218" s="793"/>
      <c r="H218" s="793"/>
      <c r="I218" s="793"/>
      <c r="J218" s="793"/>
      <c r="K218" s="793"/>
      <c r="L218" s="793"/>
      <c r="M218" s="793"/>
      <c r="N218" s="793"/>
      <c r="O218" s="793"/>
      <c r="P218" s="793"/>
      <c r="Q218" s="793"/>
      <c r="R218" s="793"/>
      <c r="S218" s="793"/>
      <c r="T218" s="793"/>
      <c r="U218" s="793"/>
      <c r="V218" s="793"/>
      <c r="W218" s="793"/>
      <c r="X218" s="793"/>
      <c r="Y218" s="793"/>
      <c r="Z218" s="793"/>
      <c r="AA218" s="793"/>
      <c r="AB218" s="793"/>
      <c r="AC218" s="52"/>
      <c r="AD218" s="52"/>
      <c r="AE218" s="52"/>
      <c r="AF218" s="52"/>
      <c r="AG218" s="52"/>
      <c r="AN218" s="11"/>
      <c r="AO218" s="2"/>
      <c r="AP218" s="2"/>
      <c r="AQ218" s="2"/>
      <c r="AR218" s="2"/>
    </row>
    <row r="219" spans="1:44" s="776" customFormat="1">
      <c r="A219" s="939"/>
      <c r="B219" s="242" t="s">
        <v>148</v>
      </c>
      <c r="C219" s="939"/>
      <c r="D219" s="939"/>
      <c r="E219" s="1026"/>
      <c r="F219" s="793"/>
      <c r="G219" s="793"/>
      <c r="H219" s="793"/>
      <c r="I219" s="793"/>
      <c r="J219" s="793"/>
      <c r="K219" s="793"/>
      <c r="L219" s="793"/>
      <c r="M219" s="793"/>
      <c r="N219" s="793"/>
      <c r="O219" s="793"/>
      <c r="P219" s="793"/>
      <c r="Q219" s="793"/>
      <c r="R219" s="793"/>
      <c r="S219" s="793">
        <v>0</v>
      </c>
      <c r="T219" s="793"/>
      <c r="U219" s="793">
        <v>0</v>
      </c>
      <c r="V219" s="793">
        <v>-28000</v>
      </c>
      <c r="W219" s="793">
        <v>0</v>
      </c>
      <c r="X219" s="793">
        <v>0</v>
      </c>
      <c r="Y219" s="793">
        <v>0</v>
      </c>
      <c r="Z219" s="793">
        <v>0</v>
      </c>
      <c r="AA219" s="793"/>
      <c r="AB219" s="793"/>
      <c r="AC219" s="52"/>
      <c r="AD219" s="52"/>
      <c r="AE219" s="52"/>
      <c r="AF219" s="52"/>
      <c r="AG219" s="52"/>
      <c r="AN219" s="11"/>
      <c r="AO219" s="2"/>
      <c r="AP219" s="2"/>
      <c r="AQ219" s="2"/>
      <c r="AR219" s="2"/>
    </row>
    <row r="220" spans="1:44" s="776" customFormat="1">
      <c r="A220" s="939"/>
      <c r="B220" s="242" t="s">
        <v>149</v>
      </c>
      <c r="C220" s="939"/>
      <c r="D220" s="939"/>
      <c r="E220" s="1026"/>
      <c r="F220" s="793"/>
      <c r="G220" s="793"/>
      <c r="H220" s="793"/>
      <c r="I220" s="793"/>
      <c r="J220" s="793"/>
      <c r="K220" s="793"/>
      <c r="L220" s="793"/>
      <c r="M220" s="793"/>
      <c r="N220" s="793"/>
      <c r="O220" s="793"/>
      <c r="P220" s="793"/>
      <c r="Q220" s="793"/>
      <c r="R220" s="793">
        <v>0</v>
      </c>
      <c r="S220" s="793">
        <v>24000</v>
      </c>
      <c r="T220" s="793"/>
      <c r="U220" s="793">
        <v>0</v>
      </c>
      <c r="V220" s="793">
        <v>-34000</v>
      </c>
      <c r="W220" s="793">
        <v>0</v>
      </c>
      <c r="X220" s="793">
        <v>0</v>
      </c>
      <c r="Y220" s="793">
        <v>0</v>
      </c>
      <c r="Z220" s="793">
        <v>0</v>
      </c>
      <c r="AA220" s="793"/>
      <c r="AB220" s="793"/>
      <c r="AC220" s="52"/>
      <c r="AD220" s="52"/>
      <c r="AE220" s="52"/>
      <c r="AF220" s="52"/>
      <c r="AG220" s="52"/>
      <c r="AN220" s="11"/>
      <c r="AO220" s="2"/>
      <c r="AP220" s="2"/>
      <c r="AQ220" s="2"/>
      <c r="AR220" s="2"/>
    </row>
    <row r="221" spans="1:44" s="776" customFormat="1">
      <c r="A221" s="939"/>
      <c r="B221" s="242" t="s">
        <v>150</v>
      </c>
      <c r="C221" s="939"/>
      <c r="D221" s="939"/>
      <c r="E221" s="1026"/>
      <c r="F221" s="892"/>
      <c r="G221" s="892"/>
      <c r="H221" s="892"/>
      <c r="I221" s="892"/>
      <c r="J221" s="892"/>
      <c r="K221" s="892"/>
      <c r="L221" s="892"/>
      <c r="M221" s="892"/>
      <c r="N221" s="892">
        <v>-16700</v>
      </c>
      <c r="O221" s="892">
        <v>-2900</v>
      </c>
      <c r="P221" s="892"/>
      <c r="Q221" s="892"/>
      <c r="R221" s="892">
        <v>2000</v>
      </c>
      <c r="S221" s="892">
        <v>1000</v>
      </c>
      <c r="T221" s="892"/>
      <c r="U221" s="892"/>
      <c r="V221" s="892"/>
      <c r="W221" s="892"/>
      <c r="X221" s="892"/>
      <c r="Y221" s="892"/>
      <c r="Z221" s="892"/>
      <c r="AA221" s="892"/>
      <c r="AB221" s="892"/>
      <c r="AC221" s="52"/>
      <c r="AD221" s="52"/>
      <c r="AE221" s="52"/>
      <c r="AF221" s="52"/>
      <c r="AG221" s="52"/>
      <c r="AN221" s="11"/>
      <c r="AO221" s="2"/>
      <c r="AP221" s="2"/>
      <c r="AQ221" s="2"/>
      <c r="AR221" s="2"/>
    </row>
    <row r="222" spans="1:44" s="776" customFormat="1">
      <c r="A222" s="939"/>
      <c r="B222" s="791" t="s">
        <v>151</v>
      </c>
      <c r="C222" s="939"/>
      <c r="D222" s="939"/>
      <c r="E222" s="1026"/>
      <c r="F222" s="793"/>
      <c r="G222" s="793">
        <f t="shared" ref="G222:AB222" si="140">G202+G214+G217+G219+G220+G221</f>
        <v>0</v>
      </c>
      <c r="H222" s="793">
        <f t="shared" si="140"/>
        <v>0</v>
      </c>
      <c r="I222" s="793">
        <f t="shared" si="140"/>
        <v>0</v>
      </c>
      <c r="J222" s="793">
        <f t="shared" si="140"/>
        <v>0</v>
      </c>
      <c r="K222" s="793">
        <f t="shared" si="140"/>
        <v>0</v>
      </c>
      <c r="L222" s="793">
        <f t="shared" si="140"/>
        <v>0</v>
      </c>
      <c r="M222" s="793">
        <f t="shared" si="140"/>
        <v>0</v>
      </c>
      <c r="N222" s="793">
        <f t="shared" si="140"/>
        <v>207700</v>
      </c>
      <c r="O222" s="793">
        <f t="shared" si="140"/>
        <v>104500</v>
      </c>
      <c r="P222" s="793">
        <f t="shared" si="140"/>
        <v>195000</v>
      </c>
      <c r="Q222" s="793">
        <f t="shared" si="140"/>
        <v>251900</v>
      </c>
      <c r="R222" s="793">
        <f t="shared" si="140"/>
        <v>219000</v>
      </c>
      <c r="S222" s="793">
        <f t="shared" si="140"/>
        <v>106000</v>
      </c>
      <c r="T222" s="793">
        <f t="shared" si="140"/>
        <v>163000</v>
      </c>
      <c r="U222" s="793">
        <f t="shared" si="140"/>
        <v>195000</v>
      </c>
      <c r="V222" s="793">
        <f t="shared" si="140"/>
        <v>209000</v>
      </c>
      <c r="W222" s="793">
        <f t="shared" si="140"/>
        <v>233000</v>
      </c>
      <c r="X222" s="793">
        <f t="shared" si="140"/>
        <v>221000</v>
      </c>
      <c r="Y222" s="793">
        <f t="shared" si="140"/>
        <v>206000</v>
      </c>
      <c r="Z222" s="793">
        <f t="shared" si="140"/>
        <v>333000</v>
      </c>
      <c r="AA222" s="793">
        <f t="shared" si="140"/>
        <v>317000</v>
      </c>
      <c r="AB222" s="793">
        <f t="shared" si="140"/>
        <v>232000</v>
      </c>
      <c r="AC222" s="52"/>
      <c r="AD222" s="52"/>
      <c r="AE222" s="52"/>
      <c r="AF222" s="52"/>
      <c r="AG222" s="52"/>
      <c r="AN222" s="11"/>
      <c r="AO222" s="2"/>
      <c r="AP222" s="2"/>
      <c r="AQ222" s="2"/>
      <c r="AR222" s="2"/>
    </row>
    <row r="223" spans="1:44" s="776" customFormat="1">
      <c r="A223" s="939"/>
      <c r="B223" s="791"/>
      <c r="C223" s="939"/>
      <c r="D223" s="939"/>
      <c r="E223" s="1026"/>
      <c r="F223" s="793"/>
      <c r="G223" s="793"/>
      <c r="H223" s="793"/>
      <c r="I223" s="793"/>
      <c r="J223" s="793"/>
      <c r="K223" s="793"/>
      <c r="L223" s="793"/>
      <c r="M223" s="793"/>
      <c r="N223" s="793"/>
      <c r="O223" s="793"/>
      <c r="P223" s="793"/>
      <c r="Q223" s="793"/>
      <c r="R223" s="793"/>
      <c r="S223" s="793"/>
      <c r="T223" s="793"/>
      <c r="U223" s="793"/>
      <c r="V223" s="793"/>
      <c r="W223" s="793"/>
      <c r="X223" s="793"/>
      <c r="Y223" s="793"/>
      <c r="Z223" s="793"/>
      <c r="AA223" s="793"/>
      <c r="AB223" s="793"/>
      <c r="AC223" s="52"/>
      <c r="AD223" s="52"/>
      <c r="AE223" s="52"/>
      <c r="AF223" s="52"/>
      <c r="AG223" s="52"/>
      <c r="AN223" s="11"/>
      <c r="AO223" s="2"/>
      <c r="AP223" s="2"/>
      <c r="AQ223" s="2"/>
      <c r="AR223" s="2"/>
    </row>
    <row r="224" spans="1:44" s="776" customFormat="1">
      <c r="A224" s="939"/>
      <c r="B224" s="791" t="s">
        <v>152</v>
      </c>
      <c r="C224" s="939"/>
      <c r="D224" s="939"/>
      <c r="E224" s="1026"/>
      <c r="F224" s="793"/>
      <c r="G224" s="793"/>
      <c r="H224" s="793"/>
      <c r="I224" s="793"/>
      <c r="J224" s="793"/>
      <c r="K224" s="793"/>
      <c r="L224" s="793"/>
      <c r="M224" s="793"/>
      <c r="AC224" s="52"/>
      <c r="AD224" s="52"/>
      <c r="AE224" s="52"/>
      <c r="AF224" s="52"/>
      <c r="AG224" s="52"/>
      <c r="AN224" s="11"/>
      <c r="AO224" s="2"/>
      <c r="AP224" s="2"/>
      <c r="AQ224" s="2"/>
      <c r="AR224" s="2"/>
    </row>
    <row r="225" spans="1:44" s="776" customFormat="1">
      <c r="A225" s="939"/>
      <c r="B225" s="69" t="s">
        <v>1338</v>
      </c>
      <c r="C225" s="939"/>
      <c r="D225" s="939"/>
      <c r="E225" s="1026" t="s">
        <v>153</v>
      </c>
      <c r="F225" s="793"/>
      <c r="G225" s="793"/>
      <c r="H225" s="793"/>
      <c r="I225" s="793"/>
      <c r="J225" s="793"/>
      <c r="K225" s="793"/>
      <c r="L225" s="793"/>
      <c r="M225" s="793"/>
      <c r="N225" s="1088">
        <f t="shared" ref="N225:AA225" si="141">N217/SUM(N205:N209)</f>
        <v>-0.33469387755102042</v>
      </c>
      <c r="O225" s="1088">
        <f t="shared" si="141"/>
        <v>-0.33653846153846156</v>
      </c>
      <c r="P225" s="1088">
        <f t="shared" si="141"/>
        <v>-0.30900409276944063</v>
      </c>
      <c r="Q225" s="1088">
        <f t="shared" si="141"/>
        <v>-0.30112044817927169</v>
      </c>
      <c r="R225" s="1088">
        <f t="shared" si="141"/>
        <v>-0.14444444444444443</v>
      </c>
      <c r="S225" s="1088">
        <f t="shared" si="141"/>
        <v>-0.18840579710144928</v>
      </c>
      <c r="T225" s="1088">
        <f t="shared" si="141"/>
        <v>-0.5535714285714286</v>
      </c>
      <c r="U225" s="1088">
        <f t="shared" si="141"/>
        <v>-0.26315789473684209</v>
      </c>
      <c r="V225" s="1088">
        <f t="shared" si="141"/>
        <v>-0.72222222222222221</v>
      </c>
      <c r="W225" s="1088">
        <f t="shared" si="141"/>
        <v>-0.28169014084507044</v>
      </c>
      <c r="X225" s="1088">
        <f t="shared" si="141"/>
        <v>-0.22222222222222221</v>
      </c>
      <c r="Y225" s="1088">
        <f t="shared" si="141"/>
        <v>-0.23076923076923078</v>
      </c>
      <c r="Z225" s="1088">
        <f t="shared" si="141"/>
        <v>-0.33333333333333331</v>
      </c>
      <c r="AA225" s="1088">
        <f t="shared" si="141"/>
        <v>-0.41134751773049644</v>
      </c>
      <c r="AB225" s="1088">
        <f t="shared" ref="AB225" si="142">AB217/SUM(AB205:AB209)</f>
        <v>-0.28731343283582089</v>
      </c>
      <c r="AC225" s="52"/>
      <c r="AD225" s="52"/>
      <c r="AE225" s="52"/>
      <c r="AF225" s="52"/>
      <c r="AG225" s="52"/>
      <c r="AN225" s="11"/>
      <c r="AO225" s="2"/>
      <c r="AP225" s="2"/>
      <c r="AQ225" s="2"/>
      <c r="AR225" s="2"/>
    </row>
    <row r="226" spans="1:44" s="776" customFormat="1">
      <c r="A226" s="793"/>
      <c r="B226" s="69" t="s">
        <v>1339</v>
      </c>
      <c r="C226" s="69"/>
      <c r="D226" s="932"/>
      <c r="E226" s="1190" t="s">
        <v>154</v>
      </c>
      <c r="F226" s="892"/>
      <c r="G226" s="892"/>
      <c r="H226" s="892"/>
      <c r="I226" s="22"/>
      <c r="J226" s="22"/>
      <c r="K226" s="22"/>
      <c r="L226" s="892"/>
      <c r="M226" s="892"/>
      <c r="N226" s="604">
        <f t="shared" ref="N226:AA226" si="143">N217/N214</f>
        <v>-0.32800000000000001</v>
      </c>
      <c r="O226" s="604">
        <f t="shared" si="143"/>
        <v>-0.33123028391167192</v>
      </c>
      <c r="P226" s="604">
        <f t="shared" si="143"/>
        <v>-0.3</v>
      </c>
      <c r="Q226" s="604">
        <f t="shared" si="143"/>
        <v>-0.24049217002237136</v>
      </c>
      <c r="R226" s="604">
        <f t="shared" si="143"/>
        <v>0.17808219178082191</v>
      </c>
      <c r="S226" s="604">
        <f t="shared" si="143"/>
        <v>-1.8571428571428572</v>
      </c>
      <c r="T226" s="604">
        <f t="shared" si="143"/>
        <v>-0.31958762886597936</v>
      </c>
      <c r="U226" s="604">
        <f t="shared" si="143"/>
        <v>-0.22222222222222221</v>
      </c>
      <c r="V226" s="604">
        <f t="shared" si="143"/>
        <v>-0.35135135135135137</v>
      </c>
      <c r="W226" s="604">
        <f t="shared" si="143"/>
        <v>-0.29411764705882354</v>
      </c>
      <c r="X226" s="604">
        <f t="shared" si="143"/>
        <v>-8.6956521739130432E-2</v>
      </c>
      <c r="Y226" s="604">
        <f t="shared" si="143"/>
        <v>-0.375</v>
      </c>
      <c r="Z226" s="604">
        <f t="shared" si="143"/>
        <v>-0.4</v>
      </c>
      <c r="AA226" s="604">
        <f t="shared" si="143"/>
        <v>-0.29145728643216079</v>
      </c>
      <c r="AB226" s="604">
        <f t="shared" ref="AB226" si="144">AB217/AB214</f>
        <v>-0.28205128205128205</v>
      </c>
      <c r="AC226" s="52"/>
      <c r="AD226" s="52"/>
      <c r="AE226" s="52"/>
      <c r="AF226" s="52"/>
      <c r="AG226" s="52"/>
      <c r="AN226" s="11"/>
      <c r="AO226" s="2"/>
      <c r="AP226" s="2"/>
      <c r="AQ226" s="2"/>
      <c r="AR226" s="2"/>
    </row>
    <row r="227" spans="1:44" s="776" customFormat="1">
      <c r="A227" s="793"/>
      <c r="B227" s="69" t="s">
        <v>155</v>
      </c>
      <c r="C227" s="69"/>
      <c r="D227" s="932"/>
      <c r="E227" s="1190"/>
      <c r="F227" s="793"/>
      <c r="G227" s="793"/>
      <c r="H227" s="793"/>
      <c r="I227" s="10"/>
      <c r="J227" s="10"/>
      <c r="K227" s="10"/>
      <c r="L227" s="793"/>
      <c r="M227" s="793"/>
      <c r="N227" s="1191">
        <f t="shared" ref="N227:AA227" si="145">N226-N225</f>
        <v>6.6938775510204107E-3</v>
      </c>
      <c r="O227" s="1191">
        <f t="shared" si="145"/>
        <v>5.3081776267896452E-3</v>
      </c>
      <c r="P227" s="1191">
        <f t="shared" si="145"/>
        <v>9.0040927694406414E-3</v>
      </c>
      <c r="Q227" s="1191">
        <f t="shared" si="145"/>
        <v>6.0628278156900334E-2</v>
      </c>
      <c r="R227" s="1191">
        <f t="shared" si="145"/>
        <v>0.32252663622526634</v>
      </c>
      <c r="S227" s="1191">
        <f t="shared" si="145"/>
        <v>-1.668737060041408</v>
      </c>
      <c r="T227" s="1191">
        <f t="shared" si="145"/>
        <v>0.23398379970544925</v>
      </c>
      <c r="U227" s="1191">
        <f t="shared" si="145"/>
        <v>4.0935672514619881E-2</v>
      </c>
      <c r="V227" s="1191">
        <f t="shared" si="145"/>
        <v>0.37087087087087084</v>
      </c>
      <c r="W227" s="1191">
        <f t="shared" si="145"/>
        <v>-1.2427506213753103E-2</v>
      </c>
      <c r="X227" s="1191">
        <f t="shared" si="145"/>
        <v>0.13526570048309178</v>
      </c>
      <c r="Y227" s="1191">
        <f t="shared" si="145"/>
        <v>-0.14423076923076922</v>
      </c>
      <c r="Z227" s="1191">
        <f t="shared" si="145"/>
        <v>-6.6666666666666707E-2</v>
      </c>
      <c r="AA227" s="1191">
        <f t="shared" si="145"/>
        <v>0.11989023129833565</v>
      </c>
      <c r="AB227" s="1191">
        <f t="shared" ref="AB227" si="146">AB226-AB225</f>
        <v>5.2621507845388438E-3</v>
      </c>
      <c r="AC227" s="52"/>
      <c r="AD227" s="52"/>
      <c r="AE227" s="52"/>
      <c r="AF227" s="52"/>
      <c r="AG227" s="52"/>
      <c r="AN227" s="11"/>
      <c r="AO227" s="2"/>
      <c r="AP227" s="2"/>
      <c r="AQ227" s="2"/>
      <c r="AR227" s="2"/>
    </row>
    <row r="228" spans="1:44" s="776" customFormat="1">
      <c r="A228" s="793"/>
      <c r="B228" s="69"/>
      <c r="C228" s="69"/>
      <c r="D228" s="932"/>
      <c r="E228" s="1190"/>
      <c r="F228" s="793"/>
      <c r="G228" s="793"/>
      <c r="H228" s="793"/>
      <c r="I228" s="10"/>
      <c r="J228" s="10"/>
      <c r="K228" s="10"/>
      <c r="L228" s="793"/>
      <c r="M228" s="793"/>
      <c r="N228" s="1088"/>
      <c r="O228" s="1088"/>
      <c r="P228" s="1088"/>
      <c r="Q228" s="1088"/>
      <c r="R228" s="1088"/>
      <c r="S228" s="1088"/>
      <c r="T228" s="1088"/>
      <c r="U228" s="1088"/>
      <c r="V228" s="1088"/>
      <c r="W228" s="1088"/>
      <c r="X228" s="1088"/>
      <c r="Y228" s="1088"/>
      <c r="Z228" s="1088"/>
      <c r="AA228" s="1088"/>
      <c r="AB228" s="1088"/>
      <c r="AC228" s="242"/>
      <c r="AD228" s="52"/>
      <c r="AE228" s="52"/>
      <c r="AF228" s="52"/>
      <c r="AG228" s="52"/>
      <c r="AN228" s="11"/>
      <c r="AO228" s="2"/>
      <c r="AP228" s="2"/>
      <c r="AQ228" s="2"/>
      <c r="AR228" s="2"/>
    </row>
    <row r="229" spans="1:44" s="776" customFormat="1" ht="18">
      <c r="A229" s="1232" t="s">
        <v>28</v>
      </c>
      <c r="B229" s="1231"/>
      <c r="C229" s="1232"/>
      <c r="D229" s="1232"/>
      <c r="E229" s="1443" t="s">
        <v>1407</v>
      </c>
      <c r="F229" s="1444"/>
      <c r="G229" s="1444"/>
      <c r="H229" s="1444"/>
      <c r="I229" s="38"/>
      <c r="J229" s="38"/>
      <c r="K229" s="38"/>
      <c r="L229" s="898"/>
      <c r="M229" s="898"/>
      <c r="N229" s="1233"/>
      <c r="O229" s="1233"/>
      <c r="P229" s="1233"/>
      <c r="Q229" s="1233"/>
      <c r="R229" s="1233"/>
      <c r="S229" s="1233"/>
      <c r="T229" s="1233"/>
      <c r="U229" s="1233"/>
      <c r="V229" s="1233"/>
      <c r="W229" s="1431" t="s">
        <v>28</v>
      </c>
      <c r="X229" s="1432"/>
      <c r="Y229" s="1432"/>
      <c r="Z229" s="1432"/>
      <c r="AA229" s="1433"/>
      <c r="AB229" s="1380">
        <v>2.5</v>
      </c>
      <c r="AC229" s="1376"/>
      <c r="AD229" s="52"/>
      <c r="AE229" s="52"/>
      <c r="AF229" s="52"/>
      <c r="AG229" s="52"/>
      <c r="AN229" s="11"/>
      <c r="AO229" s="2"/>
      <c r="AP229" s="2"/>
      <c r="AQ229" s="2"/>
      <c r="AR229" s="2"/>
    </row>
    <row r="230" spans="1:44" s="776" customFormat="1">
      <c r="A230" s="1177"/>
      <c r="B230" s="881"/>
      <c r="C230" s="1177"/>
      <c r="D230" s="1177"/>
      <c r="E230" s="1189"/>
      <c r="F230" s="69">
        <v>0</v>
      </c>
      <c r="G230" s="69">
        <f t="shared" ref="G230:AB230" si="147">F230+1</f>
        <v>1</v>
      </c>
      <c r="H230" s="69">
        <f t="shared" si="147"/>
        <v>2</v>
      </c>
      <c r="I230" s="69">
        <f t="shared" si="147"/>
        <v>3</v>
      </c>
      <c r="J230" s="69">
        <f t="shared" si="147"/>
        <v>4</v>
      </c>
      <c r="K230" s="69">
        <f t="shared" si="147"/>
        <v>5</v>
      </c>
      <c r="L230" s="69">
        <f t="shared" si="147"/>
        <v>6</v>
      </c>
      <c r="M230" s="69">
        <f t="shared" si="147"/>
        <v>7</v>
      </c>
      <c r="N230" s="649">
        <f t="shared" si="147"/>
        <v>8</v>
      </c>
      <c r="O230" s="73">
        <f t="shared" si="147"/>
        <v>9</v>
      </c>
      <c r="P230" s="73">
        <f t="shared" si="147"/>
        <v>10</v>
      </c>
      <c r="Q230" s="73">
        <f t="shared" si="147"/>
        <v>11</v>
      </c>
      <c r="R230" s="73">
        <f t="shared" si="147"/>
        <v>12</v>
      </c>
      <c r="S230" s="73">
        <f t="shared" si="147"/>
        <v>13</v>
      </c>
      <c r="T230" s="73">
        <f t="shared" si="147"/>
        <v>14</v>
      </c>
      <c r="U230" s="73">
        <f t="shared" si="147"/>
        <v>15</v>
      </c>
      <c r="V230" s="73">
        <f t="shared" si="147"/>
        <v>16</v>
      </c>
      <c r="W230" s="73">
        <f t="shared" si="147"/>
        <v>17</v>
      </c>
      <c r="X230" s="73">
        <f t="shared" si="147"/>
        <v>18</v>
      </c>
      <c r="Y230" s="73">
        <f t="shared" si="147"/>
        <v>19</v>
      </c>
      <c r="Z230" s="73">
        <f t="shared" si="147"/>
        <v>20</v>
      </c>
      <c r="AA230" s="73">
        <f t="shared" si="147"/>
        <v>21</v>
      </c>
      <c r="AB230" s="73">
        <f t="shared" si="147"/>
        <v>22</v>
      </c>
      <c r="AC230" s="52"/>
      <c r="AD230" s="52"/>
      <c r="AE230" s="52"/>
      <c r="AF230" s="52"/>
      <c r="AG230" s="52"/>
      <c r="AN230" s="11"/>
      <c r="AO230" s="2"/>
      <c r="AP230" s="2"/>
      <c r="AQ230" s="2"/>
      <c r="AR230" s="2"/>
    </row>
    <row r="231" spans="1:44" s="776" customFormat="1">
      <c r="A231" s="1225" t="s">
        <v>33</v>
      </c>
      <c r="B231" s="1225"/>
      <c r="C231" s="1225"/>
      <c r="D231" s="1225"/>
      <c r="E231" s="1190"/>
      <c r="F231" s="1202">
        <f t="shared" ref="F231:AB231" si="148">F3</f>
        <v>1999</v>
      </c>
      <c r="G231" s="1202">
        <f t="shared" si="148"/>
        <v>2000</v>
      </c>
      <c r="H231" s="1202">
        <f t="shared" si="148"/>
        <v>2001</v>
      </c>
      <c r="I231" s="1202">
        <f t="shared" si="148"/>
        <v>2002</v>
      </c>
      <c r="J231" s="1202">
        <f t="shared" si="148"/>
        <v>2003</v>
      </c>
      <c r="K231" s="1202">
        <f t="shared" si="148"/>
        <v>2004</v>
      </c>
      <c r="L231" s="1202">
        <f t="shared" si="148"/>
        <v>2005</v>
      </c>
      <c r="M231" s="1202">
        <f t="shared" si="148"/>
        <v>2006</v>
      </c>
      <c r="N231" s="1202">
        <f t="shared" si="148"/>
        <v>2007</v>
      </c>
      <c r="O231" s="1202">
        <f t="shared" si="148"/>
        <v>2008</v>
      </c>
      <c r="P231" s="1202">
        <f t="shared" si="148"/>
        <v>2009</v>
      </c>
      <c r="Q231" s="1202">
        <f t="shared" si="148"/>
        <v>2010</v>
      </c>
      <c r="R231" s="1202">
        <f t="shared" si="148"/>
        <v>2011</v>
      </c>
      <c r="S231" s="1202">
        <f t="shared" si="148"/>
        <v>2012</v>
      </c>
      <c r="T231" s="1202">
        <f t="shared" si="148"/>
        <v>2013</v>
      </c>
      <c r="U231" s="1202">
        <f t="shared" si="148"/>
        <v>2014</v>
      </c>
      <c r="V231" s="1202">
        <f t="shared" si="148"/>
        <v>2015</v>
      </c>
      <c r="W231" s="1202">
        <f t="shared" si="148"/>
        <v>2016</v>
      </c>
      <c r="X231" s="1202">
        <f t="shared" si="148"/>
        <v>2017</v>
      </c>
      <c r="Y231" s="1202">
        <f t="shared" si="148"/>
        <v>2018</v>
      </c>
      <c r="Z231" s="1202">
        <f t="shared" si="148"/>
        <v>2019</v>
      </c>
      <c r="AA231" s="1202">
        <f t="shared" si="148"/>
        <v>2020</v>
      </c>
      <c r="AB231" s="1202">
        <f t="shared" si="148"/>
        <v>2021</v>
      </c>
      <c r="AC231" s="52"/>
      <c r="AD231" s="52"/>
      <c r="AE231" s="52"/>
      <c r="AF231" s="52"/>
      <c r="AG231" s="52"/>
      <c r="AN231" s="11"/>
      <c r="AO231" s="2"/>
      <c r="AP231" s="2"/>
      <c r="AQ231" s="2"/>
      <c r="AR231" s="2"/>
    </row>
    <row r="232" spans="1:44" s="776" customFormat="1">
      <c r="A232" s="932"/>
      <c r="B232" s="52" t="s">
        <v>156</v>
      </c>
      <c r="C232" s="52"/>
      <c r="D232" s="932"/>
      <c r="E232" s="793"/>
      <c r="F232" s="932"/>
      <c r="G232" s="932"/>
      <c r="H232" s="932"/>
      <c r="I232" s="932"/>
      <c r="J232" s="932"/>
      <c r="K232" s="932"/>
      <c r="L232" s="793"/>
      <c r="M232" s="793"/>
      <c r="N232" s="793"/>
      <c r="O232" s="793"/>
      <c r="P232" s="793"/>
      <c r="Q232" s="793"/>
      <c r="R232" s="793"/>
      <c r="S232" s="793"/>
      <c r="T232" s="793"/>
      <c r="U232" s="793">
        <v>10000</v>
      </c>
      <c r="V232" s="793">
        <v>8000</v>
      </c>
      <c r="W232" s="793">
        <v>6000</v>
      </c>
      <c r="X232" s="793">
        <v>6000</v>
      </c>
      <c r="Y232" s="793">
        <v>6000</v>
      </c>
      <c r="Z232" s="793">
        <v>0</v>
      </c>
      <c r="AA232" s="793">
        <v>0</v>
      </c>
      <c r="AB232" s="793">
        <v>0</v>
      </c>
      <c r="AC232" s="52"/>
      <c r="AD232" s="52"/>
      <c r="AE232" s="52"/>
      <c r="AF232" s="52"/>
      <c r="AG232" s="52"/>
      <c r="AN232" s="11"/>
      <c r="AO232" s="2"/>
      <c r="AP232" s="2"/>
      <c r="AQ232" s="2"/>
      <c r="AR232" s="2"/>
    </row>
    <row r="233" spans="1:44" s="776" customFormat="1">
      <c r="A233" s="932"/>
      <c r="B233" s="52" t="s">
        <v>157</v>
      </c>
      <c r="C233" s="52"/>
      <c r="D233" s="932"/>
      <c r="E233" s="793"/>
      <c r="F233" s="932"/>
      <c r="G233" s="932"/>
      <c r="H233" s="932"/>
      <c r="I233" s="932"/>
      <c r="J233" s="932"/>
      <c r="K233" s="932"/>
      <c r="L233" s="793"/>
      <c r="M233" s="793"/>
      <c r="N233" s="793"/>
      <c r="O233" s="793"/>
      <c r="P233" s="793"/>
      <c r="Q233" s="793"/>
      <c r="R233" s="793"/>
      <c r="S233" s="793"/>
      <c r="T233" s="793"/>
      <c r="U233" s="793">
        <v>6000</v>
      </c>
      <c r="V233" s="793">
        <v>3000</v>
      </c>
      <c r="W233" s="793">
        <v>0</v>
      </c>
      <c r="X233" s="793">
        <v>0</v>
      </c>
      <c r="Y233" s="793">
        <v>0</v>
      </c>
      <c r="Z233" s="793">
        <v>0</v>
      </c>
      <c r="AA233" s="793">
        <v>0</v>
      </c>
      <c r="AB233" s="793">
        <v>0</v>
      </c>
      <c r="AC233" s="52"/>
      <c r="AD233" s="52"/>
      <c r="AE233" s="52"/>
      <c r="AF233" s="52"/>
      <c r="AG233" s="52"/>
      <c r="AN233" s="11"/>
      <c r="AO233" s="2"/>
      <c r="AP233" s="2"/>
      <c r="AQ233" s="2"/>
      <c r="AR233" s="2"/>
    </row>
    <row r="234" spans="1:44" s="776" customFormat="1">
      <c r="A234" s="932"/>
      <c r="B234" s="52" t="s">
        <v>158</v>
      </c>
      <c r="C234" s="52"/>
      <c r="D234" s="932"/>
      <c r="E234" s="793"/>
      <c r="F234" s="932"/>
      <c r="G234" s="932"/>
      <c r="H234" s="932"/>
      <c r="I234" s="932"/>
      <c r="J234" s="932"/>
      <c r="K234" s="932"/>
      <c r="L234" s="793"/>
      <c r="M234" s="793"/>
      <c r="N234" s="793"/>
      <c r="O234" s="793"/>
      <c r="P234" s="793"/>
      <c r="Q234" s="793"/>
      <c r="R234" s="793"/>
      <c r="S234" s="793"/>
      <c r="T234" s="793"/>
      <c r="U234" s="793">
        <v>5000</v>
      </c>
      <c r="V234" s="793">
        <v>5000</v>
      </c>
      <c r="W234" s="793">
        <v>5000</v>
      </c>
      <c r="X234" s="793">
        <v>2000</v>
      </c>
      <c r="Y234" s="793">
        <v>0</v>
      </c>
      <c r="Z234" s="793">
        <v>0</v>
      </c>
      <c r="AA234" s="793">
        <v>0</v>
      </c>
      <c r="AB234" s="793">
        <v>0</v>
      </c>
      <c r="AC234" s="52"/>
      <c r="AD234" s="52"/>
      <c r="AE234" s="52"/>
      <c r="AF234" s="52"/>
      <c r="AG234" s="52"/>
      <c r="AN234" s="11"/>
      <c r="AO234" s="2"/>
      <c r="AP234" s="2"/>
      <c r="AQ234" s="2"/>
      <c r="AR234" s="2"/>
    </row>
    <row r="235" spans="1:44" s="776" customFormat="1">
      <c r="A235" s="932"/>
      <c r="B235" s="52" t="s">
        <v>159</v>
      </c>
      <c r="C235" s="52"/>
      <c r="D235" s="932"/>
      <c r="E235" s="793"/>
      <c r="F235" s="932"/>
      <c r="G235" s="932"/>
      <c r="H235" s="932"/>
      <c r="I235" s="932"/>
      <c r="J235" s="932"/>
      <c r="K235" s="932"/>
      <c r="L235" s="793"/>
      <c r="M235" s="793"/>
      <c r="N235" s="793"/>
      <c r="O235" s="793"/>
      <c r="P235" s="793"/>
      <c r="Q235" s="793"/>
      <c r="R235" s="793"/>
      <c r="S235" s="793"/>
      <c r="T235" s="793"/>
      <c r="U235" s="793">
        <v>2000</v>
      </c>
      <c r="V235" s="793">
        <v>7000</v>
      </c>
      <c r="W235" s="793">
        <v>5000</v>
      </c>
      <c r="X235" s="793">
        <v>11000</v>
      </c>
      <c r="Y235" s="793">
        <v>15000</v>
      </c>
      <c r="Z235" s="793">
        <v>0</v>
      </c>
      <c r="AA235" s="793">
        <v>0</v>
      </c>
      <c r="AB235" s="793">
        <v>0</v>
      </c>
      <c r="AC235" s="52"/>
      <c r="AD235" s="52"/>
      <c r="AE235" s="52"/>
      <c r="AF235" s="52"/>
      <c r="AG235" s="52"/>
      <c r="AN235" s="11"/>
      <c r="AO235" s="2"/>
      <c r="AP235" s="2"/>
      <c r="AQ235" s="2"/>
      <c r="AR235" s="2"/>
    </row>
    <row r="236" spans="1:44" s="776" customFormat="1">
      <c r="A236" s="932"/>
      <c r="B236" s="52" t="s">
        <v>160</v>
      </c>
      <c r="C236" s="52"/>
      <c r="D236" s="932"/>
      <c r="E236" s="793"/>
      <c r="F236" s="932"/>
      <c r="G236" s="932"/>
      <c r="H236" s="932"/>
      <c r="I236" s="932"/>
      <c r="J236" s="932"/>
      <c r="K236" s="932"/>
      <c r="L236" s="793"/>
      <c r="M236" s="793"/>
      <c r="N236" s="793"/>
      <c r="O236" s="793"/>
      <c r="P236" s="793"/>
      <c r="Q236" s="793"/>
      <c r="R236" s="793"/>
      <c r="S236" s="793"/>
      <c r="T236" s="793"/>
      <c r="U236" s="793">
        <v>3000</v>
      </c>
      <c r="V236" s="793">
        <v>1000</v>
      </c>
      <c r="W236" s="793">
        <v>0</v>
      </c>
      <c r="X236" s="793">
        <v>0</v>
      </c>
      <c r="Y236" s="793">
        <v>0</v>
      </c>
      <c r="Z236" s="793">
        <v>0</v>
      </c>
      <c r="AA236" s="793">
        <v>0</v>
      </c>
      <c r="AB236" s="793">
        <v>0</v>
      </c>
      <c r="AC236" s="52"/>
      <c r="AD236" s="52"/>
      <c r="AE236" s="52"/>
      <c r="AF236" s="52"/>
      <c r="AG236" s="52"/>
      <c r="AN236" s="11"/>
      <c r="AO236" s="2"/>
      <c r="AP236" s="2"/>
      <c r="AQ236" s="2"/>
      <c r="AR236" s="2"/>
    </row>
    <row r="237" spans="1:44" s="776" customFormat="1">
      <c r="A237" s="932"/>
      <c r="B237" s="52" t="s">
        <v>161</v>
      </c>
      <c r="C237" s="52"/>
      <c r="D237" s="932"/>
      <c r="E237" s="793"/>
      <c r="F237" s="933"/>
      <c r="G237" s="933"/>
      <c r="H237" s="933"/>
      <c r="I237" s="933"/>
      <c r="J237" s="933"/>
      <c r="K237" s="933"/>
      <c r="L237" s="892"/>
      <c r="M237" s="892"/>
      <c r="N237" s="892"/>
      <c r="O237" s="892"/>
      <c r="P237" s="892"/>
      <c r="Q237" s="892"/>
      <c r="R237" s="892"/>
      <c r="S237" s="892"/>
      <c r="T237" s="892"/>
      <c r="U237" s="892">
        <v>1000</v>
      </c>
      <c r="V237" s="892">
        <v>1000</v>
      </c>
      <c r="W237" s="892">
        <v>1000</v>
      </c>
      <c r="X237" s="892">
        <v>0</v>
      </c>
      <c r="Y237" s="892">
        <v>1000</v>
      </c>
      <c r="Z237" s="892">
        <v>0</v>
      </c>
      <c r="AA237" s="892">
        <v>0</v>
      </c>
      <c r="AB237" s="892">
        <v>0</v>
      </c>
      <c r="AC237" s="52"/>
      <c r="AD237" s="52"/>
      <c r="AE237" s="52"/>
      <c r="AF237" s="52"/>
      <c r="AG237" s="52"/>
      <c r="AN237" s="11"/>
      <c r="AO237" s="2"/>
      <c r="AP237" s="2"/>
      <c r="AQ237" s="2"/>
      <c r="AR237" s="2"/>
    </row>
    <row r="238" spans="1:44" s="776" customFormat="1">
      <c r="A238" s="932"/>
      <c r="B238" s="52" t="s">
        <v>162</v>
      </c>
      <c r="C238" s="52"/>
      <c r="D238" s="932"/>
      <c r="E238" s="793"/>
      <c r="F238" s="932"/>
      <c r="G238" s="932"/>
      <c r="H238" s="932"/>
      <c r="I238" s="932"/>
      <c r="J238" s="932"/>
      <c r="K238" s="932"/>
      <c r="L238" s="793"/>
      <c r="M238" s="793"/>
      <c r="N238" s="793"/>
      <c r="O238" s="793"/>
      <c r="P238" s="793"/>
      <c r="Q238" s="793"/>
      <c r="R238" s="793"/>
      <c r="S238" s="793"/>
      <c r="T238" s="793"/>
      <c r="U238" s="793">
        <f>SUM(U232:U237)</f>
        <v>27000</v>
      </c>
      <c r="V238" s="793">
        <f t="shared" ref="V238:AB238" si="149">SUM(V232:V237)</f>
        <v>25000</v>
      </c>
      <c r="W238" s="793">
        <f t="shared" si="149"/>
        <v>17000</v>
      </c>
      <c r="X238" s="793">
        <f t="shared" si="149"/>
        <v>19000</v>
      </c>
      <c r="Y238" s="793">
        <f t="shared" si="149"/>
        <v>22000</v>
      </c>
      <c r="Z238" s="793">
        <f t="shared" si="149"/>
        <v>0</v>
      </c>
      <c r="AA238" s="793">
        <f t="shared" si="149"/>
        <v>0</v>
      </c>
      <c r="AB238" s="793">
        <f t="shared" si="149"/>
        <v>0</v>
      </c>
      <c r="AC238" s="52"/>
      <c r="AD238" s="52"/>
      <c r="AE238" s="52"/>
      <c r="AF238" s="52"/>
      <c r="AG238" s="52"/>
      <c r="AN238" s="11"/>
      <c r="AO238" s="2"/>
      <c r="AP238" s="2"/>
      <c r="AQ238" s="2"/>
      <c r="AR238" s="2"/>
    </row>
    <row r="239" spans="1:44" s="776" customFormat="1" ht="15.75">
      <c r="A239" s="1225" t="s">
        <v>163</v>
      </c>
      <c r="B239" s="1232"/>
      <c r="C239" s="781"/>
      <c r="D239" s="1232"/>
      <c r="E239" s="1234"/>
      <c r="F239" s="1217"/>
      <c r="G239" s="1217"/>
      <c r="H239" s="1217"/>
      <c r="I239" s="1217"/>
      <c r="J239" s="1217"/>
      <c r="K239" s="1217"/>
      <c r="L239" s="1217"/>
      <c r="M239" s="1217"/>
      <c r="N239" s="1217"/>
      <c r="O239" s="1217"/>
      <c r="P239" s="1217"/>
      <c r="Q239" s="1217"/>
      <c r="R239" s="1217"/>
      <c r="S239" s="1217"/>
      <c r="T239" s="1217"/>
      <c r="U239" s="1217"/>
      <c r="V239" s="1217"/>
      <c r="W239" s="1217"/>
      <c r="X239" s="1217"/>
      <c r="Y239" s="1217"/>
      <c r="Z239" s="1217"/>
      <c r="AA239" s="793"/>
      <c r="AB239" s="793"/>
      <c r="AC239" s="52"/>
      <c r="AD239" s="52"/>
      <c r="AE239" s="52"/>
      <c r="AF239" s="52"/>
      <c r="AG239" s="52"/>
      <c r="AN239" s="11"/>
      <c r="AO239" s="2"/>
      <c r="AP239" s="2"/>
      <c r="AQ239" s="2"/>
      <c r="AR239" s="2"/>
    </row>
    <row r="240" spans="1:44" s="776" customFormat="1">
      <c r="A240" s="932"/>
      <c r="B240" s="69" t="s">
        <v>164</v>
      </c>
      <c r="C240" s="932"/>
      <c r="D240" s="932"/>
      <c r="E240" s="932"/>
      <c r="F240" s="793"/>
      <c r="G240" s="793"/>
      <c r="H240" s="793"/>
      <c r="I240" s="793"/>
      <c r="J240" s="793"/>
      <c r="K240" s="793"/>
      <c r="L240" s="793"/>
      <c r="M240" s="793"/>
      <c r="N240" s="793"/>
      <c r="O240" s="52"/>
      <c r="P240" s="793"/>
      <c r="Q240" s="793"/>
      <c r="R240" s="793"/>
      <c r="S240" s="793"/>
      <c r="T240" s="793"/>
      <c r="U240" s="793"/>
      <c r="V240" s="793"/>
      <c r="W240" s="793"/>
      <c r="X240" s="793"/>
      <c r="Y240" s="793"/>
      <c r="Z240" s="793"/>
      <c r="AA240" s="793"/>
      <c r="AB240" s="793"/>
      <c r="AC240" s="52"/>
      <c r="AD240" s="52"/>
      <c r="AE240" s="52"/>
      <c r="AF240" s="52"/>
      <c r="AG240" s="52"/>
      <c r="AN240" s="11"/>
      <c r="AO240" s="2"/>
      <c r="AP240" s="2"/>
      <c r="AQ240" s="2"/>
      <c r="AR240" s="2"/>
    </row>
    <row r="241" spans="1:44" s="776" customFormat="1">
      <c r="A241" s="932"/>
      <c r="B241" s="52" t="s">
        <v>165</v>
      </c>
      <c r="C241" s="932"/>
      <c r="D241" s="932"/>
      <c r="E241" s="932"/>
      <c r="F241" s="793">
        <v>-10644</v>
      </c>
      <c r="G241" s="793">
        <v>-43699</v>
      </c>
      <c r="H241" s="793">
        <v>-39977</v>
      </c>
      <c r="I241" s="793">
        <v>-51538</v>
      </c>
      <c r="J241" s="793">
        <v>-59008</v>
      </c>
      <c r="K241" s="793">
        <v>-89248</v>
      </c>
      <c r="L241" s="793">
        <v>-93995</v>
      </c>
      <c r="M241" s="793">
        <v>-71427</v>
      </c>
      <c r="N241" s="793"/>
      <c r="O241" s="242"/>
      <c r="P241" s="793"/>
      <c r="Q241" s="793"/>
      <c r="R241" s="793"/>
      <c r="S241" s="793"/>
      <c r="T241" s="793"/>
      <c r="U241" s="793"/>
      <c r="V241" s="793"/>
      <c r="W241" s="793"/>
      <c r="X241" s="793"/>
      <c r="Y241" s="793"/>
      <c r="Z241" s="793"/>
      <c r="AA241" s="793"/>
      <c r="AB241" s="793"/>
      <c r="AC241" s="52"/>
      <c r="AD241" s="52"/>
      <c r="AE241" s="52"/>
      <c r="AF241" s="52"/>
      <c r="AG241" s="52"/>
      <c r="AN241" s="11"/>
      <c r="AO241" s="2"/>
      <c r="AP241" s="2"/>
      <c r="AQ241" s="2"/>
      <c r="AR241" s="2"/>
    </row>
    <row r="242" spans="1:44" s="776" customFormat="1">
      <c r="A242" s="932"/>
      <c r="B242" s="52" t="s">
        <v>166</v>
      </c>
      <c r="C242" s="932"/>
      <c r="D242" s="932"/>
      <c r="E242" s="932"/>
      <c r="F242" s="793">
        <v>3550</v>
      </c>
      <c r="G242" s="793">
        <v>16277</v>
      </c>
      <c r="H242" s="793">
        <v>18412</v>
      </c>
      <c r="I242" s="793">
        <v>17661</v>
      </c>
      <c r="J242" s="793">
        <v>1310</v>
      </c>
      <c r="K242" s="793">
        <v>2278</v>
      </c>
      <c r="L242" s="793">
        <v>1903</v>
      </c>
      <c r="M242" s="793">
        <v>2003</v>
      </c>
      <c r="N242" s="793"/>
      <c r="O242" s="242"/>
      <c r="P242" s="793"/>
      <c r="Q242" s="793"/>
      <c r="R242" s="793"/>
      <c r="S242" s="793"/>
      <c r="T242" s="793"/>
      <c r="U242" s="793"/>
      <c r="V242" s="793"/>
      <c r="W242" s="793"/>
      <c r="X242" s="793"/>
      <c r="Y242" s="793"/>
      <c r="Z242" s="793"/>
      <c r="AA242" s="793"/>
      <c r="AB242" s="793"/>
      <c r="AC242" s="52"/>
      <c r="AD242" s="52"/>
      <c r="AE242" s="52"/>
      <c r="AF242" s="52"/>
      <c r="AG242" s="52"/>
      <c r="AN242" s="11"/>
      <c r="AO242" s="2"/>
      <c r="AP242" s="2"/>
      <c r="AQ242" s="2"/>
      <c r="AR242" s="2"/>
    </row>
    <row r="243" spans="1:44" s="776" customFormat="1">
      <c r="A243" s="932"/>
      <c r="B243" s="52" t="s">
        <v>167</v>
      </c>
      <c r="C243" s="932"/>
      <c r="D243" s="932"/>
      <c r="E243" s="932"/>
      <c r="F243" s="793">
        <v>0</v>
      </c>
      <c r="G243" s="793">
        <v>8472</v>
      </c>
      <c r="H243" s="793">
        <v>4209</v>
      </c>
      <c r="I243" s="793">
        <v>1628</v>
      </c>
      <c r="J243" s="793">
        <v>229</v>
      </c>
      <c r="K243" s="793">
        <v>25</v>
      </c>
      <c r="L243" s="793">
        <v>0</v>
      </c>
      <c r="M243" s="793">
        <v>0</v>
      </c>
      <c r="N243" s="793"/>
      <c r="O243" s="242"/>
      <c r="P243" s="793"/>
      <c r="Q243" s="899"/>
      <c r="R243" s="899"/>
      <c r="S243" s="899"/>
      <c r="T243" s="793"/>
      <c r="U243" s="793"/>
      <c r="V243" s="793"/>
      <c r="W243" s="793"/>
      <c r="X243" s="793"/>
      <c r="Y243" s="793"/>
      <c r="Z243" s="793"/>
      <c r="AA243" s="793"/>
      <c r="AB243" s="793"/>
      <c r="AC243" s="52"/>
      <c r="AD243" s="52"/>
      <c r="AE243" s="52"/>
      <c r="AF243" s="52"/>
      <c r="AG243" s="52"/>
      <c r="AN243" s="11"/>
      <c r="AO243" s="2"/>
      <c r="AP243" s="2"/>
      <c r="AQ243" s="2"/>
      <c r="AR243" s="2"/>
    </row>
    <row r="244" spans="1:44" s="776" customFormat="1">
      <c r="A244" s="932"/>
      <c r="B244" s="52"/>
      <c r="C244" s="932"/>
      <c r="D244" s="932"/>
      <c r="E244" s="932"/>
      <c r="F244" s="898">
        <f t="shared" ref="F244:M244" si="150">SUM(F241:F243)</f>
        <v>-7094</v>
      </c>
      <c r="G244" s="898">
        <f t="shared" si="150"/>
        <v>-18950</v>
      </c>
      <c r="H244" s="898">
        <f t="shared" si="150"/>
        <v>-17356</v>
      </c>
      <c r="I244" s="898">
        <f t="shared" si="150"/>
        <v>-32249</v>
      </c>
      <c r="J244" s="898">
        <f t="shared" si="150"/>
        <v>-57469</v>
      </c>
      <c r="K244" s="898">
        <f t="shared" si="150"/>
        <v>-86945</v>
      </c>
      <c r="L244" s="898">
        <f t="shared" si="150"/>
        <v>-92092</v>
      </c>
      <c r="M244" s="898">
        <f t="shared" si="150"/>
        <v>-69424</v>
      </c>
      <c r="N244" s="793"/>
      <c r="O244" s="242"/>
      <c r="P244" s="188"/>
      <c r="Q244" s="188"/>
      <c r="R244" s="188"/>
      <c r="S244" s="188"/>
      <c r="T244" s="188"/>
      <c r="U244" s="188"/>
      <c r="V244" s="188"/>
      <c r="W244" s="793"/>
      <c r="X244" s="793"/>
      <c r="Y244" s="793"/>
      <c r="Z244" s="793"/>
      <c r="AA244" s="793"/>
      <c r="AB244" s="793"/>
      <c r="AC244" s="52"/>
      <c r="AD244" s="52"/>
      <c r="AE244" s="52"/>
      <c r="AF244" s="52"/>
      <c r="AG244" s="52"/>
      <c r="AN244" s="11"/>
      <c r="AO244" s="2"/>
      <c r="AP244" s="2"/>
      <c r="AQ244" s="2"/>
      <c r="AR244" s="2"/>
    </row>
    <row r="245" spans="1:44" s="776" customFormat="1">
      <c r="A245" s="69"/>
      <c r="B245" s="69" t="s">
        <v>80</v>
      </c>
      <c r="C245" s="69"/>
      <c r="D245" s="69"/>
      <c r="E245" s="69"/>
      <c r="F245" s="745">
        <f t="shared" ref="F245:M245" si="151">F117</f>
        <v>575</v>
      </c>
      <c r="G245" s="745">
        <f t="shared" si="151"/>
        <v>2409</v>
      </c>
      <c r="H245" s="745">
        <f t="shared" si="151"/>
        <v>4056</v>
      </c>
      <c r="I245" s="745">
        <f t="shared" si="151"/>
        <v>962</v>
      </c>
      <c r="J245" s="745">
        <f t="shared" si="151"/>
        <v>1431</v>
      </c>
      <c r="K245" s="745">
        <f t="shared" si="151"/>
        <v>6547</v>
      </c>
      <c r="L245" s="745">
        <f t="shared" si="151"/>
        <v>7015</v>
      </c>
      <c r="M245" s="745">
        <f t="shared" si="151"/>
        <v>39488</v>
      </c>
      <c r="N245" s="173"/>
      <c r="O245" s="73"/>
      <c r="P245" s="793"/>
      <c r="Q245" s="793"/>
      <c r="R245" s="793"/>
      <c r="S245" s="793"/>
      <c r="T245" s="793"/>
      <c r="U245" s="793"/>
      <c r="V245" s="793"/>
      <c r="W245" s="793"/>
      <c r="X245" s="793"/>
      <c r="Y245" s="793"/>
      <c r="Z245" s="793"/>
      <c r="AA245" s="793"/>
      <c r="AB245" s="793"/>
      <c r="AC245" s="52"/>
      <c r="AD245" s="52"/>
      <c r="AE245" s="52"/>
      <c r="AF245" s="52"/>
      <c r="AG245" s="52"/>
      <c r="AN245" s="11"/>
      <c r="AO245" s="2"/>
      <c r="AP245" s="2"/>
      <c r="AQ245" s="2"/>
      <c r="AR245" s="2"/>
    </row>
    <row r="246" spans="1:44" s="776" customFormat="1">
      <c r="A246" s="52"/>
      <c r="B246" s="52"/>
      <c r="C246" s="52"/>
      <c r="D246" s="52"/>
      <c r="E246" s="52"/>
      <c r="F246" s="241">
        <f t="shared" ref="F246:M246" si="152">SUM(F244:F245)</f>
        <v>-6519</v>
      </c>
      <c r="G246" s="241">
        <f t="shared" si="152"/>
        <v>-16541</v>
      </c>
      <c r="H246" s="241">
        <f t="shared" si="152"/>
        <v>-13300</v>
      </c>
      <c r="I246" s="241">
        <f t="shared" si="152"/>
        <v>-31287</v>
      </c>
      <c r="J246" s="241">
        <f t="shared" si="152"/>
        <v>-56038</v>
      </c>
      <c r="K246" s="241">
        <f t="shared" si="152"/>
        <v>-80398</v>
      </c>
      <c r="L246" s="241">
        <f t="shared" si="152"/>
        <v>-85077</v>
      </c>
      <c r="M246" s="241">
        <f t="shared" si="152"/>
        <v>-29936</v>
      </c>
      <c r="N246" s="173"/>
      <c r="O246" s="242"/>
      <c r="P246" s="793"/>
      <c r="Q246" s="793"/>
      <c r="R246" s="793"/>
      <c r="S246" s="793"/>
      <c r="T246" s="793"/>
      <c r="U246" s="793"/>
      <c r="V246" s="73"/>
      <c r="W246" s="793"/>
      <c r="X246" s="793"/>
      <c r="Y246" s="793"/>
      <c r="Z246" s="793"/>
      <c r="AA246" s="793"/>
      <c r="AB246" s="793"/>
      <c r="AC246" s="52"/>
      <c r="AD246" s="52"/>
      <c r="AE246" s="52"/>
      <c r="AF246" s="52"/>
      <c r="AG246" s="52"/>
      <c r="AN246" s="11"/>
      <c r="AO246" s="2"/>
      <c r="AP246" s="2"/>
      <c r="AQ246" s="2"/>
      <c r="AR246" s="2"/>
    </row>
    <row r="247" spans="1:44" s="776" customFormat="1">
      <c r="A247" s="52"/>
      <c r="B247" s="52"/>
      <c r="C247" s="52"/>
      <c r="D247" s="52"/>
      <c r="E247" s="52"/>
      <c r="F247" s="241"/>
      <c r="G247" s="241"/>
      <c r="H247" s="241"/>
      <c r="I247" s="241"/>
      <c r="J247" s="241"/>
      <c r="K247" s="241"/>
      <c r="L247" s="241"/>
      <c r="M247" s="241"/>
      <c r="N247" s="173"/>
      <c r="O247" s="242"/>
      <c r="P247" s="793"/>
      <c r="Q247" s="793"/>
      <c r="R247" s="793"/>
      <c r="S247" s="793"/>
      <c r="T247" s="793"/>
      <c r="U247" s="793"/>
      <c r="V247" s="73"/>
      <c r="W247" s="793"/>
      <c r="X247" s="793"/>
      <c r="Y247" s="793"/>
      <c r="Z247" s="793"/>
      <c r="AA247" s="793"/>
      <c r="AB247" s="793"/>
      <c r="AC247" s="52"/>
      <c r="AD247" s="52"/>
      <c r="AE247" s="52"/>
      <c r="AF247" s="52"/>
      <c r="AG247" s="52"/>
      <c r="AN247" s="11"/>
      <c r="AO247" s="2"/>
      <c r="AP247" s="2"/>
      <c r="AQ247" s="2"/>
      <c r="AR247" s="2"/>
    </row>
    <row r="248" spans="1:44" s="776" customFormat="1">
      <c r="A248" s="52"/>
      <c r="B248" s="52" t="s">
        <v>168</v>
      </c>
      <c r="C248" s="52"/>
      <c r="D248" s="52"/>
      <c r="E248" s="52"/>
      <c r="F248" s="745">
        <f t="shared" ref="F248:M248" si="153">F51</f>
        <v>-6519</v>
      </c>
      <c r="G248" s="745">
        <f t="shared" si="153"/>
        <v>-16541</v>
      </c>
      <c r="H248" s="745">
        <f t="shared" si="153"/>
        <v>-13300</v>
      </c>
      <c r="I248" s="745">
        <f t="shared" si="153"/>
        <v>-31287</v>
      </c>
      <c r="J248" s="745">
        <f t="shared" si="153"/>
        <v>-56038</v>
      </c>
      <c r="K248" s="745">
        <f t="shared" si="153"/>
        <v>-80398</v>
      </c>
      <c r="L248" s="745">
        <f t="shared" si="153"/>
        <v>-85077</v>
      </c>
      <c r="M248" s="745">
        <f t="shared" si="153"/>
        <v>-29936</v>
      </c>
      <c r="N248" s="173"/>
      <c r="O248" s="242"/>
      <c r="P248" s="793"/>
      <c r="Q248" s="793"/>
      <c r="R248" s="793"/>
      <c r="S248" s="793"/>
      <c r="T248" s="793"/>
      <c r="U248" s="793"/>
      <c r="V248" s="73"/>
      <c r="W248" s="793"/>
      <c r="X248" s="793"/>
      <c r="Y248" s="793"/>
      <c r="Z248" s="793"/>
      <c r="AA248" s="793"/>
      <c r="AB248" s="793"/>
      <c r="AC248" s="52"/>
      <c r="AD248" s="52"/>
      <c r="AE248" s="52"/>
      <c r="AF248" s="52"/>
      <c r="AG248" s="52"/>
      <c r="AN248" s="11"/>
      <c r="AO248" s="2"/>
      <c r="AP248" s="2"/>
      <c r="AQ248" s="2"/>
      <c r="AR248" s="2"/>
    </row>
    <row r="249" spans="1:44" s="776" customFormat="1">
      <c r="A249" s="69"/>
      <c r="B249" s="69"/>
      <c r="C249" s="69"/>
      <c r="D249" s="69"/>
      <c r="E249" s="69"/>
      <c r="F249" s="793">
        <f>F246-F248</f>
        <v>0</v>
      </c>
      <c r="G249" s="793">
        <f t="shared" ref="G249:M249" si="154">G246-G248</f>
        <v>0</v>
      </c>
      <c r="H249" s="793">
        <f t="shared" si="154"/>
        <v>0</v>
      </c>
      <c r="I249" s="793">
        <f t="shared" si="154"/>
        <v>0</v>
      </c>
      <c r="J249" s="793">
        <f t="shared" si="154"/>
        <v>0</v>
      </c>
      <c r="K249" s="793">
        <f t="shared" si="154"/>
        <v>0</v>
      </c>
      <c r="L249" s="793">
        <f t="shared" si="154"/>
        <v>0</v>
      </c>
      <c r="M249" s="793">
        <f t="shared" si="154"/>
        <v>0</v>
      </c>
      <c r="N249" s="173"/>
      <c r="O249" s="242"/>
      <c r="P249" s="242"/>
      <c r="Q249" s="242"/>
      <c r="R249" s="242"/>
      <c r="S249" s="242"/>
      <c r="T249" s="242"/>
      <c r="U249" s="242"/>
      <c r="V249" s="242"/>
      <c r="W249" s="793"/>
      <c r="X249" s="793"/>
      <c r="Y249" s="793"/>
      <c r="Z249" s="793"/>
      <c r="AA249" s="793"/>
      <c r="AB249" s="793"/>
      <c r="AC249" s="52"/>
      <c r="AD249" s="52"/>
      <c r="AE249" s="52"/>
      <c r="AF249" s="52"/>
      <c r="AG249" s="52"/>
      <c r="AN249" s="11"/>
      <c r="AO249" s="2"/>
      <c r="AP249" s="2"/>
      <c r="AQ249" s="2"/>
      <c r="AR249" s="2"/>
    </row>
    <row r="250" spans="1:44" s="776" customFormat="1">
      <c r="A250" s="941" t="s">
        <v>60</v>
      </c>
      <c r="B250" s="940"/>
      <c r="C250" s="942"/>
      <c r="D250" s="942"/>
      <c r="E250" s="934"/>
      <c r="F250" s="932"/>
      <c r="G250" s="932"/>
      <c r="H250" s="932"/>
      <c r="I250" s="932"/>
      <c r="J250" s="793"/>
      <c r="K250" s="793"/>
      <c r="L250" s="793"/>
      <c r="M250" s="793"/>
      <c r="N250" s="793"/>
      <c r="O250" s="793"/>
      <c r="P250" s="793"/>
      <c r="Q250" s="793"/>
      <c r="R250" s="793"/>
      <c r="S250" s="793"/>
      <c r="T250" s="793"/>
      <c r="U250" s="793"/>
      <c r="V250" s="793"/>
      <c r="W250" s="793"/>
      <c r="X250" s="793"/>
      <c r="Y250" s="793"/>
      <c r="Z250" s="793"/>
      <c r="AA250" s="793"/>
      <c r="AB250" s="793"/>
      <c r="AC250" s="52"/>
      <c r="AD250" s="52"/>
      <c r="AE250" s="52"/>
      <c r="AF250" s="52"/>
      <c r="AG250" s="52"/>
      <c r="AN250" s="11"/>
      <c r="AO250" s="2"/>
      <c r="AP250" s="2"/>
      <c r="AQ250" s="2"/>
      <c r="AR250" s="2"/>
    </row>
    <row r="251" spans="1:44" s="776" customFormat="1">
      <c r="A251" s="932"/>
      <c r="B251" s="52" t="s">
        <v>169</v>
      </c>
      <c r="C251" s="932"/>
      <c r="D251" s="932"/>
      <c r="E251" s="793"/>
      <c r="F251" s="793"/>
      <c r="G251" s="52"/>
      <c r="H251" s="932">
        <f>'2_Inc-Stat'!H73</f>
        <v>-46146</v>
      </c>
      <c r="I251" s="932">
        <f>'2_Inc-Stat'!I73</f>
        <v>-49847</v>
      </c>
      <c r="J251" s="793">
        <f>'2_Inc-Stat'!J73</f>
        <v>-50895</v>
      </c>
      <c r="K251" s="793">
        <v>66642</v>
      </c>
      <c r="L251" s="793">
        <v>72548</v>
      </c>
      <c r="M251" s="793">
        <v>68771</v>
      </c>
      <c r="N251" s="793"/>
      <c r="O251" s="793"/>
      <c r="P251" s="793"/>
      <c r="Q251" s="793"/>
      <c r="R251" s="793"/>
      <c r="S251" s="793"/>
      <c r="T251" s="793"/>
      <c r="U251" s="793"/>
      <c r="V251" s="793"/>
      <c r="W251" s="793"/>
      <c r="X251" s="793"/>
      <c r="Y251" s="793"/>
      <c r="Z251" s="793"/>
      <c r="AA251" s="793"/>
      <c r="AB251" s="793"/>
      <c r="AC251" s="52"/>
      <c r="AD251" s="52"/>
      <c r="AE251" s="52"/>
      <c r="AF251" s="52"/>
      <c r="AG251" s="52"/>
      <c r="AN251" s="11"/>
      <c r="AO251" s="2"/>
      <c r="AP251" s="2"/>
      <c r="AQ251" s="2"/>
      <c r="AR251" s="2"/>
    </row>
    <row r="252" spans="1:44" s="776" customFormat="1">
      <c r="A252" s="932"/>
      <c r="B252" s="52" t="s">
        <v>170</v>
      </c>
      <c r="C252" s="932"/>
      <c r="D252" s="932"/>
      <c r="E252" s="793"/>
      <c r="F252" s="793"/>
      <c r="G252" s="52"/>
      <c r="H252" s="932">
        <f>'2_Inc-Stat'!H74</f>
        <v>-199</v>
      </c>
      <c r="I252" s="932">
        <f>'2_Inc-Stat'!I74</f>
        <v>-256</v>
      </c>
      <c r="J252" s="793">
        <f>'2_Inc-Stat'!J74</f>
        <v>-271</v>
      </c>
      <c r="K252" s="793">
        <v>366</v>
      </c>
      <c r="L252" s="793">
        <v>371</v>
      </c>
      <c r="M252" s="793">
        <v>250</v>
      </c>
      <c r="N252" s="793"/>
      <c r="O252" s="793"/>
      <c r="P252" s="793"/>
      <c r="Q252" s="793"/>
      <c r="R252" s="793"/>
      <c r="S252" s="793"/>
      <c r="T252" s="793"/>
      <c r="U252" s="793"/>
      <c r="V252" s="793"/>
      <c r="W252" s="793"/>
      <c r="X252" s="793"/>
      <c r="Y252" s="793"/>
      <c r="Z252" s="793"/>
      <c r="AA252" s="793"/>
      <c r="AB252" s="793"/>
      <c r="AC252" s="52"/>
      <c r="AD252" s="52"/>
      <c r="AE252" s="52"/>
      <c r="AF252" s="52"/>
      <c r="AG252" s="52"/>
      <c r="AN252" s="11"/>
      <c r="AO252" s="2"/>
      <c r="AP252" s="2"/>
      <c r="AQ252" s="2"/>
      <c r="AR252" s="2"/>
    </row>
    <row r="253" spans="1:44" s="776" customFormat="1">
      <c r="A253" s="932"/>
      <c r="B253" s="52" t="s">
        <v>171</v>
      </c>
      <c r="C253" s="932"/>
      <c r="D253" s="932"/>
      <c r="E253" s="793"/>
      <c r="F253" s="793"/>
      <c r="G253" s="69"/>
      <c r="H253" s="932">
        <f>'2_Inc-Stat'!H75</f>
        <v>-5827</v>
      </c>
      <c r="I253" s="932">
        <f>'2_Inc-Stat'!I75</f>
        <v>-8481</v>
      </c>
      <c r="J253" s="793">
        <f>'2_Inc-Stat'!J75</f>
        <v>-8520</v>
      </c>
      <c r="K253" s="793">
        <v>7537</v>
      </c>
      <c r="L253" s="793">
        <v>8215</v>
      </c>
      <c r="M253" s="793">
        <v>8245</v>
      </c>
      <c r="N253" s="793"/>
      <c r="O253" s="793"/>
      <c r="P253" s="793"/>
      <c r="Q253" s="793"/>
      <c r="R253" s="793"/>
      <c r="S253" s="793"/>
      <c r="T253" s="793"/>
      <c r="U253" s="793"/>
      <c r="V253" s="793"/>
      <c r="W253" s="793"/>
      <c r="X253" s="793"/>
      <c r="Y253" s="793"/>
      <c r="Z253" s="793"/>
      <c r="AA253" s="793"/>
      <c r="AB253" s="793"/>
      <c r="AC253" s="52"/>
      <c r="AD253" s="52"/>
      <c r="AE253" s="52"/>
      <c r="AF253" s="52"/>
      <c r="AG253" s="52"/>
      <c r="AN253" s="11"/>
      <c r="AO253" s="2"/>
      <c r="AP253" s="2"/>
      <c r="AQ253" s="2"/>
      <c r="AR253" s="2"/>
    </row>
    <row r="254" spans="1:44" s="776" customFormat="1">
      <c r="A254" s="932"/>
      <c r="B254" s="52" t="s">
        <v>172</v>
      </c>
      <c r="C254" s="932"/>
      <c r="D254" s="932"/>
      <c r="E254" s="793"/>
      <c r="F254" s="892"/>
      <c r="G254" s="67"/>
      <c r="H254" s="933"/>
      <c r="I254" s="933"/>
      <c r="J254" s="892"/>
      <c r="K254" s="892"/>
      <c r="L254" s="892">
        <v>175</v>
      </c>
      <c r="M254" s="892">
        <v>170</v>
      </c>
      <c r="N254" s="892"/>
      <c r="O254" s="892"/>
      <c r="P254" s="892"/>
      <c r="Q254" s="892"/>
      <c r="R254" s="892"/>
      <c r="S254" s="892"/>
      <c r="T254" s="892"/>
      <c r="U254" s="892"/>
      <c r="V254" s="892"/>
      <c r="W254" s="892"/>
      <c r="X254" s="892"/>
      <c r="Y254" s="892"/>
      <c r="Z254" s="892"/>
      <c r="AA254" s="892"/>
      <c r="AB254" s="892"/>
      <c r="AC254" s="52"/>
      <c r="AD254" s="52"/>
      <c r="AE254" s="52"/>
      <c r="AF254" s="52"/>
      <c r="AG254" s="52"/>
      <c r="AN254" s="11"/>
      <c r="AO254" s="2"/>
      <c r="AP254" s="2"/>
      <c r="AQ254" s="2"/>
      <c r="AR254" s="2"/>
    </row>
    <row r="255" spans="1:44" s="776" customFormat="1">
      <c r="A255" s="932"/>
      <c r="B255" s="52"/>
      <c r="C255" s="932"/>
      <c r="D255" s="932"/>
      <c r="E255" s="793"/>
      <c r="F255" s="793">
        <f t="shared" ref="F255:M255" si="155">SUM(F251:F254)</f>
        <v>0</v>
      </c>
      <c r="G255" s="793">
        <f t="shared" si="155"/>
        <v>0</v>
      </c>
      <c r="H255" s="793">
        <f t="shared" si="155"/>
        <v>-52172</v>
      </c>
      <c r="I255" s="793">
        <f t="shared" si="155"/>
        <v>-58584</v>
      </c>
      <c r="J255" s="793">
        <f t="shared" si="155"/>
        <v>-59686</v>
      </c>
      <c r="K255" s="793">
        <f t="shared" si="155"/>
        <v>74545</v>
      </c>
      <c r="L255" s="793">
        <f t="shared" si="155"/>
        <v>81309</v>
      </c>
      <c r="M255" s="793">
        <f t="shared" si="155"/>
        <v>77436</v>
      </c>
      <c r="N255" s="793"/>
      <c r="O255" s="793"/>
      <c r="P255" s="793"/>
      <c r="Q255" s="793"/>
      <c r="R255" s="793"/>
      <c r="S255" s="793"/>
      <c r="T255" s="793"/>
      <c r="U255" s="793"/>
      <c r="V255" s="793"/>
      <c r="W255" s="793"/>
      <c r="X255" s="793"/>
      <c r="Y255" s="793"/>
      <c r="Z255" s="793"/>
      <c r="AA255" s="793"/>
      <c r="AB255" s="793"/>
      <c r="AC255" s="52"/>
      <c r="AD255" s="52"/>
      <c r="AE255" s="52"/>
      <c r="AF255" s="52"/>
      <c r="AG255" s="52"/>
      <c r="AN255" s="11"/>
      <c r="AO255" s="2"/>
      <c r="AP255" s="2"/>
      <c r="AQ255" s="2"/>
      <c r="AR255" s="2"/>
    </row>
    <row r="256" spans="1:44" s="776" customFormat="1">
      <c r="A256" s="932"/>
      <c r="B256" s="52"/>
      <c r="C256" s="932"/>
      <c r="D256" s="932"/>
      <c r="E256" s="793"/>
      <c r="F256" s="793"/>
      <c r="G256" s="793"/>
      <c r="H256" s="793"/>
      <c r="I256" s="793"/>
      <c r="J256" s="793"/>
      <c r="K256" s="793"/>
      <c r="L256" s="793"/>
      <c r="M256" s="793"/>
      <c r="N256" s="793"/>
      <c r="O256" s="793"/>
      <c r="P256" s="793"/>
      <c r="Q256" s="793"/>
      <c r="R256" s="793"/>
      <c r="S256" s="793"/>
      <c r="T256" s="793"/>
      <c r="U256" s="793"/>
      <c r="V256" s="793"/>
      <c r="W256" s="793"/>
      <c r="X256" s="793"/>
      <c r="Y256" s="793"/>
      <c r="Z256" s="793"/>
      <c r="AA256" s="793"/>
      <c r="AB256" s="793"/>
      <c r="AC256" s="52"/>
      <c r="AD256" s="52"/>
      <c r="AE256" s="52"/>
      <c r="AF256" s="52"/>
      <c r="AG256" s="52"/>
      <c r="AN256" s="11"/>
      <c r="AO256" s="2"/>
      <c r="AP256" s="2"/>
      <c r="AQ256" s="2"/>
      <c r="AR256" s="2"/>
    </row>
    <row r="257" spans="1:44" s="776" customFormat="1">
      <c r="A257" s="932"/>
      <c r="B257" s="52" t="s">
        <v>173</v>
      </c>
      <c r="C257" s="52"/>
      <c r="D257" s="932"/>
      <c r="E257" s="793"/>
      <c r="F257" s="932"/>
      <c r="G257" s="932"/>
      <c r="H257" s="932"/>
      <c r="I257" s="932"/>
      <c r="J257" s="932"/>
      <c r="K257" s="932"/>
      <c r="L257" s="793">
        <v>36</v>
      </c>
      <c r="M257" s="793">
        <v>11</v>
      </c>
      <c r="N257" s="793"/>
      <c r="O257" s="793"/>
      <c r="P257" s="793"/>
      <c r="Q257" s="793"/>
      <c r="R257" s="793"/>
      <c r="S257" s="793"/>
      <c r="T257" s="793"/>
      <c r="U257" s="793"/>
      <c r="V257" s="793"/>
      <c r="W257" s="793"/>
      <c r="X257" s="793"/>
      <c r="Y257" s="793"/>
      <c r="Z257" s="793"/>
      <c r="AA257" s="793"/>
      <c r="AB257" s="793"/>
      <c r="AC257" s="52"/>
      <c r="AD257" s="52"/>
      <c r="AE257" s="52"/>
      <c r="AF257" s="52"/>
      <c r="AG257" s="52"/>
      <c r="AN257" s="11"/>
      <c r="AO257" s="2"/>
      <c r="AP257" s="2"/>
      <c r="AQ257" s="2"/>
      <c r="AR257" s="2"/>
    </row>
    <row r="258" spans="1:44" s="776" customFormat="1">
      <c r="A258" s="932"/>
      <c r="B258" s="52" t="s">
        <v>169</v>
      </c>
      <c r="C258" s="52"/>
      <c r="D258" s="932"/>
      <c r="E258" s="793"/>
      <c r="F258" s="932"/>
      <c r="G258" s="932"/>
      <c r="H258" s="932"/>
      <c r="I258" s="932"/>
      <c r="J258" s="932"/>
      <c r="K258" s="932"/>
      <c r="L258" s="793">
        <v>7337</v>
      </c>
      <c r="M258" s="793">
        <v>5760</v>
      </c>
      <c r="N258" s="793"/>
      <c r="O258" s="793"/>
      <c r="P258" s="793"/>
      <c r="Q258" s="793"/>
      <c r="R258" s="793"/>
      <c r="S258" s="793"/>
      <c r="T258" s="793"/>
      <c r="U258" s="793"/>
      <c r="V258" s="793"/>
      <c r="W258" s="793"/>
      <c r="X258" s="793"/>
      <c r="Y258" s="793"/>
      <c r="Z258" s="793"/>
      <c r="AA258" s="793"/>
      <c r="AB258" s="793"/>
      <c r="AC258" s="52"/>
      <c r="AD258" s="52"/>
      <c r="AE258" s="52"/>
      <c r="AF258" s="52"/>
      <c r="AG258" s="52"/>
      <c r="AN258" s="11"/>
      <c r="AO258" s="2"/>
      <c r="AP258" s="2"/>
      <c r="AQ258" s="2"/>
      <c r="AR258" s="2"/>
    </row>
    <row r="259" spans="1:44" s="776" customFormat="1">
      <c r="A259" s="932"/>
      <c r="B259" s="52" t="s">
        <v>171</v>
      </c>
      <c r="C259" s="52"/>
      <c r="D259" s="932"/>
      <c r="E259" s="793"/>
      <c r="F259" s="933"/>
      <c r="G259" s="933"/>
      <c r="H259" s="933"/>
      <c r="I259" s="933"/>
      <c r="J259" s="933"/>
      <c r="K259" s="933"/>
      <c r="L259" s="892">
        <v>518</v>
      </c>
      <c r="M259" s="892">
        <v>279</v>
      </c>
      <c r="N259" s="892"/>
      <c r="O259" s="892"/>
      <c r="P259" s="892"/>
      <c r="Q259" s="892"/>
      <c r="R259" s="892"/>
      <c r="S259" s="892"/>
      <c r="T259" s="892"/>
      <c r="U259" s="892"/>
      <c r="V259" s="892"/>
      <c r="W259" s="892"/>
      <c r="X259" s="892"/>
      <c r="Y259" s="892"/>
      <c r="Z259" s="892"/>
      <c r="AA259" s="892"/>
      <c r="AB259" s="892"/>
      <c r="AC259" s="52"/>
      <c r="AD259" s="52"/>
      <c r="AE259" s="52"/>
      <c r="AF259" s="52"/>
      <c r="AG259" s="52"/>
      <c r="AN259" s="11"/>
      <c r="AO259" s="2"/>
      <c r="AP259" s="2"/>
      <c r="AQ259" s="2"/>
      <c r="AR259" s="2"/>
    </row>
    <row r="260" spans="1:44" s="776" customFormat="1">
      <c r="A260" s="932"/>
      <c r="B260" s="52"/>
      <c r="C260" s="52"/>
      <c r="D260" s="932"/>
      <c r="E260" s="793"/>
      <c r="F260" s="932"/>
      <c r="G260" s="932"/>
      <c r="H260" s="932"/>
      <c r="I260" s="932"/>
      <c r="J260" s="932"/>
      <c r="K260" s="932"/>
      <c r="L260" s="793">
        <f>SUM(L257:L259)</f>
        <v>7891</v>
      </c>
      <c r="M260" s="793">
        <f t="shared" ref="M260:N260" si="156">SUM(M257:M259)</f>
        <v>6050</v>
      </c>
      <c r="N260" s="793">
        <f t="shared" si="156"/>
        <v>0</v>
      </c>
      <c r="O260" s="793"/>
      <c r="P260" s="793"/>
      <c r="Q260" s="793"/>
      <c r="R260" s="793"/>
      <c r="S260" s="793"/>
      <c r="T260" s="793"/>
      <c r="U260" s="793"/>
      <c r="V260" s="793"/>
      <c r="W260" s="793"/>
      <c r="X260" s="793"/>
      <c r="Y260" s="793"/>
      <c r="Z260" s="793"/>
      <c r="AA260" s="793"/>
      <c r="AB260" s="793"/>
      <c r="AC260" s="52"/>
      <c r="AD260" s="52"/>
      <c r="AE260" s="52"/>
      <c r="AF260" s="52"/>
      <c r="AG260" s="52"/>
      <c r="AN260" s="11"/>
      <c r="AO260" s="2"/>
      <c r="AP260" s="2"/>
      <c r="AQ260" s="2"/>
      <c r="AR260" s="2"/>
    </row>
    <row r="261" spans="1:44" s="776" customFormat="1">
      <c r="A261" s="880"/>
      <c r="B261" s="7" t="s">
        <v>174</v>
      </c>
      <c r="C261" s="81"/>
      <c r="D261" s="81"/>
      <c r="E261" s="793"/>
      <c r="F261" s="793">
        <f t="shared" ref="F261:Z261" si="157">F26+F27</f>
        <v>-14877</v>
      </c>
      <c r="G261" s="793">
        <f t="shared" si="157"/>
        <v>-52277</v>
      </c>
      <c r="H261" s="793">
        <f t="shared" si="157"/>
        <v>-55629</v>
      </c>
      <c r="I261" s="793">
        <f t="shared" si="157"/>
        <v>-66131</v>
      </c>
      <c r="J261" s="793">
        <f t="shared" si="157"/>
        <v>-73564</v>
      </c>
      <c r="K261" s="793">
        <f t="shared" si="157"/>
        <v>-100746</v>
      </c>
      <c r="L261" s="793">
        <f t="shared" si="157"/>
        <v>-89008</v>
      </c>
      <c r="M261" s="793">
        <f t="shared" si="157"/>
        <v>-84740</v>
      </c>
      <c r="N261" s="793">
        <f t="shared" si="157"/>
        <v>-117363</v>
      </c>
      <c r="O261" s="793">
        <f t="shared" si="157"/>
        <v>-152671</v>
      </c>
      <c r="P261" s="793">
        <f t="shared" si="157"/>
        <v>-163095</v>
      </c>
      <c r="Q261" s="793">
        <f t="shared" si="157"/>
        <v>-188030</v>
      </c>
      <c r="R261" s="793">
        <f t="shared" si="157"/>
        <v>-224324</v>
      </c>
      <c r="S261" s="793">
        <f t="shared" si="157"/>
        <v>-225100</v>
      </c>
      <c r="T261" s="793">
        <f t="shared" si="157"/>
        <v>-219700</v>
      </c>
      <c r="U261" s="793">
        <f t="shared" si="157"/>
        <v>-220000</v>
      </c>
      <c r="V261" s="793">
        <f t="shared" si="157"/>
        <v>-239000</v>
      </c>
      <c r="W261" s="793">
        <f t="shared" si="157"/>
        <v>-236000</v>
      </c>
      <c r="X261" s="793">
        <f t="shared" si="157"/>
        <v>-264000</v>
      </c>
      <c r="Y261" s="793">
        <f t="shared" si="157"/>
        <v>-268000</v>
      </c>
      <c r="Z261" s="793">
        <f t="shared" si="157"/>
        <v>-276000</v>
      </c>
      <c r="AA261" s="793"/>
      <c r="AB261" s="793"/>
      <c r="AC261" s="52"/>
      <c r="AD261" s="52"/>
      <c r="AE261" s="52"/>
      <c r="AF261" s="52"/>
      <c r="AG261" s="52"/>
      <c r="AN261" s="11"/>
      <c r="AO261" s="2"/>
      <c r="AP261" s="2"/>
      <c r="AQ261" s="2"/>
      <c r="AR261" s="2"/>
    </row>
    <row r="262" spans="1:44" s="776" customFormat="1">
      <c r="A262" s="932"/>
      <c r="B262" s="52"/>
      <c r="C262" s="52"/>
      <c r="D262" s="932"/>
      <c r="E262" s="793"/>
      <c r="F262" s="932"/>
      <c r="G262" s="932"/>
      <c r="H262" s="932"/>
      <c r="I262" s="932"/>
      <c r="J262" s="932"/>
      <c r="K262" s="932"/>
      <c r="L262" s="793"/>
      <c r="M262" s="793"/>
      <c r="N262" s="793"/>
      <c r="O262" s="793"/>
      <c r="P262" s="793"/>
      <c r="Q262" s="793"/>
      <c r="R262" s="793"/>
      <c r="S262" s="793"/>
      <c r="T262" s="793"/>
      <c r="W262" s="17"/>
      <c r="X262" s="17"/>
      <c r="Y262" s="17"/>
      <c r="Z262" s="17"/>
      <c r="AA262" s="793"/>
      <c r="AB262" s="793"/>
      <c r="AC262" s="52"/>
      <c r="AD262" s="52"/>
      <c r="AE262" s="52"/>
      <c r="AF262" s="52"/>
      <c r="AG262" s="52"/>
      <c r="AN262" s="11"/>
      <c r="AO262" s="2"/>
      <c r="AP262" s="2"/>
      <c r="AQ262" s="2"/>
      <c r="AR262" s="2"/>
    </row>
    <row r="263" spans="1:44" s="776" customFormat="1">
      <c r="A263" s="957" t="s">
        <v>175</v>
      </c>
      <c r="B263" s="958"/>
      <c r="C263" s="957"/>
      <c r="D263" s="957"/>
      <c r="E263" s="1177"/>
      <c r="F263" s="932"/>
      <c r="G263" s="793"/>
      <c r="H263" s="793"/>
      <c r="I263" s="793"/>
      <c r="J263" s="793"/>
      <c r="K263" s="793"/>
      <c r="L263" s="793">
        <f>207+48</f>
        <v>255</v>
      </c>
      <c r="M263" s="793">
        <f>229+94</f>
        <v>323</v>
      </c>
      <c r="N263" s="793">
        <v>0</v>
      </c>
      <c r="O263" s="793"/>
      <c r="P263" s="793"/>
      <c r="Q263" s="793"/>
      <c r="R263" s="793"/>
      <c r="S263" s="793"/>
      <c r="T263" s="793"/>
      <c r="U263" s="793"/>
      <c r="V263" s="793"/>
      <c r="W263" s="793"/>
      <c r="X263" s="793"/>
      <c r="Y263" s="793"/>
      <c r="Z263" s="793"/>
      <c r="AA263" s="793"/>
      <c r="AB263" s="793"/>
      <c r="AC263" s="52"/>
      <c r="AD263" s="52"/>
      <c r="AE263" s="52"/>
      <c r="AF263" s="52"/>
      <c r="AG263" s="52"/>
      <c r="AN263" s="11"/>
      <c r="AO263" s="2"/>
      <c r="AP263" s="2"/>
      <c r="AQ263" s="2"/>
      <c r="AR263" s="2"/>
    </row>
    <row r="264" spans="1:44" s="776" customFormat="1">
      <c r="A264" s="1177"/>
      <c r="B264" s="644"/>
      <c r="C264" s="1177"/>
      <c r="D264" s="1177"/>
      <c r="E264" s="1177"/>
      <c r="F264" s="932"/>
      <c r="G264" s="793"/>
      <c r="H264" s="793"/>
      <c r="I264" s="10"/>
      <c r="J264" s="10"/>
      <c r="K264" s="10"/>
      <c r="L264" s="793"/>
      <c r="M264" s="793"/>
      <c r="N264" s="793"/>
      <c r="O264" s="793"/>
      <c r="P264" s="793"/>
      <c r="Q264" s="793"/>
      <c r="R264" s="793"/>
      <c r="S264" s="793"/>
      <c r="T264" s="793"/>
      <c r="U264" s="793"/>
      <c r="V264" s="793"/>
      <c r="W264" s="793"/>
      <c r="X264" s="793"/>
      <c r="Y264" s="793"/>
      <c r="Z264" s="793"/>
      <c r="AA264" s="793"/>
      <c r="AB264" s="793"/>
      <c r="AC264" s="52"/>
      <c r="AD264" s="52"/>
      <c r="AE264" s="52"/>
      <c r="AF264" s="52"/>
      <c r="AG264" s="52"/>
      <c r="AN264" s="11"/>
      <c r="AO264" s="2"/>
      <c r="AP264" s="2"/>
      <c r="AQ264" s="2"/>
      <c r="AR264" s="2"/>
    </row>
    <row r="265" spans="1:44" s="776" customFormat="1" ht="15">
      <c r="A265" s="957" t="s">
        <v>28</v>
      </c>
      <c r="B265" s="958"/>
      <c r="C265" s="957"/>
      <c r="D265" s="957"/>
      <c r="E265" s="10"/>
      <c r="F265" s="985"/>
      <c r="G265" s="985"/>
      <c r="H265" s="985"/>
      <c r="I265" s="1442"/>
      <c r="J265" s="1442"/>
      <c r="K265" s="1442"/>
      <c r="L265" s="793"/>
      <c r="M265" s="793"/>
      <c r="N265" s="793"/>
      <c r="O265" s="793"/>
      <c r="P265" s="793"/>
      <c r="Q265" s="793"/>
      <c r="R265" s="793"/>
      <c r="S265" s="793"/>
      <c r="T265" s="793"/>
      <c r="U265" s="793"/>
      <c r="V265" s="793"/>
      <c r="W265" s="793"/>
      <c r="X265" s="793"/>
      <c r="Y265" s="793"/>
      <c r="Z265" s="793"/>
      <c r="AA265" s="793"/>
      <c r="AB265" s="793"/>
      <c r="AC265" s="52"/>
      <c r="AD265" s="52"/>
      <c r="AE265" s="52"/>
      <c r="AF265" s="52"/>
      <c r="AG265" s="52"/>
      <c r="AN265" s="11"/>
      <c r="AO265" s="2"/>
      <c r="AP265" s="2"/>
      <c r="AQ265" s="2"/>
      <c r="AR265" s="2"/>
    </row>
    <row r="266" spans="1:44" s="776" customFormat="1">
      <c r="E266" s="1177"/>
      <c r="F266" s="932"/>
      <c r="G266" s="932"/>
      <c r="H266" s="932"/>
      <c r="I266" s="932"/>
      <c r="J266" s="932"/>
      <c r="K266" s="932"/>
      <c r="L266" s="793">
        <f>SUM(L257:L259)</f>
        <v>7891</v>
      </c>
      <c r="M266" s="793">
        <f>SUM(M257:M259)</f>
        <v>6050</v>
      </c>
      <c r="N266" s="793">
        <f>SUM(N257:N259)</f>
        <v>0</v>
      </c>
      <c r="O266" s="793">
        <f t="shared" ref="O266:AB266" si="158">SUM(O257:O259)</f>
        <v>0</v>
      </c>
      <c r="P266" s="793">
        <f t="shared" si="158"/>
        <v>0</v>
      </c>
      <c r="Q266" s="793">
        <f t="shared" si="158"/>
        <v>0</v>
      </c>
      <c r="R266" s="793">
        <f t="shared" si="158"/>
        <v>0</v>
      </c>
      <c r="S266" s="793">
        <f t="shared" si="158"/>
        <v>0</v>
      </c>
      <c r="T266" s="793">
        <f t="shared" si="158"/>
        <v>0</v>
      </c>
      <c r="U266" s="793">
        <f t="shared" si="158"/>
        <v>0</v>
      </c>
      <c r="V266" s="793">
        <f t="shared" si="158"/>
        <v>0</v>
      </c>
      <c r="W266" s="793">
        <f t="shared" si="158"/>
        <v>0</v>
      </c>
      <c r="X266" s="793">
        <f t="shared" si="158"/>
        <v>0</v>
      </c>
      <c r="Y266" s="793">
        <f t="shared" si="158"/>
        <v>0</v>
      </c>
      <c r="Z266" s="793">
        <f t="shared" si="158"/>
        <v>0</v>
      </c>
      <c r="AA266" s="793">
        <f t="shared" si="158"/>
        <v>0</v>
      </c>
      <c r="AB266" s="793">
        <f t="shared" si="158"/>
        <v>0</v>
      </c>
      <c r="AC266" s="52"/>
      <c r="AD266" s="52"/>
      <c r="AE266" s="52"/>
      <c r="AF266" s="52"/>
      <c r="AG266" s="52"/>
      <c r="AN266" s="11"/>
      <c r="AO266" s="2"/>
      <c r="AP266" s="2"/>
      <c r="AQ266" s="2"/>
      <c r="AR266" s="2"/>
    </row>
    <row r="267" spans="1:44" s="776" customFormat="1">
      <c r="A267" s="932"/>
      <c r="B267" s="52" t="s">
        <v>176</v>
      </c>
      <c r="C267" s="932"/>
      <c r="D267" s="932"/>
      <c r="E267" s="793"/>
      <c r="F267" s="932"/>
      <c r="G267" s="932"/>
      <c r="H267" s="932"/>
      <c r="I267" s="932"/>
      <c r="J267" s="932"/>
      <c r="K267" s="932"/>
      <c r="L267" s="793">
        <v>109</v>
      </c>
      <c r="M267" s="793">
        <v>60</v>
      </c>
      <c r="N267" s="793">
        <v>0</v>
      </c>
      <c r="O267" s="793">
        <v>0</v>
      </c>
      <c r="P267" s="793">
        <v>0</v>
      </c>
      <c r="Q267" s="793">
        <v>0</v>
      </c>
      <c r="R267" s="793">
        <v>0</v>
      </c>
      <c r="S267" s="793">
        <v>0</v>
      </c>
      <c r="T267" s="793">
        <v>0</v>
      </c>
      <c r="U267" s="793">
        <v>0</v>
      </c>
      <c r="V267" s="793">
        <v>0</v>
      </c>
      <c r="W267" s="793">
        <v>0</v>
      </c>
      <c r="X267" s="793">
        <v>0</v>
      </c>
      <c r="Y267" s="793">
        <v>0</v>
      </c>
      <c r="Z267" s="793">
        <v>0</v>
      </c>
      <c r="AA267" s="793">
        <v>0</v>
      </c>
      <c r="AB267" s="793">
        <v>0</v>
      </c>
      <c r="AC267" s="52"/>
      <c r="AD267" s="52"/>
      <c r="AE267" s="52"/>
      <c r="AF267" s="52"/>
      <c r="AG267" s="52"/>
      <c r="AN267" s="11"/>
      <c r="AO267" s="2"/>
      <c r="AP267" s="2"/>
      <c r="AQ267" s="2"/>
      <c r="AR267" s="2"/>
    </row>
    <row r="268" spans="1:44" s="776" customFormat="1">
      <c r="A268" s="932"/>
      <c r="B268" s="52" t="s">
        <v>177</v>
      </c>
      <c r="C268" s="932"/>
      <c r="D268" s="932"/>
      <c r="E268" s="793"/>
      <c r="F268" s="932"/>
      <c r="G268" s="932"/>
      <c r="H268" s="932"/>
      <c r="I268" s="932"/>
      <c r="J268" s="932"/>
      <c r="K268" s="932"/>
      <c r="L268" s="793">
        <v>-1021</v>
      </c>
      <c r="M268" s="793">
        <v>2603</v>
      </c>
      <c r="N268" s="793">
        <v>0</v>
      </c>
      <c r="O268" s="793">
        <v>0</v>
      </c>
      <c r="P268" s="793">
        <v>0</v>
      </c>
      <c r="Q268" s="793">
        <v>0</v>
      </c>
      <c r="R268" s="793">
        <v>0</v>
      </c>
      <c r="S268" s="793">
        <v>0</v>
      </c>
      <c r="T268" s="793">
        <v>0</v>
      </c>
      <c r="U268" s="793">
        <v>0</v>
      </c>
      <c r="V268" s="793">
        <v>0</v>
      </c>
      <c r="W268" s="793">
        <v>0</v>
      </c>
      <c r="X268" s="793">
        <v>0</v>
      </c>
      <c r="Y268" s="793">
        <v>0</v>
      </c>
      <c r="Z268" s="793">
        <v>0</v>
      </c>
      <c r="AA268" s="793">
        <v>0</v>
      </c>
      <c r="AB268" s="793">
        <v>0</v>
      </c>
      <c r="AC268" s="52"/>
      <c r="AD268" s="52"/>
      <c r="AE268" s="52"/>
      <c r="AF268" s="52"/>
      <c r="AG268" s="52"/>
      <c r="AN268" s="11"/>
      <c r="AO268" s="2"/>
      <c r="AP268" s="2"/>
      <c r="AQ268" s="2"/>
      <c r="AR268" s="2"/>
    </row>
    <row r="269" spans="1:44" s="776" customFormat="1">
      <c r="A269" s="932"/>
      <c r="B269" s="52" t="s">
        <v>178</v>
      </c>
      <c r="C269" s="932"/>
      <c r="D269" s="932"/>
      <c r="E269" s="793"/>
      <c r="F269" s="932"/>
      <c r="G269" s="932"/>
      <c r="H269" s="932"/>
      <c r="I269" s="932"/>
      <c r="J269" s="932"/>
      <c r="K269" s="932"/>
      <c r="L269" s="793">
        <v>2925</v>
      </c>
      <c r="M269" s="793">
        <v>2091</v>
      </c>
      <c r="N269" s="793">
        <v>0</v>
      </c>
      <c r="O269" s="793">
        <v>0</v>
      </c>
      <c r="P269" s="793">
        <v>0</v>
      </c>
      <c r="Q269" s="793">
        <v>0</v>
      </c>
      <c r="R269" s="793">
        <v>0</v>
      </c>
      <c r="S269" s="793">
        <v>0</v>
      </c>
      <c r="T269" s="793">
        <v>0</v>
      </c>
      <c r="U269" s="793">
        <v>0</v>
      </c>
      <c r="V269" s="793">
        <v>0</v>
      </c>
      <c r="W269" s="793">
        <v>0</v>
      </c>
      <c r="X269" s="793">
        <v>0</v>
      </c>
      <c r="Y269" s="793">
        <v>0</v>
      </c>
      <c r="Z269" s="793">
        <v>0</v>
      </c>
      <c r="AA269" s="793">
        <v>0</v>
      </c>
      <c r="AB269" s="892">
        <v>0</v>
      </c>
      <c r="AC269" s="52"/>
      <c r="AD269" s="52"/>
      <c r="AE269" s="52"/>
      <c r="AF269" s="52"/>
      <c r="AG269" s="52"/>
      <c r="AN269" s="11"/>
      <c r="AO269" s="2"/>
      <c r="AP269" s="2"/>
      <c r="AQ269" s="2"/>
      <c r="AR269" s="2"/>
    </row>
    <row r="270" spans="1:44" s="776" customFormat="1">
      <c r="A270" s="932"/>
      <c r="B270" s="929"/>
      <c r="C270" s="52"/>
      <c r="D270" s="932"/>
      <c r="E270" s="793"/>
      <c r="F270" s="1175">
        <f>Archives!F48+F263+F266+F267+F268+F269</f>
        <v>0</v>
      </c>
      <c r="G270" s="1175">
        <f>Archives!G48+G263+G266+G267+G268+G269</f>
        <v>0</v>
      </c>
      <c r="H270" s="1175">
        <f>Archives!H48+H263+H266+H267+H268+H269</f>
        <v>0</v>
      </c>
      <c r="I270" s="1175">
        <f>Archives!I48+I263+I266+I267+I268+I269</f>
        <v>0</v>
      </c>
      <c r="J270" s="1175">
        <f>Archives!J48+J263+J266+J267+J268+J269</f>
        <v>0</v>
      </c>
      <c r="K270" s="1175">
        <f>Archives!K48+K263+K266+K267+K268+K269</f>
        <v>0</v>
      </c>
      <c r="L270" s="898">
        <f>Archives!L48+L263+L266+L267+L268+L269</f>
        <v>39131</v>
      </c>
      <c r="M270" s="898">
        <f>Archives!M48+M263+M266+M267+M268+M269</f>
        <v>23319</v>
      </c>
      <c r="N270" s="898">
        <f>Archives!N48+N263+N266+N267+N268+N269</f>
        <v>0</v>
      </c>
      <c r="O270" s="898"/>
      <c r="P270" s="898"/>
      <c r="Q270" s="898"/>
      <c r="R270" s="898"/>
      <c r="S270" s="898"/>
      <c r="T270" s="898"/>
      <c r="U270" s="898"/>
      <c r="V270" s="898"/>
      <c r="W270" s="898"/>
      <c r="X270" s="898"/>
      <c r="Y270" s="898"/>
      <c r="Z270" s="898"/>
      <c r="AA270" s="898"/>
      <c r="AB270" s="52"/>
      <c r="AC270" s="52"/>
      <c r="AD270" s="52"/>
      <c r="AE270" s="52"/>
      <c r="AF270" s="52"/>
      <c r="AG270" s="52"/>
      <c r="AN270" s="11"/>
      <c r="AO270" s="2"/>
      <c r="AP270" s="2"/>
      <c r="AQ270" s="2"/>
      <c r="AR270" s="2"/>
    </row>
    <row r="271" spans="1:44" s="776" customFormat="1">
      <c r="AC271" s="52"/>
      <c r="AD271" s="52"/>
      <c r="AE271" s="52"/>
      <c r="AF271" s="52"/>
      <c r="AG271" s="52"/>
      <c r="AN271" s="11"/>
      <c r="AO271" s="2"/>
      <c r="AP271" s="2"/>
      <c r="AQ271" s="2"/>
      <c r="AR271" s="2"/>
    </row>
    <row r="272" spans="1:44" s="776" customFormat="1">
      <c r="AC272" s="52"/>
      <c r="AD272" s="52"/>
      <c r="AE272" s="52"/>
      <c r="AF272" s="52"/>
      <c r="AG272" s="52"/>
      <c r="AN272" s="11"/>
      <c r="AO272" s="2"/>
      <c r="AP272" s="2"/>
      <c r="AQ272" s="2"/>
      <c r="AR272" s="2"/>
    </row>
    <row r="273" spans="29:44" s="776" customFormat="1">
      <c r="AC273" s="52"/>
      <c r="AD273" s="52"/>
      <c r="AE273" s="52"/>
      <c r="AF273" s="52"/>
      <c r="AG273" s="52"/>
      <c r="AN273" s="11"/>
      <c r="AO273" s="2"/>
      <c r="AP273" s="2"/>
      <c r="AQ273" s="2"/>
      <c r="AR273" s="2"/>
    </row>
    <row r="274" spans="29:44" s="776" customFormat="1">
      <c r="AC274" s="52"/>
      <c r="AD274" s="52"/>
      <c r="AE274" s="52"/>
      <c r="AF274" s="52"/>
      <c r="AG274" s="52"/>
      <c r="AN274" s="11"/>
      <c r="AO274" s="2"/>
      <c r="AP274" s="2"/>
      <c r="AQ274" s="2"/>
      <c r="AR274" s="2"/>
    </row>
    <row r="275" spans="29:44" s="776" customFormat="1">
      <c r="AC275" s="52"/>
      <c r="AD275" s="52"/>
      <c r="AE275" s="52"/>
      <c r="AF275" s="52"/>
      <c r="AG275" s="52"/>
      <c r="AN275" s="11"/>
      <c r="AO275" s="2"/>
      <c r="AP275" s="2"/>
      <c r="AQ275" s="2"/>
      <c r="AR275" s="2"/>
    </row>
    <row r="276" spans="29:44" s="776" customFormat="1">
      <c r="AC276" s="52"/>
      <c r="AD276" s="52"/>
      <c r="AE276" s="52"/>
      <c r="AF276" s="52"/>
      <c r="AG276" s="52"/>
      <c r="AN276" s="11"/>
      <c r="AO276" s="2"/>
      <c r="AP276" s="2"/>
      <c r="AQ276" s="2"/>
      <c r="AR276" s="2"/>
    </row>
    <row r="277" spans="29:44" s="776" customFormat="1">
      <c r="AC277" s="52"/>
      <c r="AD277" s="52"/>
      <c r="AE277" s="52"/>
      <c r="AF277" s="52"/>
      <c r="AG277" s="52"/>
      <c r="AN277" s="11"/>
      <c r="AO277" s="2"/>
      <c r="AP277" s="2"/>
      <c r="AQ277" s="2"/>
      <c r="AR277" s="2"/>
    </row>
    <row r="278" spans="29:44" s="776" customFormat="1">
      <c r="AC278" s="52"/>
      <c r="AD278" s="52"/>
      <c r="AE278" s="52"/>
      <c r="AF278" s="52"/>
      <c r="AG278" s="52"/>
      <c r="AN278" s="11"/>
      <c r="AO278" s="2"/>
      <c r="AP278" s="2"/>
      <c r="AQ278" s="2"/>
      <c r="AR278" s="2"/>
    </row>
    <row r="279" spans="29:44" s="776" customFormat="1">
      <c r="AC279" s="52"/>
      <c r="AD279" s="52"/>
      <c r="AE279" s="52"/>
      <c r="AF279" s="52"/>
      <c r="AG279" s="52"/>
      <c r="AN279" s="11"/>
      <c r="AO279" s="2"/>
      <c r="AP279" s="2"/>
      <c r="AQ279" s="2"/>
      <c r="AR279" s="2"/>
    </row>
    <row r="280" spans="29:44" s="776" customFormat="1">
      <c r="AC280" s="52"/>
      <c r="AD280" s="52"/>
      <c r="AE280" s="52"/>
      <c r="AF280" s="52"/>
      <c r="AG280" s="52"/>
      <c r="AN280" s="11"/>
      <c r="AO280" s="2"/>
      <c r="AP280" s="2"/>
      <c r="AQ280" s="2"/>
      <c r="AR280" s="2"/>
    </row>
    <row r="281" spans="29:44" s="776" customFormat="1">
      <c r="AC281" s="52"/>
      <c r="AD281" s="52"/>
      <c r="AE281" s="52"/>
      <c r="AF281" s="52"/>
      <c r="AG281" s="52"/>
      <c r="AN281" s="11"/>
      <c r="AO281" s="2"/>
      <c r="AP281" s="2"/>
      <c r="AQ281" s="2"/>
      <c r="AR281" s="2"/>
    </row>
    <row r="282" spans="29:44" s="776" customFormat="1">
      <c r="AC282" s="52"/>
      <c r="AD282" s="52"/>
      <c r="AE282" s="52"/>
      <c r="AF282" s="52"/>
      <c r="AG282" s="52"/>
      <c r="AN282" s="11"/>
      <c r="AO282" s="2"/>
      <c r="AP282" s="2"/>
      <c r="AQ282" s="2"/>
      <c r="AR282" s="2"/>
    </row>
    <row r="283" spans="29:44" s="776" customFormat="1">
      <c r="AC283" s="52"/>
      <c r="AD283" s="52"/>
      <c r="AE283" s="52"/>
      <c r="AF283" s="52"/>
      <c r="AG283" s="52"/>
      <c r="AN283" s="11"/>
      <c r="AO283" s="2"/>
      <c r="AP283" s="2"/>
      <c r="AQ283" s="2"/>
      <c r="AR283" s="2"/>
    </row>
    <row r="284" spans="29:44" s="776" customFormat="1">
      <c r="AC284" s="52"/>
      <c r="AD284" s="52"/>
      <c r="AE284" s="52"/>
      <c r="AF284" s="52"/>
      <c r="AG284" s="52"/>
      <c r="AN284" s="11"/>
      <c r="AO284" s="2"/>
      <c r="AP284" s="2"/>
      <c r="AQ284" s="2"/>
      <c r="AR284" s="2"/>
    </row>
    <row r="285" spans="29:44" s="776" customFormat="1">
      <c r="AC285" s="52"/>
      <c r="AD285" s="52"/>
      <c r="AE285" s="52"/>
      <c r="AF285" s="52"/>
      <c r="AG285" s="52"/>
      <c r="AN285" s="11"/>
      <c r="AO285" s="2"/>
      <c r="AP285" s="2"/>
      <c r="AQ285" s="2"/>
      <c r="AR285" s="2"/>
    </row>
    <row r="286" spans="29:44" s="776" customFormat="1">
      <c r="AC286" s="52"/>
      <c r="AD286" s="52"/>
      <c r="AE286" s="52"/>
      <c r="AF286" s="52"/>
      <c r="AG286" s="52"/>
      <c r="AN286" s="11"/>
      <c r="AO286" s="2"/>
      <c r="AP286" s="2"/>
      <c r="AQ286" s="2"/>
      <c r="AR286" s="2"/>
    </row>
    <row r="287" spans="29:44" s="776" customFormat="1">
      <c r="AC287" s="52"/>
      <c r="AD287" s="52"/>
      <c r="AE287" s="52"/>
      <c r="AF287" s="52"/>
      <c r="AG287" s="52"/>
      <c r="AN287" s="11"/>
      <c r="AO287" s="2"/>
      <c r="AP287" s="2"/>
      <c r="AQ287" s="2"/>
      <c r="AR287" s="2"/>
    </row>
    <row r="288" spans="29:44" s="776" customFormat="1">
      <c r="AC288" s="52"/>
      <c r="AD288" s="52"/>
      <c r="AE288" s="52"/>
      <c r="AF288" s="52"/>
      <c r="AG288" s="52"/>
      <c r="AN288" s="11"/>
      <c r="AO288" s="2"/>
      <c r="AP288" s="2"/>
      <c r="AQ288" s="2"/>
      <c r="AR288" s="2"/>
    </row>
    <row r="289" spans="29:44" s="776" customFormat="1">
      <c r="AC289" s="52"/>
      <c r="AD289" s="52"/>
      <c r="AE289" s="52"/>
      <c r="AF289" s="52"/>
      <c r="AG289" s="52"/>
      <c r="AN289" s="11"/>
      <c r="AO289" s="2"/>
      <c r="AP289" s="2"/>
      <c r="AQ289" s="2"/>
      <c r="AR289" s="2"/>
    </row>
    <row r="290" spans="29:44" s="776" customFormat="1">
      <c r="AC290" s="52"/>
      <c r="AD290" s="52"/>
      <c r="AE290" s="52"/>
      <c r="AF290" s="52"/>
      <c r="AG290" s="52"/>
      <c r="AN290" s="11"/>
      <c r="AO290" s="2"/>
      <c r="AP290" s="2"/>
      <c r="AQ290" s="2"/>
      <c r="AR290" s="2"/>
    </row>
    <row r="291" spans="29:44" s="776" customFormat="1">
      <c r="AC291" s="52"/>
      <c r="AD291" s="52"/>
      <c r="AE291" s="52"/>
      <c r="AF291" s="52"/>
      <c r="AG291" s="52"/>
      <c r="AN291" s="11"/>
      <c r="AO291" s="2"/>
      <c r="AP291" s="2"/>
      <c r="AQ291" s="2"/>
      <c r="AR291" s="2"/>
    </row>
    <row r="292" spans="29:44" s="776" customFormat="1">
      <c r="AC292" s="52"/>
      <c r="AD292" s="52"/>
      <c r="AE292" s="52"/>
      <c r="AF292" s="52"/>
      <c r="AG292" s="52"/>
      <c r="AN292" s="11"/>
      <c r="AO292" s="2"/>
      <c r="AP292" s="2"/>
      <c r="AQ292" s="2"/>
      <c r="AR292" s="2"/>
    </row>
    <row r="293" spans="29:44" s="776" customFormat="1">
      <c r="AC293" s="52"/>
      <c r="AD293" s="52"/>
      <c r="AE293" s="52"/>
      <c r="AF293" s="52"/>
      <c r="AG293" s="52"/>
      <c r="AN293" s="11"/>
      <c r="AO293" s="2"/>
      <c r="AP293" s="2"/>
      <c r="AQ293" s="2"/>
      <c r="AR293" s="2"/>
    </row>
    <row r="294" spans="29:44" s="776" customFormat="1">
      <c r="AC294" s="52"/>
      <c r="AD294" s="52"/>
      <c r="AE294" s="52"/>
      <c r="AF294" s="52"/>
      <c r="AG294" s="52"/>
      <c r="AN294" s="11"/>
      <c r="AO294" s="2"/>
      <c r="AP294" s="2"/>
      <c r="AQ294" s="2"/>
      <c r="AR294" s="2"/>
    </row>
    <row r="295" spans="29:44" s="776" customFormat="1">
      <c r="AC295" s="52"/>
      <c r="AD295" s="52"/>
      <c r="AE295" s="52"/>
      <c r="AF295" s="52"/>
      <c r="AG295" s="52"/>
      <c r="AN295" s="11"/>
      <c r="AO295" s="2"/>
      <c r="AP295" s="2"/>
      <c r="AQ295" s="2"/>
      <c r="AR295" s="2"/>
    </row>
    <row r="296" spans="29:44" s="776" customFormat="1">
      <c r="AC296" s="52"/>
      <c r="AD296" s="52"/>
      <c r="AE296" s="52"/>
      <c r="AF296" s="52"/>
      <c r="AG296" s="52"/>
      <c r="AN296" s="11"/>
      <c r="AO296" s="2"/>
      <c r="AP296" s="2"/>
      <c r="AQ296" s="2"/>
      <c r="AR296" s="2"/>
    </row>
    <row r="297" spans="29:44" s="776" customFormat="1">
      <c r="AC297" s="52"/>
      <c r="AD297" s="52"/>
      <c r="AE297" s="52"/>
      <c r="AF297" s="52"/>
      <c r="AG297" s="52"/>
      <c r="AN297" s="11"/>
      <c r="AO297" s="2"/>
      <c r="AP297" s="2"/>
      <c r="AQ297" s="2"/>
      <c r="AR297" s="2"/>
    </row>
    <row r="298" spans="29:44" s="776" customFormat="1">
      <c r="AC298" s="52"/>
      <c r="AD298" s="52"/>
      <c r="AE298" s="52"/>
      <c r="AF298" s="52"/>
      <c r="AG298" s="52"/>
      <c r="AN298" s="11"/>
      <c r="AO298" s="2"/>
      <c r="AP298" s="2"/>
      <c r="AQ298" s="2"/>
      <c r="AR298" s="2"/>
    </row>
    <row r="299" spans="29:44" s="776" customFormat="1">
      <c r="AC299" s="52"/>
      <c r="AD299" s="52"/>
      <c r="AE299" s="52"/>
      <c r="AF299" s="52"/>
      <c r="AG299" s="52"/>
      <c r="AN299" s="11"/>
      <c r="AO299" s="2"/>
      <c r="AP299" s="2"/>
      <c r="AQ299" s="2"/>
      <c r="AR299" s="2"/>
    </row>
    <row r="300" spans="29:44" s="776" customFormat="1">
      <c r="AC300" s="52"/>
      <c r="AD300" s="52"/>
      <c r="AE300" s="52"/>
      <c r="AF300" s="52"/>
      <c r="AG300" s="52"/>
      <c r="AN300" s="11"/>
      <c r="AO300" s="2"/>
      <c r="AP300" s="2"/>
      <c r="AQ300" s="2"/>
      <c r="AR300" s="2"/>
    </row>
    <row r="301" spans="29:44" s="776" customFormat="1">
      <c r="AC301" s="52"/>
      <c r="AD301" s="52"/>
      <c r="AE301" s="52"/>
      <c r="AF301" s="52"/>
      <c r="AG301" s="52"/>
      <c r="AN301" s="11"/>
      <c r="AO301" s="2"/>
      <c r="AP301" s="2"/>
      <c r="AQ301" s="2"/>
      <c r="AR301" s="2"/>
    </row>
    <row r="302" spans="29:44" s="776" customFormat="1">
      <c r="AC302" s="52"/>
      <c r="AD302" s="52"/>
      <c r="AE302" s="52"/>
      <c r="AF302" s="52"/>
      <c r="AG302" s="52"/>
      <c r="AN302" s="11"/>
      <c r="AO302" s="2"/>
      <c r="AP302" s="2"/>
      <c r="AQ302" s="2"/>
      <c r="AR302" s="2"/>
    </row>
    <row r="303" spans="29:44" s="776" customFormat="1">
      <c r="AC303" s="52"/>
      <c r="AD303" s="52"/>
      <c r="AE303" s="52"/>
      <c r="AF303" s="52"/>
      <c r="AG303" s="52"/>
      <c r="AN303" s="11"/>
      <c r="AO303" s="2"/>
      <c r="AP303" s="2"/>
      <c r="AQ303" s="2"/>
      <c r="AR303" s="2"/>
    </row>
    <row r="304" spans="29:44" s="776" customFormat="1">
      <c r="AC304" s="52"/>
      <c r="AD304" s="52"/>
      <c r="AE304" s="52"/>
      <c r="AF304" s="52"/>
      <c r="AG304" s="52"/>
      <c r="AN304" s="11"/>
      <c r="AO304" s="2"/>
      <c r="AP304" s="2"/>
      <c r="AQ304" s="2"/>
      <c r="AR304" s="2"/>
    </row>
    <row r="305" spans="29:44" s="776" customFormat="1">
      <c r="AC305" s="52"/>
      <c r="AD305" s="52"/>
      <c r="AE305" s="52"/>
      <c r="AF305" s="52"/>
      <c r="AG305" s="52"/>
      <c r="AN305" s="11"/>
      <c r="AO305" s="2"/>
      <c r="AP305" s="2"/>
      <c r="AQ305" s="2"/>
      <c r="AR305" s="2"/>
    </row>
    <row r="306" spans="29:44" s="776" customFormat="1">
      <c r="AC306" s="52"/>
      <c r="AD306" s="52"/>
      <c r="AE306" s="52"/>
      <c r="AF306" s="52"/>
      <c r="AG306" s="52"/>
      <c r="AN306" s="11"/>
      <c r="AO306" s="2"/>
      <c r="AP306" s="2"/>
      <c r="AQ306" s="2"/>
      <c r="AR306" s="2"/>
    </row>
    <row r="307" spans="29:44" s="776" customFormat="1">
      <c r="AC307" s="52"/>
      <c r="AD307" s="52"/>
      <c r="AE307" s="52"/>
      <c r="AF307" s="52"/>
      <c r="AG307" s="52"/>
      <c r="AN307" s="11"/>
      <c r="AO307" s="2"/>
      <c r="AP307" s="2"/>
      <c r="AQ307" s="2"/>
      <c r="AR307" s="2"/>
    </row>
    <row r="308" spans="29:44" s="776" customFormat="1">
      <c r="AC308" s="52"/>
      <c r="AD308" s="52"/>
      <c r="AE308" s="52"/>
      <c r="AF308" s="52"/>
      <c r="AG308" s="52"/>
      <c r="AN308" s="11"/>
      <c r="AO308" s="2"/>
      <c r="AP308" s="2"/>
      <c r="AQ308" s="2"/>
      <c r="AR308" s="2"/>
    </row>
    <row r="309" spans="29:44" s="776" customFormat="1">
      <c r="AC309" s="52"/>
      <c r="AD309" s="52"/>
      <c r="AE309" s="52"/>
      <c r="AF309" s="52"/>
      <c r="AG309" s="52"/>
      <c r="AN309" s="11"/>
      <c r="AO309" s="2"/>
      <c r="AP309" s="2"/>
      <c r="AQ309" s="2"/>
      <c r="AR309" s="2"/>
    </row>
    <row r="310" spans="29:44" s="776" customFormat="1">
      <c r="AC310" s="52"/>
      <c r="AD310" s="52"/>
      <c r="AE310" s="52"/>
      <c r="AF310" s="52"/>
      <c r="AG310" s="52"/>
      <c r="AN310" s="11"/>
      <c r="AO310" s="2"/>
      <c r="AP310" s="2"/>
      <c r="AQ310" s="2"/>
      <c r="AR310" s="2"/>
    </row>
    <row r="311" spans="29:44" s="776" customFormat="1">
      <c r="AC311" s="52"/>
      <c r="AD311" s="52"/>
      <c r="AE311" s="52"/>
      <c r="AF311" s="52"/>
      <c r="AG311" s="52"/>
      <c r="AN311" s="11"/>
      <c r="AO311" s="2"/>
      <c r="AP311" s="2"/>
      <c r="AQ311" s="2"/>
      <c r="AR311" s="2"/>
    </row>
    <row r="312" spans="29:44" s="776" customFormat="1">
      <c r="AC312" s="52"/>
      <c r="AD312" s="52"/>
      <c r="AE312" s="52"/>
      <c r="AF312" s="52"/>
      <c r="AG312" s="52"/>
      <c r="AN312" s="11"/>
      <c r="AO312" s="2"/>
      <c r="AP312" s="2"/>
      <c r="AQ312" s="2"/>
      <c r="AR312" s="2"/>
    </row>
    <row r="313" spans="29:44" s="776" customFormat="1">
      <c r="AC313" s="52"/>
      <c r="AD313" s="52"/>
      <c r="AE313" s="52"/>
      <c r="AF313" s="52"/>
      <c r="AG313" s="52"/>
      <c r="AN313" s="11"/>
      <c r="AO313" s="2"/>
      <c r="AP313" s="2"/>
      <c r="AQ313" s="2"/>
      <c r="AR313" s="2"/>
    </row>
    <row r="314" spans="29:44" s="776" customFormat="1">
      <c r="AC314" s="52"/>
      <c r="AD314" s="52"/>
      <c r="AE314" s="52"/>
      <c r="AF314" s="52"/>
      <c r="AG314" s="52"/>
      <c r="AN314" s="11"/>
      <c r="AO314" s="2"/>
      <c r="AP314" s="2"/>
      <c r="AQ314" s="2"/>
      <c r="AR314" s="2"/>
    </row>
    <row r="315" spans="29:44" s="776" customFormat="1">
      <c r="AC315" s="52"/>
      <c r="AD315" s="52"/>
      <c r="AE315" s="52"/>
      <c r="AF315" s="52"/>
      <c r="AG315" s="52"/>
      <c r="AN315" s="11"/>
      <c r="AO315" s="2"/>
      <c r="AP315" s="2"/>
      <c r="AQ315" s="2"/>
      <c r="AR315" s="2"/>
    </row>
    <row r="316" spans="29:44" s="776" customFormat="1">
      <c r="AC316" s="52"/>
      <c r="AD316" s="52"/>
      <c r="AE316" s="52"/>
      <c r="AF316" s="52"/>
      <c r="AG316" s="52"/>
      <c r="AN316" s="11"/>
      <c r="AO316" s="2"/>
      <c r="AP316" s="2"/>
      <c r="AQ316" s="2"/>
      <c r="AR316" s="2"/>
    </row>
    <row r="317" spans="29:44" s="776" customFormat="1">
      <c r="AC317" s="52"/>
      <c r="AD317" s="52"/>
      <c r="AE317" s="52"/>
      <c r="AF317" s="52"/>
      <c r="AG317" s="52"/>
      <c r="AN317" s="11"/>
      <c r="AO317" s="2"/>
      <c r="AP317" s="2"/>
      <c r="AQ317" s="2"/>
      <c r="AR317" s="2"/>
    </row>
    <row r="318" spans="29:44" s="776" customFormat="1">
      <c r="AC318" s="52"/>
      <c r="AD318" s="52"/>
      <c r="AE318" s="52"/>
      <c r="AF318" s="52"/>
      <c r="AG318" s="52"/>
      <c r="AN318" s="11"/>
      <c r="AO318" s="2"/>
      <c r="AP318" s="2"/>
      <c r="AQ318" s="2"/>
      <c r="AR318" s="2"/>
    </row>
    <row r="319" spans="29:44" s="776" customFormat="1">
      <c r="AC319" s="52"/>
      <c r="AD319" s="52"/>
      <c r="AE319" s="52"/>
      <c r="AF319" s="52"/>
      <c r="AG319" s="52"/>
      <c r="AN319" s="11"/>
      <c r="AO319" s="2"/>
      <c r="AP319" s="2"/>
      <c r="AQ319" s="2"/>
      <c r="AR319" s="2"/>
    </row>
    <row r="320" spans="29:44" s="776" customFormat="1">
      <c r="AC320" s="52"/>
      <c r="AD320" s="52"/>
      <c r="AE320" s="52"/>
      <c r="AF320" s="52"/>
      <c r="AG320" s="52"/>
      <c r="AN320" s="11"/>
      <c r="AO320" s="2"/>
      <c r="AP320" s="2"/>
      <c r="AQ320" s="2"/>
      <c r="AR320" s="2"/>
    </row>
    <row r="321" spans="29:44" s="776" customFormat="1">
      <c r="AC321" s="52"/>
      <c r="AD321" s="52"/>
      <c r="AE321" s="52"/>
      <c r="AF321" s="52"/>
      <c r="AG321" s="52"/>
      <c r="AN321" s="11"/>
      <c r="AO321" s="2"/>
      <c r="AP321" s="2"/>
      <c r="AQ321" s="2"/>
      <c r="AR321" s="2"/>
    </row>
    <row r="322" spans="29:44" s="776" customFormat="1">
      <c r="AC322" s="52"/>
      <c r="AD322" s="52"/>
      <c r="AE322" s="52"/>
      <c r="AF322" s="52"/>
      <c r="AG322" s="52"/>
      <c r="AN322" s="11"/>
      <c r="AO322" s="2"/>
      <c r="AP322" s="2"/>
      <c r="AQ322" s="2"/>
      <c r="AR322" s="2"/>
    </row>
    <row r="323" spans="29:44" s="776" customFormat="1">
      <c r="AC323" s="52"/>
      <c r="AD323" s="52"/>
      <c r="AE323" s="52"/>
      <c r="AF323" s="52"/>
      <c r="AG323" s="52"/>
      <c r="AN323" s="11"/>
      <c r="AO323" s="2"/>
      <c r="AP323" s="2"/>
      <c r="AQ323" s="2"/>
      <c r="AR323" s="2"/>
    </row>
    <row r="324" spans="29:44" s="776" customFormat="1">
      <c r="AC324" s="52"/>
      <c r="AD324" s="52"/>
      <c r="AE324" s="52"/>
      <c r="AF324" s="52"/>
      <c r="AG324" s="52"/>
      <c r="AN324" s="11"/>
      <c r="AO324" s="2"/>
      <c r="AP324" s="2"/>
      <c r="AQ324" s="2"/>
      <c r="AR324" s="2"/>
    </row>
    <row r="325" spans="29:44" s="776" customFormat="1">
      <c r="AC325" s="52"/>
      <c r="AD325" s="52"/>
      <c r="AE325" s="52"/>
      <c r="AF325" s="52"/>
      <c r="AG325" s="52"/>
      <c r="AN325" s="11"/>
      <c r="AO325" s="2"/>
      <c r="AP325" s="2"/>
      <c r="AQ325" s="2"/>
      <c r="AR325" s="2"/>
    </row>
    <row r="326" spans="29:44" s="776" customFormat="1">
      <c r="AC326" s="52"/>
      <c r="AD326" s="52"/>
      <c r="AE326" s="52"/>
      <c r="AF326" s="52"/>
      <c r="AG326" s="52"/>
      <c r="AN326" s="11"/>
      <c r="AO326" s="2"/>
      <c r="AP326" s="2"/>
      <c r="AQ326" s="2"/>
      <c r="AR326" s="2"/>
    </row>
    <row r="327" spans="29:44" s="776" customFormat="1">
      <c r="AC327" s="52"/>
      <c r="AD327" s="52"/>
      <c r="AE327" s="52"/>
      <c r="AF327" s="52"/>
      <c r="AG327" s="52"/>
      <c r="AN327" s="11"/>
      <c r="AO327" s="2"/>
      <c r="AP327" s="2"/>
      <c r="AQ327" s="2"/>
      <c r="AR327" s="2"/>
    </row>
    <row r="328" spans="29:44" s="776" customFormat="1">
      <c r="AC328" s="52"/>
      <c r="AD328" s="52"/>
      <c r="AE328" s="52"/>
      <c r="AF328" s="52"/>
      <c r="AG328" s="52"/>
      <c r="AN328" s="11"/>
      <c r="AO328" s="2"/>
      <c r="AP328" s="2"/>
      <c r="AQ328" s="2"/>
      <c r="AR328" s="2"/>
    </row>
    <row r="329" spans="29:44" s="776" customFormat="1">
      <c r="AC329" s="52"/>
      <c r="AD329" s="52"/>
      <c r="AE329" s="52"/>
      <c r="AF329" s="52"/>
      <c r="AG329" s="52"/>
      <c r="AN329" s="11"/>
      <c r="AO329" s="2"/>
      <c r="AP329" s="2"/>
      <c r="AQ329" s="2"/>
      <c r="AR329" s="2"/>
    </row>
    <row r="330" spans="29:44" s="776" customFormat="1">
      <c r="AC330" s="52"/>
      <c r="AD330" s="52"/>
      <c r="AE330" s="52"/>
      <c r="AF330" s="52"/>
      <c r="AG330" s="52"/>
      <c r="AN330" s="11"/>
      <c r="AO330" s="2"/>
      <c r="AP330" s="2"/>
      <c r="AQ330" s="2"/>
      <c r="AR330" s="2"/>
    </row>
    <row r="331" spans="29:44" s="776" customFormat="1">
      <c r="AC331" s="52"/>
      <c r="AD331" s="52"/>
      <c r="AE331" s="52"/>
      <c r="AF331" s="52"/>
      <c r="AG331" s="52"/>
      <c r="AN331" s="11"/>
      <c r="AO331" s="2"/>
      <c r="AP331" s="2"/>
      <c r="AQ331" s="2"/>
      <c r="AR331" s="2"/>
    </row>
    <row r="332" spans="29:44" s="776" customFormat="1">
      <c r="AC332" s="52"/>
      <c r="AD332" s="52"/>
      <c r="AE332" s="52"/>
      <c r="AF332" s="52"/>
      <c r="AG332" s="52"/>
      <c r="AN332" s="11"/>
      <c r="AO332" s="2"/>
      <c r="AP332" s="2"/>
      <c r="AQ332" s="2"/>
      <c r="AR332" s="2"/>
    </row>
    <row r="333" spans="29:44" s="776" customFormat="1">
      <c r="AC333" s="52"/>
      <c r="AD333" s="52"/>
      <c r="AE333" s="52"/>
      <c r="AF333" s="52"/>
      <c r="AG333" s="52"/>
      <c r="AN333" s="11"/>
      <c r="AO333" s="2"/>
      <c r="AP333" s="2"/>
      <c r="AQ333" s="2"/>
      <c r="AR333" s="2"/>
    </row>
    <row r="334" spans="29:44" s="776" customFormat="1">
      <c r="AC334" s="52"/>
      <c r="AD334" s="52"/>
      <c r="AE334" s="52"/>
      <c r="AF334" s="52"/>
      <c r="AG334" s="52"/>
      <c r="AN334" s="11"/>
      <c r="AO334" s="2"/>
      <c r="AP334" s="2"/>
      <c r="AQ334" s="2"/>
      <c r="AR334" s="2"/>
    </row>
    <row r="335" spans="29:44" s="776" customFormat="1">
      <c r="AC335" s="52"/>
      <c r="AD335" s="52"/>
      <c r="AE335" s="52"/>
      <c r="AF335" s="52"/>
      <c r="AG335" s="52"/>
      <c r="AN335" s="11"/>
      <c r="AO335" s="2"/>
      <c r="AP335" s="2"/>
      <c r="AQ335" s="2"/>
      <c r="AR335" s="2"/>
    </row>
    <row r="336" spans="29:44" s="776" customFormat="1">
      <c r="AC336" s="52"/>
      <c r="AD336" s="52"/>
      <c r="AE336" s="52"/>
      <c r="AF336" s="52"/>
      <c r="AG336" s="52"/>
      <c r="AN336" s="11"/>
      <c r="AO336" s="2"/>
      <c r="AP336" s="2"/>
      <c r="AQ336" s="2"/>
      <c r="AR336" s="2"/>
    </row>
    <row r="337" spans="29:44" s="776" customFormat="1">
      <c r="AC337" s="52"/>
      <c r="AD337" s="52"/>
      <c r="AE337" s="52"/>
      <c r="AF337" s="52"/>
      <c r="AG337" s="52"/>
      <c r="AN337" s="11"/>
      <c r="AO337" s="2"/>
      <c r="AP337" s="2"/>
      <c r="AQ337" s="2"/>
      <c r="AR337" s="2"/>
    </row>
    <row r="338" spans="29:44" s="776" customFormat="1">
      <c r="AC338" s="52"/>
      <c r="AD338" s="52"/>
      <c r="AE338" s="52"/>
      <c r="AF338" s="52"/>
      <c r="AG338" s="52"/>
      <c r="AN338" s="11"/>
      <c r="AO338" s="2"/>
      <c r="AP338" s="2"/>
      <c r="AQ338" s="2"/>
      <c r="AR338" s="2"/>
    </row>
    <row r="339" spans="29:44" s="776" customFormat="1">
      <c r="AC339" s="52"/>
      <c r="AD339" s="52"/>
      <c r="AE339" s="52"/>
      <c r="AF339" s="52"/>
      <c r="AG339" s="52"/>
      <c r="AH339" s="7"/>
      <c r="AI339" s="7"/>
      <c r="AJ339" s="7"/>
      <c r="AK339" s="7"/>
      <c r="AL339" s="7"/>
      <c r="AM339" s="7"/>
      <c r="AN339" s="81"/>
      <c r="AO339" s="2"/>
      <c r="AP339" s="2"/>
      <c r="AQ339" s="2"/>
      <c r="AR339" s="2"/>
    </row>
    <row r="340" spans="29:44" s="776" customFormat="1">
      <c r="AC340" s="52"/>
      <c r="AD340" s="52"/>
      <c r="AE340" s="52"/>
      <c r="AF340" s="52"/>
      <c r="AG340" s="52"/>
      <c r="AH340" s="7"/>
      <c r="AI340" s="7"/>
      <c r="AJ340" s="7"/>
      <c r="AK340" s="7"/>
      <c r="AL340" s="7"/>
      <c r="AM340" s="7"/>
      <c r="AN340" s="81"/>
      <c r="AO340" s="2"/>
      <c r="AP340" s="2"/>
      <c r="AQ340" s="2"/>
      <c r="AR340" s="2"/>
    </row>
    <row r="341" spans="29:44" s="776" customFormat="1">
      <c r="AC341" s="52"/>
      <c r="AD341" s="52"/>
      <c r="AE341" s="52"/>
      <c r="AF341" s="52"/>
      <c r="AG341" s="52"/>
      <c r="AH341" s="7"/>
      <c r="AI341" s="7"/>
      <c r="AJ341" s="7"/>
      <c r="AK341" s="7"/>
      <c r="AL341" s="7"/>
      <c r="AM341" s="7"/>
      <c r="AN341" s="81"/>
      <c r="AO341" s="2"/>
      <c r="AP341" s="2"/>
      <c r="AQ341" s="2"/>
      <c r="AR341" s="2"/>
    </row>
    <row r="342" spans="29:44" s="776" customFormat="1">
      <c r="AC342" s="52"/>
      <c r="AD342" s="52"/>
      <c r="AE342" s="52"/>
      <c r="AF342" s="52"/>
      <c r="AG342" s="52"/>
      <c r="AH342" s="7"/>
      <c r="AI342" s="7"/>
      <c r="AJ342" s="7"/>
      <c r="AK342" s="7"/>
      <c r="AL342" s="7"/>
      <c r="AM342" s="7"/>
      <c r="AN342" s="81"/>
      <c r="AO342" s="2"/>
      <c r="AP342" s="2"/>
      <c r="AQ342" s="2"/>
      <c r="AR342" s="2"/>
    </row>
    <row r="343" spans="29:44" s="776" customFormat="1">
      <c r="AC343" s="52"/>
      <c r="AD343" s="52"/>
      <c r="AE343" s="52"/>
      <c r="AF343" s="52"/>
      <c r="AG343" s="52"/>
      <c r="AH343" s="7"/>
      <c r="AI343" s="7"/>
      <c r="AJ343" s="7"/>
      <c r="AK343" s="7"/>
      <c r="AL343" s="7"/>
      <c r="AM343" s="7"/>
      <c r="AN343" s="81"/>
      <c r="AO343" s="2"/>
      <c r="AP343" s="2"/>
      <c r="AQ343" s="2"/>
      <c r="AR343" s="2"/>
    </row>
    <row r="344" spans="29:44" s="776" customFormat="1">
      <c r="AC344" s="52"/>
      <c r="AD344" s="52"/>
      <c r="AE344" s="52"/>
      <c r="AF344" s="52"/>
      <c r="AG344" s="52"/>
      <c r="AH344" s="7"/>
      <c r="AI344" s="7"/>
      <c r="AJ344" s="7"/>
      <c r="AK344" s="7"/>
      <c r="AL344" s="7"/>
      <c r="AM344" s="7"/>
      <c r="AN344" s="81"/>
      <c r="AO344" s="2"/>
      <c r="AP344" s="2"/>
      <c r="AQ344" s="2"/>
      <c r="AR344" s="2"/>
    </row>
    <row r="345" spans="29:44" s="776" customFormat="1">
      <c r="AC345" s="52"/>
      <c r="AD345" s="52"/>
      <c r="AE345" s="52"/>
      <c r="AF345" s="52"/>
      <c r="AG345" s="52"/>
      <c r="AH345" s="7"/>
      <c r="AI345" s="7"/>
      <c r="AJ345" s="7"/>
      <c r="AK345" s="7"/>
      <c r="AL345" s="7"/>
      <c r="AM345" s="7"/>
      <c r="AN345" s="81"/>
      <c r="AO345" s="2"/>
      <c r="AP345" s="2"/>
      <c r="AQ345" s="2"/>
      <c r="AR345" s="2"/>
    </row>
    <row r="346" spans="29:44" s="776" customFormat="1">
      <c r="AC346" s="52"/>
      <c r="AD346" s="52"/>
      <c r="AE346" s="52"/>
      <c r="AF346" s="52"/>
      <c r="AG346" s="52"/>
      <c r="AH346" s="7"/>
      <c r="AI346" s="7"/>
      <c r="AJ346" s="7"/>
      <c r="AK346" s="7"/>
      <c r="AL346" s="7"/>
      <c r="AM346" s="7"/>
      <c r="AN346" s="81"/>
      <c r="AO346" s="2"/>
      <c r="AP346" s="2"/>
      <c r="AQ346" s="2"/>
      <c r="AR346" s="2"/>
    </row>
    <row r="347" spans="29:44" s="776" customFormat="1">
      <c r="AC347" s="52"/>
      <c r="AD347" s="52"/>
      <c r="AE347" s="52"/>
      <c r="AF347" s="52"/>
      <c r="AG347" s="52"/>
      <c r="AH347" s="7"/>
      <c r="AI347" s="7"/>
      <c r="AJ347" s="7"/>
      <c r="AK347" s="7"/>
      <c r="AL347" s="7"/>
      <c r="AM347" s="7"/>
      <c r="AN347" s="81"/>
      <c r="AO347" s="2"/>
      <c r="AP347" s="2"/>
      <c r="AQ347" s="2"/>
      <c r="AR347" s="2"/>
    </row>
    <row r="348" spans="29:44" s="776" customFormat="1">
      <c r="AC348" s="52"/>
      <c r="AD348" s="52"/>
      <c r="AE348" s="52"/>
      <c r="AF348" s="52"/>
      <c r="AG348" s="52"/>
      <c r="AN348" s="11"/>
      <c r="AO348" s="2"/>
      <c r="AP348" s="2"/>
      <c r="AQ348" s="2"/>
      <c r="AR348" s="2"/>
    </row>
    <row r="349" spans="29:44" s="776" customFormat="1">
      <c r="AC349" s="52"/>
      <c r="AD349" s="52"/>
      <c r="AE349" s="52"/>
      <c r="AF349" s="52"/>
      <c r="AG349" s="52"/>
      <c r="AN349" s="11"/>
      <c r="AO349" s="2"/>
      <c r="AP349" s="2"/>
      <c r="AQ349" s="2"/>
      <c r="AR349" s="2"/>
    </row>
    <row r="350" spans="29:44" s="776" customFormat="1">
      <c r="AC350" s="52"/>
      <c r="AD350" s="52"/>
      <c r="AE350" s="52"/>
      <c r="AF350" s="52"/>
      <c r="AG350" s="52"/>
      <c r="AN350" s="11"/>
      <c r="AO350" s="2"/>
      <c r="AP350" s="2"/>
      <c r="AQ350" s="2"/>
      <c r="AR350" s="2"/>
    </row>
    <row r="351" spans="29:44" s="776" customFormat="1">
      <c r="AC351" s="52"/>
      <c r="AD351" s="52"/>
      <c r="AE351" s="52"/>
      <c r="AF351" s="52"/>
      <c r="AG351" s="52"/>
      <c r="AN351" s="11"/>
      <c r="AO351" s="2"/>
      <c r="AP351" s="2"/>
      <c r="AQ351" s="2"/>
      <c r="AR351" s="2"/>
    </row>
    <row r="352" spans="29:44" s="776" customFormat="1">
      <c r="AC352" s="52"/>
      <c r="AD352" s="52"/>
      <c r="AE352" s="52"/>
      <c r="AF352" s="52"/>
      <c r="AG352" s="52"/>
      <c r="AN352" s="11"/>
      <c r="AO352" s="2"/>
      <c r="AP352" s="2"/>
      <c r="AQ352" s="2"/>
      <c r="AR352" s="2"/>
    </row>
    <row r="353" spans="29:44" s="776" customFormat="1">
      <c r="AC353" s="52"/>
      <c r="AD353" s="52"/>
      <c r="AE353" s="52"/>
      <c r="AF353" s="52"/>
      <c r="AG353" s="52"/>
      <c r="AN353" s="11"/>
      <c r="AO353" s="2"/>
      <c r="AP353" s="2"/>
      <c r="AQ353" s="2"/>
      <c r="AR353" s="2"/>
    </row>
    <row r="354" spans="29:44" s="776" customFormat="1">
      <c r="AC354" s="52"/>
      <c r="AD354" s="52"/>
      <c r="AE354" s="52"/>
      <c r="AF354" s="52"/>
      <c r="AG354" s="52"/>
      <c r="AN354" s="11"/>
      <c r="AO354" s="2"/>
      <c r="AP354" s="2"/>
      <c r="AQ354" s="2"/>
      <c r="AR354" s="2"/>
    </row>
    <row r="355" spans="29:44" s="776" customFormat="1">
      <c r="AC355" s="52"/>
      <c r="AD355" s="52"/>
      <c r="AE355" s="52"/>
      <c r="AF355" s="52"/>
      <c r="AG355" s="52"/>
      <c r="AN355" s="11"/>
      <c r="AO355" s="2"/>
      <c r="AP355" s="2"/>
      <c r="AQ355" s="2"/>
      <c r="AR355" s="2"/>
    </row>
    <row r="356" spans="29:44" s="776" customFormat="1">
      <c r="AC356" s="52"/>
      <c r="AD356" s="52"/>
      <c r="AE356" s="52"/>
      <c r="AF356" s="52"/>
      <c r="AG356" s="52"/>
      <c r="AN356" s="11"/>
      <c r="AO356" s="2"/>
      <c r="AP356" s="2"/>
      <c r="AQ356" s="2"/>
      <c r="AR356" s="2"/>
    </row>
    <row r="357" spans="29:44" s="776" customFormat="1">
      <c r="AC357" s="52"/>
      <c r="AD357" s="52"/>
      <c r="AE357" s="52"/>
      <c r="AF357" s="52"/>
      <c r="AG357" s="52"/>
      <c r="AN357" s="11"/>
      <c r="AO357" s="2"/>
      <c r="AP357" s="2"/>
      <c r="AQ357" s="2"/>
      <c r="AR357" s="2"/>
    </row>
    <row r="358" spans="29:44" s="776" customFormat="1">
      <c r="AC358" s="52"/>
      <c r="AD358" s="52"/>
      <c r="AE358" s="52"/>
      <c r="AF358" s="52"/>
      <c r="AG358" s="52"/>
      <c r="AN358" s="11"/>
      <c r="AO358" s="2"/>
      <c r="AP358" s="2"/>
      <c r="AQ358" s="2"/>
      <c r="AR358" s="2"/>
    </row>
    <row r="359" spans="29:44" s="776" customFormat="1">
      <c r="AC359" s="52"/>
      <c r="AD359" s="52"/>
      <c r="AE359" s="52"/>
      <c r="AF359" s="52"/>
      <c r="AG359" s="52"/>
      <c r="AN359" s="11"/>
      <c r="AO359" s="2"/>
      <c r="AP359" s="2"/>
      <c r="AQ359" s="2"/>
      <c r="AR359" s="2"/>
    </row>
    <row r="360" spans="29:44" s="776" customFormat="1">
      <c r="AC360" s="52"/>
      <c r="AD360" s="52"/>
      <c r="AE360" s="52"/>
      <c r="AF360" s="52"/>
      <c r="AG360" s="52"/>
      <c r="AN360" s="11"/>
      <c r="AO360" s="2"/>
      <c r="AP360" s="2"/>
      <c r="AQ360" s="2"/>
      <c r="AR360" s="2"/>
    </row>
    <row r="361" spans="29:44" s="776" customFormat="1">
      <c r="AC361" s="52"/>
      <c r="AD361" s="52"/>
      <c r="AE361" s="52"/>
      <c r="AF361" s="52"/>
      <c r="AG361" s="52"/>
      <c r="AN361" s="11"/>
      <c r="AO361" s="2"/>
      <c r="AP361" s="2"/>
      <c r="AQ361" s="2"/>
      <c r="AR361" s="2"/>
    </row>
    <row r="362" spans="29:44" s="776" customFormat="1">
      <c r="AC362" s="52"/>
      <c r="AD362" s="52"/>
      <c r="AE362" s="52"/>
      <c r="AF362" s="52"/>
      <c r="AG362" s="52"/>
      <c r="AN362" s="11"/>
      <c r="AO362" s="2"/>
      <c r="AP362" s="2"/>
      <c r="AQ362" s="2"/>
      <c r="AR362" s="2"/>
    </row>
    <row r="363" spans="29:44" s="776" customFormat="1">
      <c r="AC363" s="52"/>
      <c r="AD363" s="52"/>
      <c r="AE363" s="52"/>
      <c r="AF363" s="52"/>
      <c r="AG363" s="52"/>
      <c r="AN363" s="11"/>
      <c r="AO363" s="2"/>
      <c r="AP363" s="2"/>
      <c r="AQ363" s="2"/>
      <c r="AR363" s="2"/>
    </row>
    <row r="364" spans="29:44" s="776" customFormat="1">
      <c r="AC364" s="52"/>
      <c r="AD364" s="52"/>
      <c r="AE364" s="52"/>
      <c r="AF364" s="52"/>
      <c r="AG364" s="52"/>
      <c r="AN364" s="11"/>
      <c r="AO364" s="2"/>
      <c r="AP364" s="2"/>
      <c r="AQ364" s="2"/>
      <c r="AR364" s="2"/>
    </row>
    <row r="365" spans="29:44" s="776" customFormat="1">
      <c r="AC365" s="52"/>
      <c r="AD365" s="52"/>
      <c r="AE365" s="52"/>
      <c r="AF365" s="52"/>
      <c r="AG365" s="52"/>
      <c r="AN365" s="11"/>
      <c r="AO365" s="2"/>
      <c r="AP365" s="2"/>
      <c r="AQ365" s="2"/>
      <c r="AR365" s="2"/>
    </row>
    <row r="366" spans="29:44" s="776" customFormat="1">
      <c r="AC366" s="52"/>
      <c r="AD366" s="52"/>
      <c r="AE366" s="52"/>
      <c r="AF366" s="52"/>
      <c r="AG366" s="52"/>
      <c r="AN366" s="11"/>
      <c r="AO366" s="2"/>
      <c r="AP366" s="2"/>
      <c r="AQ366" s="2"/>
      <c r="AR366" s="2"/>
    </row>
    <row r="367" spans="29:44" s="776" customFormat="1">
      <c r="AC367" s="52"/>
      <c r="AD367" s="52"/>
      <c r="AE367" s="52"/>
      <c r="AF367" s="52"/>
      <c r="AG367" s="52"/>
      <c r="AN367" s="11"/>
      <c r="AO367" s="2"/>
      <c r="AP367" s="2"/>
      <c r="AQ367" s="2"/>
      <c r="AR367" s="2"/>
    </row>
    <row r="368" spans="29:44" s="776" customFormat="1">
      <c r="AC368" s="52"/>
      <c r="AD368" s="52"/>
      <c r="AE368" s="52"/>
      <c r="AF368" s="52"/>
      <c r="AG368" s="52"/>
      <c r="AN368" s="11"/>
      <c r="AO368" s="2"/>
      <c r="AP368" s="2"/>
      <c r="AQ368" s="2"/>
      <c r="AR368" s="2"/>
    </row>
    <row r="369" spans="29:44" s="776" customFormat="1">
      <c r="AC369" s="52"/>
      <c r="AD369" s="52"/>
      <c r="AE369" s="52"/>
      <c r="AF369" s="52"/>
      <c r="AG369" s="52"/>
      <c r="AN369" s="11"/>
      <c r="AO369" s="2"/>
      <c r="AP369" s="2"/>
      <c r="AQ369" s="2"/>
      <c r="AR369" s="2"/>
    </row>
    <row r="370" spans="29:44" s="776" customFormat="1">
      <c r="AC370" s="52"/>
      <c r="AD370" s="52"/>
      <c r="AE370" s="52"/>
      <c r="AF370" s="52"/>
      <c r="AG370" s="52"/>
      <c r="AN370" s="11"/>
      <c r="AO370" s="2"/>
      <c r="AP370" s="2"/>
      <c r="AQ370" s="2"/>
      <c r="AR370" s="2"/>
    </row>
    <row r="371" spans="29:44" s="776" customFormat="1">
      <c r="AC371" s="52"/>
      <c r="AD371" s="52"/>
      <c r="AE371" s="52"/>
      <c r="AF371" s="52"/>
      <c r="AG371" s="52"/>
      <c r="AN371" s="11"/>
      <c r="AO371" s="2"/>
      <c r="AP371" s="2"/>
      <c r="AQ371" s="2"/>
      <c r="AR371" s="2"/>
    </row>
    <row r="372" spans="29:44" s="776" customFormat="1">
      <c r="AC372" s="52"/>
      <c r="AD372" s="52"/>
      <c r="AE372" s="52"/>
      <c r="AF372" s="52"/>
      <c r="AG372" s="52"/>
      <c r="AN372" s="11"/>
      <c r="AO372" s="2"/>
      <c r="AP372" s="2"/>
      <c r="AQ372" s="2"/>
      <c r="AR372" s="2"/>
    </row>
    <row r="373" spans="29:44" s="776" customFormat="1">
      <c r="AC373" s="52"/>
      <c r="AD373" s="52"/>
      <c r="AE373" s="52"/>
      <c r="AF373" s="52"/>
      <c r="AG373" s="52"/>
      <c r="AN373" s="11"/>
      <c r="AO373" s="2"/>
      <c r="AP373" s="2"/>
      <c r="AQ373" s="2"/>
      <c r="AR373" s="2"/>
    </row>
    <row r="374" spans="29:44" s="776" customFormat="1">
      <c r="AC374" s="52"/>
      <c r="AD374" s="52"/>
      <c r="AE374" s="52"/>
      <c r="AF374" s="52"/>
      <c r="AG374" s="52"/>
      <c r="AN374" s="11"/>
      <c r="AO374" s="2"/>
      <c r="AP374" s="2"/>
      <c r="AQ374" s="2"/>
      <c r="AR374" s="2"/>
    </row>
    <row r="375" spans="29:44" s="776" customFormat="1">
      <c r="AC375" s="52"/>
      <c r="AD375" s="52"/>
      <c r="AE375" s="52"/>
      <c r="AF375" s="52"/>
      <c r="AG375" s="52"/>
      <c r="AN375" s="11"/>
      <c r="AO375" s="2"/>
      <c r="AP375" s="2"/>
      <c r="AQ375" s="2"/>
      <c r="AR375" s="2"/>
    </row>
    <row r="376" spans="29:44" s="776" customFormat="1">
      <c r="AC376" s="52"/>
      <c r="AD376" s="52"/>
      <c r="AE376" s="52"/>
      <c r="AF376" s="52"/>
      <c r="AG376" s="52"/>
      <c r="AN376" s="11"/>
      <c r="AO376" s="2"/>
      <c r="AP376" s="2"/>
      <c r="AQ376" s="2"/>
      <c r="AR376" s="2"/>
    </row>
    <row r="377" spans="29:44" s="776" customFormat="1">
      <c r="AC377" s="52"/>
      <c r="AD377" s="52"/>
      <c r="AE377" s="52"/>
      <c r="AF377" s="52"/>
      <c r="AG377" s="52"/>
      <c r="AN377" s="11"/>
      <c r="AO377" s="2"/>
      <c r="AP377" s="2"/>
      <c r="AQ377" s="2"/>
      <c r="AR377" s="2"/>
    </row>
    <row r="378" spans="29:44" s="776" customFormat="1">
      <c r="AC378" s="52"/>
      <c r="AD378" s="52"/>
      <c r="AE378" s="52"/>
      <c r="AF378" s="52"/>
      <c r="AG378" s="52"/>
      <c r="AN378" s="11"/>
      <c r="AO378" s="2"/>
      <c r="AP378" s="2"/>
      <c r="AQ378" s="2"/>
      <c r="AR378" s="2"/>
    </row>
    <row r="379" spans="29:44" s="776" customFormat="1">
      <c r="AC379" s="52"/>
      <c r="AD379" s="52"/>
      <c r="AE379" s="52"/>
      <c r="AF379" s="52"/>
      <c r="AG379" s="52"/>
      <c r="AN379" s="11"/>
      <c r="AO379" s="2"/>
      <c r="AP379" s="2"/>
      <c r="AQ379" s="2"/>
      <c r="AR379" s="2"/>
    </row>
    <row r="380" spans="29:44" s="776" customFormat="1">
      <c r="AC380" s="52"/>
      <c r="AD380" s="52"/>
      <c r="AE380" s="52"/>
      <c r="AF380" s="52"/>
      <c r="AG380" s="52"/>
      <c r="AN380" s="11"/>
      <c r="AO380" s="2"/>
      <c r="AP380" s="2"/>
      <c r="AQ380" s="2"/>
      <c r="AR380" s="2"/>
    </row>
    <row r="381" spans="29:44" s="776" customFormat="1">
      <c r="AC381" s="52"/>
      <c r="AD381" s="52"/>
      <c r="AE381" s="52"/>
      <c r="AF381" s="52"/>
      <c r="AG381" s="52"/>
      <c r="AN381" s="11"/>
      <c r="AO381" s="2"/>
      <c r="AP381" s="2"/>
      <c r="AQ381" s="2"/>
      <c r="AR381" s="2"/>
    </row>
    <row r="382" spans="29:44" s="776" customFormat="1">
      <c r="AC382" s="52"/>
      <c r="AD382" s="52"/>
      <c r="AE382" s="52"/>
      <c r="AF382" s="52"/>
      <c r="AG382" s="52"/>
      <c r="AN382" s="11"/>
      <c r="AO382" s="2"/>
      <c r="AP382" s="2"/>
      <c r="AQ382" s="2"/>
      <c r="AR382" s="2"/>
    </row>
    <row r="383" spans="29:44" s="776" customFormat="1">
      <c r="AC383" s="52"/>
      <c r="AD383" s="52"/>
      <c r="AE383" s="52"/>
      <c r="AF383" s="52"/>
      <c r="AG383" s="52"/>
      <c r="AN383" s="11"/>
      <c r="AO383" s="2"/>
      <c r="AP383" s="2"/>
      <c r="AQ383" s="2"/>
      <c r="AR383" s="2"/>
    </row>
    <row r="384" spans="29:44" s="776" customFormat="1">
      <c r="AC384" s="52"/>
      <c r="AD384" s="52"/>
      <c r="AE384" s="52"/>
      <c r="AF384" s="52"/>
      <c r="AG384" s="52"/>
      <c r="AN384" s="11"/>
      <c r="AO384" s="2"/>
      <c r="AP384" s="2"/>
      <c r="AQ384" s="2"/>
      <c r="AR384" s="2"/>
    </row>
    <row r="385" spans="29:44" s="776" customFormat="1">
      <c r="AC385" s="52"/>
      <c r="AD385" s="52"/>
      <c r="AE385" s="52"/>
      <c r="AF385" s="52"/>
      <c r="AG385" s="52"/>
      <c r="AN385" s="11"/>
      <c r="AO385" s="2"/>
      <c r="AP385" s="2"/>
      <c r="AQ385" s="2"/>
      <c r="AR385" s="2"/>
    </row>
    <row r="386" spans="29:44" s="776" customFormat="1">
      <c r="AC386" s="52"/>
      <c r="AD386" s="52"/>
      <c r="AE386" s="52"/>
      <c r="AF386" s="52"/>
      <c r="AG386" s="52"/>
      <c r="AN386" s="11"/>
      <c r="AO386" s="2"/>
      <c r="AP386" s="2"/>
      <c r="AQ386" s="2"/>
      <c r="AR386" s="2"/>
    </row>
    <row r="387" spans="29:44" s="776" customFormat="1">
      <c r="AC387" s="52"/>
      <c r="AD387" s="52"/>
      <c r="AE387" s="52"/>
      <c r="AF387" s="52"/>
      <c r="AG387" s="52"/>
      <c r="AN387" s="11"/>
      <c r="AO387" s="2"/>
      <c r="AP387" s="2"/>
      <c r="AQ387" s="2"/>
      <c r="AR387" s="2"/>
    </row>
    <row r="388" spans="29:44" s="776" customFormat="1">
      <c r="AC388" s="52"/>
      <c r="AD388" s="52"/>
      <c r="AE388" s="52"/>
      <c r="AF388" s="52"/>
      <c r="AG388" s="52"/>
      <c r="AN388" s="11"/>
      <c r="AO388" s="2"/>
      <c r="AP388" s="2"/>
      <c r="AQ388" s="2"/>
      <c r="AR388" s="2"/>
    </row>
    <row r="389" spans="29:44" s="776" customFormat="1">
      <c r="AC389" s="52"/>
      <c r="AD389" s="52"/>
      <c r="AE389" s="52"/>
      <c r="AF389" s="52"/>
      <c r="AG389" s="52"/>
      <c r="AN389" s="11"/>
      <c r="AO389" s="2"/>
      <c r="AP389" s="2"/>
      <c r="AQ389" s="2"/>
      <c r="AR389" s="2"/>
    </row>
    <row r="390" spans="29:44" s="776" customFormat="1">
      <c r="AC390" s="52"/>
      <c r="AD390" s="52"/>
      <c r="AE390" s="52"/>
      <c r="AF390" s="52"/>
      <c r="AG390" s="52"/>
      <c r="AN390" s="11"/>
      <c r="AO390" s="2"/>
      <c r="AP390" s="2"/>
      <c r="AQ390" s="2"/>
      <c r="AR390" s="2"/>
    </row>
    <row r="391" spans="29:44" s="776" customFormat="1">
      <c r="AC391" s="52"/>
      <c r="AD391" s="52"/>
      <c r="AE391" s="52"/>
      <c r="AF391" s="52"/>
      <c r="AG391" s="52"/>
      <c r="AN391" s="11"/>
      <c r="AO391" s="2"/>
      <c r="AP391" s="2"/>
      <c r="AQ391" s="2"/>
      <c r="AR391" s="2"/>
    </row>
    <row r="392" spans="29:44" s="776" customFormat="1">
      <c r="AC392" s="52"/>
      <c r="AD392" s="52"/>
      <c r="AE392" s="52"/>
      <c r="AF392" s="52"/>
      <c r="AG392" s="52"/>
      <c r="AN392" s="11"/>
      <c r="AO392" s="2"/>
      <c r="AP392" s="2"/>
      <c r="AQ392" s="2"/>
      <c r="AR392" s="2"/>
    </row>
    <row r="393" spans="29:44" s="776" customFormat="1">
      <c r="AC393" s="52"/>
      <c r="AD393" s="52"/>
      <c r="AE393" s="52"/>
      <c r="AF393" s="52"/>
      <c r="AG393" s="52"/>
      <c r="AN393" s="11"/>
      <c r="AO393" s="2"/>
      <c r="AP393" s="2"/>
      <c r="AQ393" s="2"/>
      <c r="AR393" s="2"/>
    </row>
    <row r="394" spans="29:44" s="776" customFormat="1">
      <c r="AC394" s="52"/>
      <c r="AD394" s="52"/>
      <c r="AE394" s="52"/>
      <c r="AF394" s="52"/>
      <c r="AG394" s="52"/>
      <c r="AN394" s="11"/>
      <c r="AO394" s="2"/>
      <c r="AP394" s="2"/>
      <c r="AQ394" s="2"/>
      <c r="AR394" s="2"/>
    </row>
    <row r="395" spans="29:44" s="776" customFormat="1">
      <c r="AC395" s="52"/>
      <c r="AD395" s="52"/>
      <c r="AE395" s="52"/>
      <c r="AF395" s="52"/>
      <c r="AG395" s="52"/>
      <c r="AN395" s="11"/>
      <c r="AO395" s="2"/>
      <c r="AP395" s="2"/>
      <c r="AQ395" s="2"/>
      <c r="AR395" s="2"/>
    </row>
    <row r="396" spans="29:44" s="776" customFormat="1">
      <c r="AC396" s="52"/>
      <c r="AD396" s="52"/>
      <c r="AE396" s="52"/>
      <c r="AF396" s="52"/>
      <c r="AG396" s="52"/>
      <c r="AN396" s="11"/>
      <c r="AO396" s="2"/>
      <c r="AP396" s="2"/>
      <c r="AQ396" s="2"/>
      <c r="AR396" s="2"/>
    </row>
    <row r="397" spans="29:44" s="776" customFormat="1">
      <c r="AC397" s="52"/>
      <c r="AD397" s="52"/>
      <c r="AE397" s="52"/>
      <c r="AF397" s="52"/>
      <c r="AG397" s="52"/>
      <c r="AN397" s="11"/>
      <c r="AO397" s="2"/>
      <c r="AP397" s="2"/>
      <c r="AQ397" s="2"/>
      <c r="AR397" s="2"/>
    </row>
    <row r="398" spans="29:44" s="776" customFormat="1">
      <c r="AC398" s="69"/>
      <c r="AD398" s="52"/>
      <c r="AE398" s="52"/>
      <c r="AF398" s="52"/>
      <c r="AG398" s="52"/>
      <c r="AN398" s="11"/>
      <c r="AO398" s="2"/>
      <c r="AP398" s="2"/>
      <c r="AQ398" s="2"/>
      <c r="AR398" s="2"/>
    </row>
    <row r="399" spans="29:44" s="776" customFormat="1">
      <c r="AC399" s="52"/>
      <c r="AD399" s="52"/>
      <c r="AE399" s="52"/>
      <c r="AF399" s="52"/>
      <c r="AG399" s="52"/>
      <c r="AN399" s="11"/>
      <c r="AO399" s="2"/>
      <c r="AP399" s="2"/>
      <c r="AQ399" s="2"/>
      <c r="AR399" s="2"/>
    </row>
    <row r="400" spans="29:44" s="776" customFormat="1">
      <c r="AC400" s="52"/>
      <c r="AD400" s="52"/>
      <c r="AE400" s="52"/>
      <c r="AF400" s="52"/>
      <c r="AG400" s="52"/>
      <c r="AN400" s="11"/>
      <c r="AO400" s="2"/>
      <c r="AP400" s="2"/>
      <c r="AQ400" s="2"/>
      <c r="AR400" s="2"/>
    </row>
    <row r="401" spans="1:44" s="776" customFormat="1">
      <c r="AC401" s="52"/>
      <c r="AD401" s="52"/>
      <c r="AE401" s="52"/>
      <c r="AF401" s="52"/>
      <c r="AG401" s="52"/>
      <c r="AN401" s="11"/>
      <c r="AO401" s="2"/>
      <c r="AP401" s="2"/>
      <c r="AQ401" s="2"/>
      <c r="AR401" s="2"/>
    </row>
    <row r="402" spans="1:44" s="776" customFormat="1">
      <c r="AC402" s="52"/>
      <c r="AD402" s="52"/>
      <c r="AE402" s="52"/>
      <c r="AF402" s="52"/>
      <c r="AG402" s="52"/>
      <c r="AN402" s="11"/>
      <c r="AO402" s="2"/>
      <c r="AP402" s="2"/>
      <c r="AQ402" s="2"/>
      <c r="AR402" s="2"/>
    </row>
    <row r="403" spans="1:44" s="776" customFormat="1">
      <c r="AC403" s="52"/>
      <c r="AD403" s="52"/>
      <c r="AE403" s="52"/>
      <c r="AF403" s="52"/>
      <c r="AG403" s="52"/>
      <c r="AN403" s="11"/>
      <c r="AO403" s="2"/>
      <c r="AP403" s="2"/>
      <c r="AQ403" s="2"/>
      <c r="AR403" s="2"/>
    </row>
    <row r="404" spans="1:44" s="776" customFormat="1">
      <c r="AC404" s="52"/>
      <c r="AD404" s="52"/>
      <c r="AE404" s="52"/>
      <c r="AF404" s="52"/>
      <c r="AG404" s="52"/>
      <c r="AN404" s="11"/>
      <c r="AO404" s="2"/>
      <c r="AP404" s="2"/>
      <c r="AQ404" s="2"/>
      <c r="AR404" s="2"/>
    </row>
    <row r="405" spans="1:44" s="776" customFormat="1">
      <c r="AC405" s="52"/>
      <c r="AD405" s="52"/>
      <c r="AE405" s="52"/>
      <c r="AF405" s="52"/>
      <c r="AG405" s="52"/>
      <c r="AN405" s="11"/>
      <c r="AO405" s="2"/>
      <c r="AP405" s="2"/>
      <c r="AQ405" s="2"/>
      <c r="AR405" s="2"/>
    </row>
    <row r="406" spans="1:44" s="776" customFormat="1">
      <c r="AC406" s="52"/>
      <c r="AD406" s="52"/>
      <c r="AE406" s="52"/>
      <c r="AF406" s="52"/>
      <c r="AG406" s="52"/>
      <c r="AN406" s="2"/>
      <c r="AO406" s="2"/>
      <c r="AP406" s="2"/>
      <c r="AQ406" s="2"/>
      <c r="AR406" s="2"/>
    </row>
    <row r="407" spans="1:44" s="776" customFormat="1">
      <c r="AC407" s="52"/>
      <c r="AD407" s="52"/>
      <c r="AE407" s="52"/>
      <c r="AF407" s="52"/>
      <c r="AG407" s="52"/>
      <c r="AN407" s="2"/>
      <c r="AO407" s="2"/>
      <c r="AP407" s="2"/>
      <c r="AQ407" s="2"/>
      <c r="AR407" s="2"/>
    </row>
    <row r="408" spans="1:44" s="776" customFormat="1">
      <c r="AC408" s="52"/>
      <c r="AD408" s="52"/>
      <c r="AE408" s="52"/>
      <c r="AF408" s="52"/>
      <c r="AG408" s="52"/>
      <c r="AN408" s="2"/>
      <c r="AO408" s="2"/>
      <c r="AP408" s="2"/>
      <c r="AQ408" s="2"/>
      <c r="AR408" s="2"/>
    </row>
    <row r="409" spans="1:44" s="776" customFormat="1">
      <c r="AC409" s="52"/>
      <c r="AD409" s="52"/>
      <c r="AE409" s="52"/>
      <c r="AF409" s="52"/>
      <c r="AG409" s="52"/>
      <c r="AN409" s="2"/>
      <c r="AO409" s="2"/>
      <c r="AP409" s="2"/>
      <c r="AQ409" s="2"/>
      <c r="AR409" s="2"/>
    </row>
    <row r="410" spans="1:44" s="776" customFormat="1">
      <c r="AC410" s="52"/>
      <c r="AD410" s="52"/>
      <c r="AE410" s="52"/>
      <c r="AF410" s="52"/>
      <c r="AG410" s="52"/>
      <c r="AN410" s="2"/>
      <c r="AO410" s="2"/>
      <c r="AP410" s="2"/>
      <c r="AQ410" s="2"/>
      <c r="AR410" s="2"/>
    </row>
    <row r="411" spans="1:44" s="776" customFormat="1">
      <c r="AC411" s="52"/>
      <c r="AD411" s="52"/>
      <c r="AE411" s="52"/>
      <c r="AF411" s="52"/>
      <c r="AG411" s="52"/>
      <c r="AN411" s="2"/>
      <c r="AO411" s="2"/>
      <c r="AP411" s="2"/>
      <c r="AQ411" s="2"/>
      <c r="AR411" s="2"/>
    </row>
    <row r="412" spans="1:44" s="776" customFormat="1">
      <c r="AC412" s="52"/>
      <c r="AD412" s="52"/>
      <c r="AE412" s="52"/>
      <c r="AF412" s="52"/>
      <c r="AG412" s="52"/>
      <c r="AN412" s="2"/>
      <c r="AO412" s="2"/>
      <c r="AP412" s="2"/>
      <c r="AQ412" s="2"/>
      <c r="AR412" s="2"/>
    </row>
    <row r="413" spans="1:44" s="776" customFormat="1">
      <c r="AC413" s="52"/>
      <c r="AD413" s="52"/>
      <c r="AE413" s="52"/>
      <c r="AF413" s="52"/>
      <c r="AG413" s="52"/>
      <c r="AN413" s="2"/>
      <c r="AO413" s="2"/>
      <c r="AP413" s="2"/>
      <c r="AQ413" s="2"/>
      <c r="AR413" s="2"/>
    </row>
    <row r="414" spans="1:44" s="776" customFormat="1">
      <c r="AC414" s="52"/>
      <c r="AD414" s="52"/>
      <c r="AE414" s="52"/>
      <c r="AF414" s="52"/>
      <c r="AG414" s="52"/>
      <c r="AN414" s="2"/>
      <c r="AO414" s="2"/>
      <c r="AP414" s="2"/>
      <c r="AQ414" s="2"/>
      <c r="AR414" s="2"/>
    </row>
    <row r="415" spans="1:44" s="776" customFormat="1">
      <c r="A415" s="793"/>
      <c r="B415" s="793"/>
      <c r="C415" s="793"/>
      <c r="D415" s="793"/>
      <c r="E415" s="793"/>
      <c r="F415" s="793"/>
      <c r="G415" s="793"/>
      <c r="H415" s="793"/>
      <c r="I415" s="793"/>
      <c r="J415" s="793"/>
      <c r="K415" s="793"/>
      <c r="L415" s="793"/>
      <c r="M415" s="793"/>
      <c r="N415" s="793"/>
      <c r="O415" s="793"/>
      <c r="P415" s="793"/>
      <c r="Q415" s="793"/>
      <c r="R415" s="793"/>
      <c r="S415" s="793"/>
      <c r="T415" s="793"/>
      <c r="U415" s="793"/>
      <c r="V415" s="793"/>
      <c r="AC415" s="52"/>
      <c r="AD415" s="52"/>
      <c r="AE415" s="52"/>
      <c r="AF415" s="52"/>
      <c r="AG415" s="52"/>
      <c r="AN415" s="2"/>
      <c r="AO415" s="2"/>
      <c r="AP415" s="2"/>
      <c r="AQ415" s="2"/>
      <c r="AR415" s="2"/>
    </row>
    <row r="416" spans="1:44" s="776" customFormat="1">
      <c r="A416" s="793"/>
      <c r="B416" s="793"/>
      <c r="C416" s="793"/>
      <c r="D416" s="793"/>
      <c r="E416" s="793"/>
      <c r="F416" s="793"/>
      <c r="G416" s="793"/>
      <c r="H416" s="793"/>
      <c r="I416" s="793"/>
      <c r="J416" s="793"/>
      <c r="K416" s="793"/>
      <c r="L416" s="793"/>
      <c r="M416" s="793"/>
      <c r="N416" s="793"/>
      <c r="O416" s="793"/>
      <c r="P416" s="793"/>
      <c r="Q416" s="793"/>
      <c r="R416" s="793"/>
      <c r="S416" s="793"/>
      <c r="T416" s="793"/>
      <c r="U416" s="793"/>
      <c r="V416" s="793"/>
      <c r="AC416" s="52"/>
      <c r="AD416" s="52"/>
      <c r="AE416" s="52"/>
      <c r="AF416" s="52"/>
      <c r="AG416" s="52"/>
      <c r="AN416" s="2"/>
      <c r="AO416" s="2"/>
      <c r="AP416" s="2"/>
      <c r="AQ416" s="2"/>
      <c r="AR416" s="2"/>
    </row>
    <row r="417" spans="1:44" s="776" customFormat="1">
      <c r="A417" s="892"/>
      <c r="B417" s="892"/>
      <c r="C417" s="892"/>
      <c r="D417" s="892"/>
      <c r="E417" s="892"/>
      <c r="F417" s="892"/>
      <c r="G417" s="892"/>
      <c r="H417" s="892"/>
      <c r="I417" s="892"/>
      <c r="J417" s="892"/>
      <c r="K417" s="892"/>
      <c r="L417" s="892"/>
      <c r="M417" s="892"/>
      <c r="N417" s="892"/>
      <c r="O417" s="892"/>
      <c r="P417" s="892"/>
      <c r="Q417" s="892"/>
      <c r="R417" s="892"/>
      <c r="S417" s="892"/>
      <c r="T417" s="892"/>
      <c r="U417" s="892"/>
      <c r="V417" s="892"/>
      <c r="W417" s="4"/>
      <c r="X417" s="4"/>
      <c r="Y417" s="4"/>
      <c r="Z417" s="4"/>
      <c r="AA417" s="4"/>
      <c r="AC417" s="52"/>
      <c r="AD417" s="52"/>
      <c r="AE417" s="52"/>
      <c r="AF417" s="52"/>
      <c r="AG417" s="52"/>
      <c r="AN417" s="2"/>
      <c r="AO417" s="2"/>
      <c r="AP417" s="2"/>
      <c r="AQ417" s="2"/>
      <c r="AR417" s="2"/>
    </row>
    <row r="418" spans="1:44" s="776" customFormat="1">
      <c r="A418" s="793"/>
      <c r="B418" s="793"/>
      <c r="C418" s="793"/>
      <c r="D418" s="793"/>
      <c r="E418" s="793"/>
      <c r="F418" s="793"/>
      <c r="G418" s="793"/>
      <c r="H418" s="793"/>
      <c r="I418" s="793"/>
      <c r="J418" s="793"/>
      <c r="K418" s="793"/>
      <c r="L418" s="793"/>
      <c r="M418" s="793"/>
      <c r="N418" s="793"/>
      <c r="O418" s="793"/>
      <c r="P418" s="793"/>
      <c r="Q418" s="793"/>
      <c r="R418" s="793"/>
      <c r="S418" s="793"/>
      <c r="T418" s="793"/>
      <c r="U418" s="793"/>
      <c r="V418" s="793"/>
      <c r="AC418" s="52"/>
      <c r="AD418" s="52"/>
      <c r="AE418" s="52"/>
      <c r="AF418" s="52"/>
      <c r="AG418" s="52"/>
      <c r="AN418" s="2"/>
      <c r="AO418" s="2"/>
      <c r="AP418" s="2"/>
      <c r="AQ418" s="2"/>
      <c r="AR418" s="2"/>
    </row>
    <row r="419" spans="1:44" s="776" customFormat="1">
      <c r="A419" s="793"/>
      <c r="B419" s="793"/>
      <c r="C419" s="793"/>
      <c r="D419" s="793"/>
      <c r="E419" s="793"/>
      <c r="F419" s="793"/>
      <c r="G419" s="793"/>
      <c r="H419" s="793"/>
      <c r="I419" s="793"/>
      <c r="J419" s="793"/>
      <c r="K419" s="793"/>
      <c r="L419" s="793"/>
      <c r="M419" s="793"/>
      <c r="N419" s="793"/>
      <c r="O419" s="793"/>
      <c r="P419" s="793"/>
      <c r="Q419" s="793"/>
      <c r="R419" s="793"/>
      <c r="S419" s="793"/>
      <c r="T419" s="793"/>
      <c r="U419" s="793"/>
      <c r="V419" s="793"/>
      <c r="AC419" s="52"/>
      <c r="AD419" s="52"/>
      <c r="AE419" s="52"/>
      <c r="AF419" s="52"/>
      <c r="AG419" s="52"/>
      <c r="AN419" s="2"/>
      <c r="AO419" s="2"/>
      <c r="AP419" s="2"/>
      <c r="AQ419" s="2"/>
      <c r="AR419" s="2"/>
    </row>
    <row r="420" spans="1:44" s="776" customFormat="1">
      <c r="A420" s="793"/>
      <c r="B420" s="793"/>
      <c r="C420" s="793"/>
      <c r="D420" s="793"/>
      <c r="E420" s="793"/>
      <c r="F420" s="793"/>
      <c r="G420" s="793"/>
      <c r="H420" s="793"/>
      <c r="I420" s="793"/>
      <c r="J420" s="793"/>
      <c r="K420" s="793"/>
      <c r="L420" s="793"/>
      <c r="M420" s="793"/>
      <c r="N420" s="793"/>
      <c r="O420" s="793"/>
      <c r="P420" s="793"/>
      <c r="Q420" s="793"/>
      <c r="R420" s="793"/>
      <c r="S420" s="793"/>
      <c r="T420" s="793"/>
      <c r="U420" s="793"/>
      <c r="V420" s="793"/>
      <c r="AC420" s="52"/>
      <c r="AD420" s="52"/>
      <c r="AE420" s="52"/>
      <c r="AF420" s="52"/>
      <c r="AG420" s="52"/>
      <c r="AN420" s="2"/>
      <c r="AO420" s="2"/>
      <c r="AP420" s="2"/>
      <c r="AQ420" s="2"/>
      <c r="AR420" s="2"/>
    </row>
    <row r="421" spans="1:44" s="592" customFormat="1">
      <c r="A421" s="776"/>
      <c r="B421" s="776"/>
      <c r="C421" s="776"/>
      <c r="D421" s="776"/>
      <c r="E421" s="776"/>
      <c r="F421" s="776"/>
      <c r="G421" s="776"/>
      <c r="H421" s="776"/>
      <c r="I421" s="776"/>
      <c r="J421" s="776"/>
      <c r="K421" s="776"/>
      <c r="L421" s="776"/>
      <c r="M421" s="776"/>
      <c r="N421" s="776"/>
      <c r="O421" s="776"/>
      <c r="P421" s="776"/>
      <c r="Q421" s="776"/>
      <c r="R421" s="776"/>
      <c r="S421" s="776"/>
      <c r="T421" s="776"/>
      <c r="U421" s="776"/>
      <c r="V421" s="776"/>
      <c r="W421" s="776"/>
      <c r="X421" s="776"/>
      <c r="Y421" s="776"/>
      <c r="Z421" s="776"/>
      <c r="AA421" s="776"/>
      <c r="AB421" s="776"/>
      <c r="AC421" s="52"/>
      <c r="AD421" s="52"/>
      <c r="AE421" s="52"/>
      <c r="AF421" s="52"/>
      <c r="AG421" s="52"/>
      <c r="AH421" s="776"/>
      <c r="AI421" s="776"/>
      <c r="AJ421" s="776"/>
      <c r="AK421" s="776"/>
      <c r="AL421" s="776"/>
      <c r="AM421" s="776"/>
      <c r="AN421" s="2"/>
      <c r="AO421" s="2"/>
      <c r="AP421" s="2"/>
      <c r="AQ421" s="2"/>
      <c r="AR421" s="2"/>
    </row>
    <row r="422" spans="1:44" s="776" customFormat="1">
      <c r="AC422" s="52"/>
      <c r="AD422" s="52"/>
      <c r="AE422" s="52"/>
      <c r="AF422" s="52"/>
      <c r="AG422" s="52"/>
      <c r="AN422" s="2"/>
      <c r="AO422" s="2"/>
      <c r="AP422" s="2"/>
      <c r="AQ422" s="2"/>
      <c r="AR422" s="2"/>
    </row>
    <row r="423" spans="1:44">
      <c r="A423" s="776"/>
      <c r="B423" s="776"/>
      <c r="C423" s="776"/>
      <c r="D423" s="776"/>
      <c r="F423" s="776"/>
      <c r="G423" s="776"/>
      <c r="H423" s="776"/>
      <c r="I423" s="776"/>
      <c r="J423" s="776"/>
      <c r="K423" s="776"/>
      <c r="L423" s="776"/>
      <c r="M423" s="776"/>
      <c r="O423" s="776"/>
      <c r="P423" s="776"/>
      <c r="Q423" s="776"/>
      <c r="R423" s="776"/>
      <c r="S423" s="776"/>
      <c r="T423" s="776"/>
      <c r="U423" s="776"/>
      <c r="V423" s="776"/>
      <c r="W423" s="776"/>
      <c r="X423" s="776"/>
      <c r="Y423" s="776"/>
      <c r="Z423" s="776"/>
      <c r="AA423" s="776"/>
      <c r="AB423" s="776"/>
      <c r="AC423" s="52"/>
      <c r="AD423" s="52"/>
      <c r="AE423" s="52"/>
      <c r="AF423" s="52"/>
      <c r="AG423" s="52"/>
      <c r="AH423" s="776"/>
      <c r="AI423" s="776"/>
      <c r="AJ423" s="776"/>
      <c r="AK423" s="776"/>
      <c r="AL423" s="776"/>
      <c r="AM423" s="776"/>
      <c r="AN423" s="776"/>
      <c r="AO423" s="776"/>
      <c r="AP423" s="776"/>
      <c r="AQ423" s="776"/>
      <c r="AR423" s="776"/>
    </row>
    <row r="424" spans="1:44">
      <c r="A424" s="776"/>
      <c r="B424" s="776"/>
      <c r="C424" s="776"/>
      <c r="D424" s="776"/>
      <c r="F424" s="776"/>
      <c r="G424" s="776"/>
      <c r="H424" s="776"/>
      <c r="I424" s="776"/>
      <c r="J424" s="776"/>
      <c r="K424" s="776"/>
      <c r="L424" s="776"/>
      <c r="M424" s="776"/>
      <c r="O424" s="776"/>
      <c r="P424" s="776"/>
      <c r="Q424" s="776"/>
      <c r="R424" s="776"/>
      <c r="S424" s="776"/>
      <c r="T424" s="776"/>
      <c r="U424" s="776"/>
      <c r="V424" s="776"/>
      <c r="W424" s="776"/>
      <c r="X424" s="776"/>
      <c r="Y424" s="776"/>
      <c r="Z424" s="776"/>
      <c r="AA424" s="776"/>
      <c r="AB424" s="776"/>
      <c r="AC424" s="52"/>
      <c r="AD424" s="52"/>
      <c r="AE424" s="52"/>
      <c r="AF424" s="52"/>
      <c r="AG424" s="52"/>
      <c r="AH424" s="776"/>
      <c r="AI424" s="776"/>
      <c r="AJ424" s="776"/>
      <c r="AK424" s="776"/>
      <c r="AL424" s="776"/>
      <c r="AM424" s="776"/>
      <c r="AN424" s="776"/>
      <c r="AO424" s="776"/>
      <c r="AP424" s="776"/>
      <c r="AQ424" s="776"/>
      <c r="AR424" s="776"/>
    </row>
    <row r="425" spans="1:44" s="167" customFormat="1">
      <c r="A425" s="776"/>
      <c r="B425" s="776"/>
      <c r="C425" s="776"/>
      <c r="D425" s="776"/>
      <c r="E425" s="776"/>
      <c r="F425" s="776"/>
      <c r="G425" s="776"/>
      <c r="H425" s="776"/>
      <c r="I425" s="776"/>
      <c r="J425" s="776"/>
      <c r="K425" s="776"/>
      <c r="L425" s="776"/>
      <c r="M425" s="776"/>
      <c r="N425" s="776"/>
      <c r="O425" s="776"/>
      <c r="P425" s="776"/>
      <c r="Q425" s="776"/>
      <c r="R425" s="776"/>
      <c r="S425" s="776"/>
      <c r="T425" s="776"/>
      <c r="U425" s="776"/>
      <c r="V425" s="776"/>
      <c r="W425" s="776"/>
      <c r="X425" s="776"/>
      <c r="Y425" s="776"/>
      <c r="Z425" s="776"/>
      <c r="AA425" s="776"/>
      <c r="AB425" s="776"/>
      <c r="AC425" s="52"/>
      <c r="AD425" s="52"/>
      <c r="AE425" s="52"/>
      <c r="AF425" s="52"/>
      <c r="AG425" s="52"/>
      <c r="AH425" s="776"/>
      <c r="AI425" s="776"/>
      <c r="AJ425" s="776"/>
      <c r="AK425" s="776"/>
      <c r="AL425" s="776"/>
      <c r="AM425" s="776"/>
      <c r="AN425" s="776"/>
      <c r="AO425" s="776"/>
      <c r="AP425" s="776"/>
      <c r="AQ425" s="776"/>
      <c r="AR425" s="776"/>
    </row>
    <row r="426" spans="1:44">
      <c r="A426" s="776"/>
      <c r="B426" s="776"/>
      <c r="C426" s="776"/>
      <c r="D426" s="776"/>
      <c r="F426" s="776"/>
      <c r="G426" s="776"/>
      <c r="H426" s="776"/>
      <c r="I426" s="776"/>
      <c r="J426" s="776"/>
      <c r="K426" s="776"/>
      <c r="L426" s="776"/>
      <c r="M426" s="776"/>
      <c r="O426" s="776"/>
      <c r="P426" s="776"/>
      <c r="Q426" s="776"/>
      <c r="R426" s="776"/>
      <c r="S426" s="776"/>
      <c r="T426" s="776"/>
      <c r="U426" s="776"/>
      <c r="V426" s="776"/>
      <c r="W426" s="776"/>
      <c r="X426" s="776"/>
      <c r="Y426" s="776"/>
      <c r="Z426" s="776"/>
      <c r="AA426" s="776"/>
      <c r="AB426" s="776"/>
      <c r="AC426" s="52"/>
      <c r="AD426" s="52"/>
      <c r="AE426" s="52"/>
      <c r="AF426" s="52"/>
      <c r="AG426" s="52"/>
      <c r="AH426" s="776"/>
      <c r="AI426" s="776"/>
      <c r="AJ426" s="776"/>
      <c r="AK426" s="776"/>
      <c r="AL426" s="776"/>
      <c r="AM426" s="776"/>
      <c r="AN426" s="776"/>
      <c r="AO426" s="776"/>
      <c r="AP426" s="776"/>
      <c r="AQ426" s="776"/>
      <c r="AR426" s="776"/>
    </row>
    <row r="427" spans="1:44">
      <c r="A427" s="776"/>
      <c r="B427" s="776"/>
      <c r="C427" s="776"/>
      <c r="D427" s="776"/>
      <c r="F427" s="776"/>
      <c r="G427" s="776"/>
      <c r="H427" s="776"/>
      <c r="I427" s="776"/>
      <c r="J427" s="776"/>
      <c r="K427" s="776"/>
      <c r="L427" s="776"/>
      <c r="M427" s="776"/>
      <c r="O427" s="776"/>
      <c r="P427" s="776"/>
      <c r="Q427" s="776"/>
      <c r="R427" s="776"/>
      <c r="S427" s="776"/>
      <c r="T427" s="776"/>
      <c r="U427" s="776"/>
      <c r="V427" s="776"/>
      <c r="W427" s="776"/>
      <c r="X427" s="776"/>
      <c r="Y427" s="776"/>
      <c r="Z427" s="776"/>
      <c r="AA427" s="776"/>
      <c r="AB427" s="776"/>
      <c r="AC427" s="69"/>
      <c r="AD427" s="52"/>
      <c r="AE427" s="52"/>
      <c r="AF427" s="52"/>
      <c r="AG427" s="52"/>
      <c r="AH427" s="776"/>
      <c r="AI427" s="776"/>
      <c r="AJ427" s="776"/>
      <c r="AK427" s="776"/>
      <c r="AL427" s="776"/>
      <c r="AM427" s="776"/>
      <c r="AN427" s="776"/>
      <c r="AO427" s="776"/>
      <c r="AP427" s="776"/>
      <c r="AQ427" s="776"/>
      <c r="AR427" s="776"/>
    </row>
    <row r="428" spans="1:44">
      <c r="A428" s="776"/>
      <c r="B428" s="776"/>
      <c r="C428" s="776"/>
      <c r="D428" s="776"/>
      <c r="F428" s="776"/>
      <c r="G428" s="776"/>
      <c r="H428" s="776"/>
      <c r="I428" s="776"/>
      <c r="J428" s="776"/>
      <c r="K428" s="776"/>
      <c r="L428" s="776"/>
      <c r="M428" s="776"/>
      <c r="O428" s="776"/>
      <c r="P428" s="776"/>
      <c r="Q428" s="776"/>
      <c r="R428" s="776"/>
      <c r="S428" s="776"/>
      <c r="T428" s="776"/>
      <c r="U428" s="776"/>
      <c r="V428" s="776"/>
      <c r="W428" s="776"/>
      <c r="X428" s="776"/>
      <c r="Y428" s="776"/>
      <c r="Z428" s="776"/>
      <c r="AA428" s="776"/>
      <c r="AB428" s="776"/>
      <c r="AC428" s="793"/>
      <c r="AD428" s="793"/>
      <c r="AE428" s="793"/>
      <c r="AF428" s="793"/>
      <c r="AG428" s="793"/>
      <c r="AH428" s="11"/>
      <c r="AI428" s="11"/>
      <c r="AJ428" s="11"/>
      <c r="AK428" s="776"/>
      <c r="AL428" s="776"/>
      <c r="AM428" s="776"/>
      <c r="AN428" s="776"/>
      <c r="AO428" s="776"/>
      <c r="AP428" s="776"/>
      <c r="AQ428" s="776"/>
      <c r="AR428" s="776"/>
    </row>
    <row r="429" spans="1:44">
      <c r="A429" s="776"/>
      <c r="B429" s="776"/>
      <c r="C429" s="776"/>
      <c r="D429" s="776"/>
      <c r="F429" s="776"/>
      <c r="G429" s="776"/>
      <c r="H429" s="776"/>
      <c r="I429" s="776"/>
      <c r="J429" s="776"/>
      <c r="K429" s="776"/>
      <c r="L429" s="776"/>
      <c r="M429" s="776"/>
      <c r="O429" s="776"/>
      <c r="P429" s="776"/>
      <c r="Q429" s="776"/>
      <c r="R429" s="776"/>
      <c r="S429" s="776"/>
      <c r="T429" s="776"/>
      <c r="U429" s="776"/>
      <c r="V429" s="776"/>
      <c r="W429" s="776"/>
      <c r="X429" s="776"/>
      <c r="Y429" s="776"/>
      <c r="Z429" s="776"/>
      <c r="AA429" s="776"/>
      <c r="AB429" s="776"/>
      <c r="AC429" s="793"/>
      <c r="AD429" s="793"/>
      <c r="AE429" s="793"/>
      <c r="AF429" s="793"/>
      <c r="AG429" s="793"/>
      <c r="AH429" s="11"/>
      <c r="AI429" s="11"/>
      <c r="AJ429" s="11"/>
      <c r="AK429" s="776"/>
      <c r="AL429" s="776"/>
      <c r="AM429" s="776"/>
      <c r="AN429" s="776"/>
      <c r="AO429" s="776"/>
      <c r="AP429" s="776"/>
      <c r="AQ429" s="776"/>
      <c r="AR429" s="776"/>
    </row>
    <row r="430" spans="1:44">
      <c r="A430" s="776"/>
      <c r="B430" s="776"/>
      <c r="C430" s="776"/>
      <c r="D430" s="776"/>
      <c r="F430" s="776"/>
      <c r="G430" s="776"/>
      <c r="H430" s="776"/>
      <c r="I430" s="776"/>
      <c r="J430" s="776"/>
      <c r="K430" s="776"/>
      <c r="L430" s="776"/>
      <c r="M430" s="776"/>
      <c r="O430" s="776"/>
      <c r="P430" s="776"/>
      <c r="Q430" s="776"/>
      <c r="R430" s="776"/>
      <c r="S430" s="776"/>
      <c r="T430" s="776"/>
      <c r="U430" s="776"/>
      <c r="V430" s="776"/>
      <c r="W430" s="776"/>
      <c r="X430" s="776"/>
      <c r="Y430" s="776"/>
      <c r="Z430" s="776"/>
      <c r="AA430" s="776"/>
      <c r="AB430" s="776"/>
      <c r="AC430" s="793"/>
      <c r="AD430" s="793"/>
      <c r="AE430" s="793"/>
      <c r="AF430" s="793"/>
      <c r="AG430" s="793"/>
      <c r="AH430" s="11"/>
      <c r="AI430" s="11"/>
      <c r="AJ430" s="11"/>
      <c r="AK430" s="776"/>
      <c r="AL430" s="776"/>
      <c r="AM430" s="776"/>
      <c r="AN430" s="776"/>
      <c r="AO430" s="776"/>
      <c r="AP430" s="776"/>
      <c r="AQ430" s="776"/>
      <c r="AR430" s="776"/>
    </row>
    <row r="431" spans="1:44">
      <c r="A431" s="776"/>
      <c r="B431" s="776"/>
      <c r="C431" s="776"/>
      <c r="D431" s="776"/>
      <c r="F431" s="776"/>
      <c r="G431" s="776"/>
      <c r="H431" s="776"/>
      <c r="I431" s="776"/>
      <c r="J431" s="776"/>
      <c r="K431" s="776"/>
      <c r="L431" s="776"/>
      <c r="M431" s="776"/>
      <c r="O431" s="776"/>
      <c r="P431" s="776"/>
      <c r="Q431" s="776"/>
      <c r="R431" s="776"/>
      <c r="S431" s="776"/>
      <c r="T431" s="776"/>
      <c r="U431" s="776"/>
      <c r="V431" s="776"/>
      <c r="W431" s="776"/>
      <c r="X431" s="776"/>
      <c r="Y431" s="776"/>
      <c r="Z431" s="776"/>
      <c r="AA431" s="776"/>
      <c r="AB431" s="776"/>
      <c r="AC431" s="793"/>
      <c r="AD431" s="793"/>
      <c r="AE431" s="793"/>
      <c r="AF431" s="793"/>
      <c r="AG431" s="793"/>
      <c r="AH431" s="11"/>
      <c r="AI431" s="11"/>
      <c r="AJ431" s="11"/>
      <c r="AK431" s="776"/>
      <c r="AL431" s="776"/>
      <c r="AM431" s="776"/>
      <c r="AN431" s="776"/>
      <c r="AO431" s="776"/>
      <c r="AP431" s="776"/>
      <c r="AQ431" s="776"/>
      <c r="AR431" s="776"/>
    </row>
    <row r="432" spans="1:44">
      <c r="A432" s="776"/>
      <c r="B432" s="776"/>
      <c r="C432" s="776"/>
      <c r="D432" s="776"/>
      <c r="F432" s="776"/>
      <c r="G432" s="776"/>
      <c r="H432" s="776"/>
      <c r="I432" s="776"/>
      <c r="J432" s="776"/>
      <c r="K432" s="776"/>
      <c r="L432" s="776"/>
      <c r="M432" s="776"/>
      <c r="O432" s="776"/>
      <c r="P432" s="776"/>
      <c r="Q432" s="776"/>
      <c r="R432" s="776"/>
      <c r="S432" s="776"/>
      <c r="T432" s="776"/>
      <c r="U432" s="776"/>
      <c r="V432" s="776"/>
      <c r="W432" s="776"/>
      <c r="X432" s="776"/>
      <c r="Y432" s="776"/>
      <c r="Z432" s="776"/>
      <c r="AA432" s="776"/>
      <c r="AB432" s="776"/>
      <c r="AC432" s="793"/>
      <c r="AD432" s="793"/>
      <c r="AE432" s="793"/>
      <c r="AF432" s="793"/>
      <c r="AG432" s="793"/>
      <c r="AH432" s="11"/>
      <c r="AI432" s="11"/>
      <c r="AJ432" s="11"/>
      <c r="AK432" s="776"/>
      <c r="AL432" s="776"/>
      <c r="AM432" s="776"/>
      <c r="AN432" s="776"/>
      <c r="AO432" s="776"/>
      <c r="AP432" s="776"/>
      <c r="AQ432" s="776"/>
      <c r="AR432" s="776"/>
    </row>
    <row r="433" spans="1:44" s="187" customFormat="1">
      <c r="A433" s="776"/>
      <c r="B433" s="776"/>
      <c r="C433" s="776"/>
      <c r="D433" s="776"/>
      <c r="E433" s="776"/>
      <c r="F433" s="776"/>
      <c r="G433" s="776"/>
      <c r="H433" s="776"/>
      <c r="I433" s="776"/>
      <c r="J433" s="776"/>
      <c r="K433" s="776"/>
      <c r="L433" s="776"/>
      <c r="M433" s="776"/>
      <c r="N433" s="776"/>
      <c r="O433" s="776"/>
      <c r="P433" s="776"/>
      <c r="Q433" s="776"/>
      <c r="R433" s="776"/>
      <c r="S433" s="776"/>
      <c r="T433" s="776"/>
      <c r="U433" s="776"/>
      <c r="V433" s="776"/>
      <c r="W433" s="776"/>
      <c r="X433" s="776"/>
      <c r="Y433" s="776"/>
      <c r="Z433" s="776"/>
      <c r="AA433" s="776"/>
      <c r="AB433" s="776"/>
      <c r="AC433" s="793"/>
      <c r="AD433" s="793"/>
      <c r="AE433" s="793"/>
      <c r="AF433" s="793"/>
      <c r="AG433" s="793"/>
      <c r="AH433" s="11"/>
      <c r="AI433" s="11"/>
      <c r="AJ433" s="11"/>
      <c r="AK433" s="776"/>
      <c r="AL433" s="776"/>
      <c r="AM433" s="776"/>
      <c r="AN433" s="776"/>
      <c r="AO433" s="776"/>
      <c r="AP433" s="776"/>
      <c r="AQ433" s="776"/>
      <c r="AR433" s="776"/>
    </row>
    <row r="434" spans="1:44">
      <c r="A434" s="776"/>
      <c r="B434" s="776"/>
      <c r="C434" s="776"/>
      <c r="D434" s="776"/>
      <c r="F434" s="776"/>
      <c r="G434" s="776"/>
      <c r="H434" s="776"/>
      <c r="I434" s="776"/>
      <c r="J434" s="776"/>
      <c r="K434" s="776"/>
      <c r="L434" s="776"/>
      <c r="M434" s="776"/>
      <c r="O434" s="776"/>
      <c r="P434" s="776"/>
      <c r="Q434" s="776"/>
      <c r="R434" s="776"/>
      <c r="S434" s="776"/>
      <c r="T434" s="776"/>
      <c r="U434" s="776"/>
      <c r="V434" s="776"/>
      <c r="W434" s="776"/>
      <c r="X434" s="776"/>
      <c r="Y434" s="776"/>
      <c r="Z434" s="776"/>
      <c r="AA434" s="776"/>
      <c r="AB434" s="776"/>
      <c r="AC434" s="793"/>
      <c r="AD434" s="793"/>
      <c r="AE434" s="793"/>
      <c r="AF434" s="793"/>
      <c r="AG434" s="793"/>
      <c r="AH434" s="11"/>
      <c r="AI434" s="11"/>
      <c r="AJ434" s="11"/>
      <c r="AK434" s="776"/>
      <c r="AL434" s="776"/>
      <c r="AM434" s="776"/>
      <c r="AN434" s="776"/>
      <c r="AO434" s="776"/>
      <c r="AP434" s="776"/>
      <c r="AQ434" s="776"/>
      <c r="AR434" s="776"/>
    </row>
    <row r="435" spans="1:44" ht="12.75" customHeight="1">
      <c r="AC435" s="793"/>
      <c r="AD435" s="793"/>
      <c r="AE435" s="793"/>
      <c r="AF435" s="793"/>
      <c r="AG435" s="793"/>
      <c r="AH435" s="11"/>
      <c r="AI435" s="11"/>
      <c r="AJ435" s="11"/>
    </row>
    <row r="436" spans="1:44" ht="12.75" customHeight="1">
      <c r="AC436" s="793"/>
      <c r="AD436" s="793"/>
      <c r="AE436" s="793"/>
      <c r="AF436" s="793"/>
      <c r="AG436" s="793"/>
      <c r="AH436" s="11"/>
      <c r="AI436" s="11"/>
      <c r="AJ436" s="11"/>
    </row>
    <row r="437" spans="1:44" ht="12.75" customHeight="1">
      <c r="AC437" s="793"/>
      <c r="AD437" s="793"/>
      <c r="AE437" s="793"/>
      <c r="AF437" s="793"/>
      <c r="AG437" s="793"/>
      <c r="AH437" s="11"/>
      <c r="AI437" s="11"/>
      <c r="AJ437" s="11"/>
    </row>
    <row r="438" spans="1:44" s="66" customFormat="1" ht="13.5" customHeight="1">
      <c r="AC438" s="793"/>
      <c r="AD438" s="793"/>
      <c r="AE438" s="793"/>
      <c r="AF438" s="793"/>
      <c r="AG438" s="793"/>
      <c r="AH438" s="11"/>
      <c r="AI438" s="11"/>
      <c r="AJ438" s="11"/>
    </row>
    <row r="439" spans="1:44" ht="13.5" customHeight="1">
      <c r="AC439" s="793"/>
      <c r="AD439" s="793"/>
      <c r="AE439" s="793"/>
      <c r="AF439" s="793"/>
      <c r="AG439" s="793"/>
      <c r="AH439" s="11"/>
      <c r="AI439" s="11"/>
      <c r="AJ439" s="11"/>
    </row>
    <row r="440" spans="1:44" ht="12.75" customHeight="1">
      <c r="AC440" s="793"/>
      <c r="AD440" s="793"/>
      <c r="AE440" s="793"/>
      <c r="AF440" s="793"/>
      <c r="AG440" s="793"/>
      <c r="AH440" s="11"/>
      <c r="AI440" s="11"/>
      <c r="AJ440" s="11"/>
    </row>
    <row r="441" spans="1:44" ht="12.75" customHeight="1">
      <c r="AC441" s="793"/>
      <c r="AD441" s="793"/>
      <c r="AE441" s="793"/>
      <c r="AF441" s="793"/>
      <c r="AG441" s="793"/>
      <c r="AH441" s="11"/>
      <c r="AI441" s="11"/>
      <c r="AJ441" s="11"/>
    </row>
    <row r="442" spans="1:44" ht="12.75" customHeight="1">
      <c r="AC442" s="793"/>
      <c r="AD442" s="793"/>
      <c r="AE442" s="793"/>
      <c r="AF442" s="793"/>
      <c r="AG442" s="793"/>
      <c r="AH442" s="11"/>
      <c r="AI442" s="11"/>
      <c r="AJ442" s="11"/>
    </row>
    <row r="443" spans="1:44" ht="12.75" customHeight="1">
      <c r="AC443" s="793"/>
      <c r="AD443" s="793"/>
      <c r="AE443" s="793"/>
      <c r="AF443" s="793"/>
      <c r="AG443" s="793"/>
      <c r="AH443" s="11"/>
      <c r="AI443" s="11"/>
      <c r="AJ443" s="11"/>
    </row>
    <row r="444" spans="1:44" ht="13.5" customHeight="1">
      <c r="AC444" s="793"/>
      <c r="AD444" s="793"/>
      <c r="AE444" s="793"/>
      <c r="AF444" s="793"/>
      <c r="AG444" s="793"/>
      <c r="AH444" s="11"/>
      <c r="AI444" s="11"/>
      <c r="AJ444" s="11"/>
    </row>
    <row r="445" spans="1:44" s="66" customFormat="1" ht="13.5" customHeight="1">
      <c r="AC445" s="793"/>
      <c r="AD445" s="793"/>
      <c r="AE445" s="793"/>
      <c r="AF445" s="793"/>
      <c r="AG445" s="793"/>
      <c r="AH445" s="11"/>
      <c r="AI445" s="11"/>
      <c r="AJ445" s="11"/>
    </row>
    <row r="446" spans="1:44" s="66" customFormat="1" ht="12.75" customHeight="1">
      <c r="AC446" s="793"/>
      <c r="AD446" s="793"/>
      <c r="AE446" s="793"/>
      <c r="AF446" s="793"/>
      <c r="AG446" s="793"/>
      <c r="AH446" s="11"/>
      <c r="AI446" s="11"/>
      <c r="AJ446" s="11"/>
    </row>
    <row r="447" spans="1:44" ht="13.5" customHeight="1">
      <c r="AC447" s="793"/>
      <c r="AD447" s="793"/>
      <c r="AE447" s="793"/>
      <c r="AF447" s="793"/>
      <c r="AG447" s="793"/>
      <c r="AH447" s="11"/>
      <c r="AI447" s="11"/>
      <c r="AJ447" s="11"/>
    </row>
    <row r="448" spans="1:44" ht="13.5" customHeight="1">
      <c r="AC448" s="793"/>
      <c r="AD448" s="793"/>
      <c r="AE448" s="793"/>
      <c r="AF448" s="793"/>
      <c r="AG448" s="793"/>
      <c r="AH448" s="11"/>
      <c r="AI448" s="11"/>
      <c r="AJ448" s="11"/>
    </row>
    <row r="449" spans="29:36" ht="12.75" customHeight="1">
      <c r="AC449" s="793"/>
      <c r="AD449" s="793"/>
      <c r="AE449" s="793"/>
      <c r="AF449" s="793"/>
      <c r="AG449" s="793"/>
      <c r="AH449" s="11"/>
      <c r="AI449" s="11"/>
      <c r="AJ449" s="11"/>
    </row>
    <row r="450" spans="29:36" ht="12.75" customHeight="1">
      <c r="AC450" s="793"/>
      <c r="AD450" s="793"/>
      <c r="AE450" s="793"/>
      <c r="AF450" s="793"/>
      <c r="AG450" s="793"/>
      <c r="AH450" s="11"/>
      <c r="AI450" s="11"/>
      <c r="AJ450" s="11"/>
    </row>
    <row r="451" spans="29:36" s="168" customFormat="1" ht="12.75" customHeight="1">
      <c r="AC451" s="793"/>
      <c r="AD451" s="793"/>
      <c r="AE451" s="793"/>
      <c r="AF451" s="793"/>
      <c r="AG451" s="793"/>
      <c r="AH451" s="11"/>
      <c r="AI451" s="11"/>
      <c r="AJ451" s="11"/>
    </row>
    <row r="452" spans="29:36" s="168" customFormat="1">
      <c r="AC452" s="793"/>
      <c r="AD452" s="793"/>
      <c r="AE452" s="793"/>
      <c r="AF452" s="793"/>
      <c r="AG452" s="793"/>
      <c r="AH452" s="11"/>
      <c r="AI452" s="11"/>
      <c r="AJ452" s="11"/>
    </row>
    <row r="453" spans="29:36" s="168" customFormat="1">
      <c r="AC453" s="793"/>
      <c r="AD453" s="793"/>
      <c r="AE453" s="793"/>
      <c r="AF453" s="793"/>
      <c r="AG453" s="793"/>
      <c r="AH453" s="11"/>
      <c r="AI453" s="11"/>
      <c r="AJ453" s="11"/>
    </row>
    <row r="454" spans="29:36" s="168" customFormat="1">
      <c r="AC454" s="793"/>
      <c r="AD454" s="793"/>
      <c r="AE454" s="793"/>
      <c r="AF454" s="793"/>
      <c r="AG454" s="793"/>
      <c r="AH454" s="11"/>
      <c r="AI454" s="11"/>
      <c r="AJ454" s="11"/>
    </row>
    <row r="455" spans="29:36">
      <c r="AC455" s="793"/>
      <c r="AD455" s="793"/>
      <c r="AE455" s="793"/>
      <c r="AF455" s="793"/>
      <c r="AG455" s="793"/>
      <c r="AH455" s="11"/>
      <c r="AI455" s="11"/>
      <c r="AJ455" s="11"/>
    </row>
    <row r="456" spans="29:36">
      <c r="AC456" s="793"/>
      <c r="AD456" s="793"/>
      <c r="AE456" s="793"/>
      <c r="AF456" s="793"/>
      <c r="AG456" s="793"/>
      <c r="AH456" s="11"/>
      <c r="AI456" s="11"/>
      <c r="AJ456" s="11"/>
    </row>
    <row r="457" spans="29:36">
      <c r="AC457" s="793"/>
      <c r="AD457" s="793"/>
      <c r="AE457" s="793"/>
      <c r="AF457" s="793"/>
      <c r="AG457" s="793"/>
      <c r="AH457" s="11"/>
      <c r="AI457" s="11"/>
      <c r="AJ457" s="11"/>
    </row>
    <row r="458" spans="29:36">
      <c r="AC458" s="793"/>
      <c r="AD458" s="793"/>
      <c r="AE458" s="793"/>
      <c r="AF458" s="793"/>
      <c r="AG458" s="793"/>
      <c r="AH458" s="11"/>
      <c r="AI458" s="11"/>
      <c r="AJ458" s="11"/>
    </row>
    <row r="459" spans="29:36" s="55" customFormat="1">
      <c r="AC459" s="793"/>
      <c r="AD459" s="793"/>
      <c r="AE459" s="793"/>
      <c r="AF459" s="793"/>
      <c r="AG459" s="793"/>
      <c r="AH459" s="11"/>
      <c r="AI459" s="11"/>
      <c r="AJ459" s="11"/>
    </row>
    <row r="460" spans="29:36" s="55" customFormat="1">
      <c r="AC460" s="793"/>
      <c r="AD460" s="793"/>
      <c r="AE460" s="793"/>
      <c r="AF460" s="793"/>
      <c r="AG460" s="793"/>
      <c r="AH460" s="11"/>
      <c r="AI460" s="11"/>
      <c r="AJ460" s="11"/>
    </row>
    <row r="461" spans="29:36">
      <c r="AC461" s="793"/>
      <c r="AD461" s="793"/>
      <c r="AE461" s="793"/>
      <c r="AF461" s="793"/>
      <c r="AG461" s="793"/>
      <c r="AH461" s="11"/>
      <c r="AI461" s="11"/>
      <c r="AJ461" s="11"/>
    </row>
    <row r="462" spans="29:36" s="592" customFormat="1">
      <c r="AC462" s="793"/>
      <c r="AD462" s="793"/>
      <c r="AE462" s="793"/>
      <c r="AF462" s="793"/>
      <c r="AG462" s="793"/>
      <c r="AH462" s="11"/>
      <c r="AI462" s="11"/>
      <c r="AJ462" s="11"/>
    </row>
    <row r="463" spans="29:36">
      <c r="AC463" s="793"/>
      <c r="AD463" s="793"/>
      <c r="AE463" s="793"/>
      <c r="AF463" s="793"/>
      <c r="AG463" s="793"/>
      <c r="AH463" s="11"/>
      <c r="AI463" s="11"/>
      <c r="AJ463" s="11"/>
    </row>
    <row r="464" spans="29:36">
      <c r="AC464" s="793"/>
      <c r="AD464" s="793"/>
      <c r="AE464" s="793"/>
      <c r="AF464" s="793"/>
      <c r="AG464" s="793"/>
      <c r="AH464" s="11"/>
      <c r="AI464" s="11"/>
      <c r="AJ464" s="11"/>
    </row>
    <row r="465" spans="29:36">
      <c r="AC465" s="793"/>
      <c r="AD465" s="793"/>
      <c r="AE465" s="793"/>
      <c r="AF465" s="793"/>
      <c r="AG465" s="793"/>
      <c r="AH465" s="11"/>
      <c r="AI465" s="11"/>
      <c r="AJ465" s="11"/>
    </row>
    <row r="466" spans="29:36" s="592" customFormat="1">
      <c r="AC466" s="793"/>
      <c r="AD466" s="793"/>
      <c r="AE466" s="793"/>
      <c r="AF466" s="793"/>
      <c r="AG466" s="793"/>
      <c r="AH466" s="11"/>
      <c r="AI466" s="11"/>
      <c r="AJ466" s="11"/>
    </row>
    <row r="467" spans="29:36">
      <c r="AC467" s="793"/>
      <c r="AD467" s="793"/>
      <c r="AE467" s="793"/>
      <c r="AF467" s="793"/>
      <c r="AG467" s="793"/>
      <c r="AH467" s="11"/>
      <c r="AI467" s="11"/>
      <c r="AJ467" s="11"/>
    </row>
    <row r="468" spans="29:36">
      <c r="AC468" s="793"/>
      <c r="AD468" s="793"/>
      <c r="AE468" s="793"/>
      <c r="AF468" s="793"/>
      <c r="AG468" s="793"/>
      <c r="AH468" s="11"/>
      <c r="AI468" s="11"/>
      <c r="AJ468" s="11"/>
    </row>
    <row r="469" spans="29:36">
      <c r="AC469" s="793"/>
      <c r="AD469" s="793"/>
      <c r="AE469" s="793"/>
      <c r="AF469" s="793"/>
      <c r="AG469" s="793"/>
      <c r="AH469" s="11"/>
      <c r="AI469" s="11"/>
      <c r="AJ469" s="11"/>
    </row>
    <row r="470" spans="29:36">
      <c r="AC470" s="793"/>
      <c r="AD470" s="793"/>
      <c r="AE470" s="793"/>
      <c r="AF470" s="793"/>
      <c r="AG470" s="793"/>
      <c r="AH470" s="11"/>
      <c r="AI470" s="11"/>
      <c r="AJ470" s="11"/>
    </row>
    <row r="471" spans="29:36" s="592" customFormat="1">
      <c r="AC471" s="793"/>
      <c r="AD471" s="793"/>
      <c r="AE471" s="793"/>
      <c r="AF471" s="793"/>
      <c r="AG471" s="793"/>
      <c r="AH471" s="11"/>
      <c r="AI471" s="11"/>
      <c r="AJ471" s="11"/>
    </row>
    <row r="472" spans="29:36" s="592" customFormat="1">
      <c r="AC472" s="793"/>
      <c r="AD472" s="793"/>
      <c r="AE472" s="793"/>
      <c r="AF472" s="793"/>
      <c r="AG472" s="793"/>
      <c r="AH472" s="11"/>
      <c r="AI472" s="11"/>
      <c r="AJ472" s="11"/>
    </row>
    <row r="473" spans="29:36" s="592" customFormat="1">
      <c r="AC473" s="793"/>
      <c r="AD473" s="793"/>
      <c r="AE473" s="793"/>
      <c r="AF473" s="793"/>
      <c r="AG473" s="793"/>
      <c r="AH473" s="11"/>
      <c r="AI473" s="11"/>
      <c r="AJ473" s="11"/>
    </row>
    <row r="474" spans="29:36" s="592" customFormat="1">
      <c r="AC474" s="793"/>
      <c r="AD474" s="793"/>
      <c r="AE474" s="793"/>
      <c r="AF474" s="793"/>
      <c r="AG474" s="793"/>
      <c r="AH474" s="11"/>
      <c r="AI474" s="11"/>
      <c r="AJ474" s="11"/>
    </row>
    <row r="475" spans="29:36" s="592" customFormat="1">
      <c r="AC475" s="793"/>
      <c r="AD475" s="793"/>
      <c r="AE475" s="793"/>
      <c r="AF475" s="793"/>
      <c r="AG475" s="793"/>
      <c r="AH475" s="11"/>
      <c r="AI475" s="11"/>
      <c r="AJ475" s="11"/>
    </row>
    <row r="476" spans="29:36" s="592" customFormat="1">
      <c r="AC476" s="793"/>
      <c r="AD476" s="793"/>
      <c r="AE476" s="793"/>
      <c r="AF476" s="793"/>
      <c r="AG476" s="793"/>
      <c r="AH476" s="11"/>
      <c r="AI476" s="11"/>
      <c r="AJ476" s="11"/>
    </row>
    <row r="477" spans="29:36" s="592" customFormat="1">
      <c r="AC477" s="793"/>
      <c r="AD477" s="793"/>
      <c r="AE477" s="793"/>
      <c r="AF477" s="793"/>
      <c r="AG477" s="793"/>
      <c r="AH477" s="11"/>
      <c r="AI477" s="11"/>
      <c r="AJ477" s="11"/>
    </row>
    <row r="478" spans="29:36" s="592" customFormat="1">
      <c r="AC478" s="793"/>
      <c r="AD478" s="793"/>
      <c r="AE478" s="793"/>
      <c r="AF478" s="793"/>
      <c r="AG478" s="793"/>
      <c r="AH478" s="11"/>
      <c r="AI478" s="11"/>
      <c r="AJ478" s="11"/>
    </row>
    <row r="479" spans="29:36" s="592" customFormat="1">
      <c r="AC479" s="793"/>
      <c r="AD479" s="793"/>
      <c r="AE479" s="793"/>
      <c r="AF479" s="793"/>
      <c r="AG479" s="793"/>
      <c r="AH479" s="11"/>
      <c r="AI479" s="11"/>
      <c r="AJ479" s="11"/>
    </row>
    <row r="480" spans="29:36" s="776" customFormat="1">
      <c r="AC480" s="793"/>
      <c r="AD480" s="793"/>
      <c r="AE480" s="793"/>
      <c r="AF480" s="793"/>
      <c r="AG480" s="793"/>
      <c r="AH480" s="11"/>
      <c r="AI480" s="11"/>
      <c r="AJ480" s="11"/>
    </row>
    <row r="481" spans="29:36" s="592" customFormat="1">
      <c r="AC481" s="793"/>
      <c r="AD481" s="793"/>
      <c r="AE481" s="793"/>
      <c r="AF481" s="793"/>
      <c r="AG481" s="793"/>
      <c r="AH481" s="11"/>
      <c r="AI481" s="11"/>
      <c r="AJ481" s="11"/>
    </row>
    <row r="482" spans="29:36">
      <c r="AC482" s="793"/>
      <c r="AD482" s="793"/>
      <c r="AE482" s="793"/>
      <c r="AF482" s="793"/>
      <c r="AG482" s="793"/>
      <c r="AH482" s="11"/>
      <c r="AI482" s="11"/>
      <c r="AJ482" s="11"/>
    </row>
    <row r="483" spans="29:36" s="776" customFormat="1">
      <c r="AC483" s="793"/>
      <c r="AD483" s="793"/>
      <c r="AE483" s="793"/>
      <c r="AF483" s="793"/>
      <c r="AG483" s="793"/>
      <c r="AH483" s="11"/>
      <c r="AI483" s="11"/>
      <c r="AJ483" s="11"/>
    </row>
    <row r="484" spans="29:36" s="776" customFormat="1">
      <c r="AC484" s="793"/>
      <c r="AD484" s="793"/>
      <c r="AE484" s="793"/>
      <c r="AF484" s="793"/>
      <c r="AG484" s="793"/>
      <c r="AH484" s="11"/>
      <c r="AI484" s="11"/>
      <c r="AJ484" s="11"/>
    </row>
    <row r="485" spans="29:36">
      <c r="AC485" s="793"/>
      <c r="AD485" s="793"/>
      <c r="AE485" s="793"/>
      <c r="AF485" s="793"/>
      <c r="AG485" s="793"/>
      <c r="AH485" s="11"/>
      <c r="AI485" s="11"/>
      <c r="AJ485" s="11"/>
    </row>
    <row r="486" spans="29:36">
      <c r="AC486" s="793"/>
      <c r="AD486" s="793"/>
      <c r="AE486" s="793"/>
      <c r="AF486" s="793"/>
      <c r="AG486" s="793"/>
      <c r="AH486" s="11"/>
      <c r="AI486" s="11"/>
      <c r="AJ486" s="11"/>
    </row>
    <row r="487" spans="29:36">
      <c r="AC487" s="793"/>
      <c r="AD487" s="793"/>
      <c r="AE487" s="793"/>
      <c r="AF487" s="793"/>
      <c r="AG487" s="793"/>
      <c r="AH487" s="11"/>
      <c r="AI487" s="11"/>
      <c r="AJ487" s="11"/>
    </row>
    <row r="488" spans="29:36">
      <c r="AC488" s="793"/>
      <c r="AD488" s="793"/>
      <c r="AE488" s="793"/>
      <c r="AF488" s="793"/>
      <c r="AG488" s="793"/>
      <c r="AH488" s="11"/>
      <c r="AI488" s="11"/>
      <c r="AJ488" s="11"/>
    </row>
    <row r="489" spans="29:36">
      <c r="AC489" s="793"/>
      <c r="AD489" s="793"/>
      <c r="AE489" s="793"/>
      <c r="AF489" s="793"/>
      <c r="AG489" s="793"/>
      <c r="AH489" s="11"/>
      <c r="AI489" s="11"/>
      <c r="AJ489" s="11"/>
    </row>
    <row r="490" spans="29:36">
      <c r="AC490" s="793"/>
      <c r="AD490" s="793"/>
      <c r="AE490" s="793"/>
      <c r="AF490" s="793"/>
      <c r="AG490" s="793"/>
      <c r="AH490" s="11"/>
      <c r="AI490" s="11"/>
      <c r="AJ490" s="11"/>
    </row>
    <row r="491" spans="29:36">
      <c r="AC491" s="793"/>
      <c r="AD491" s="793"/>
      <c r="AE491" s="793"/>
      <c r="AF491" s="793"/>
      <c r="AG491" s="793"/>
      <c r="AH491" s="11"/>
      <c r="AI491" s="11"/>
      <c r="AJ491" s="11"/>
    </row>
    <row r="492" spans="29:36">
      <c r="AC492" s="793"/>
      <c r="AD492" s="793"/>
      <c r="AE492" s="793"/>
      <c r="AF492" s="793"/>
      <c r="AG492" s="793"/>
      <c r="AH492" s="11"/>
      <c r="AI492" s="11"/>
      <c r="AJ492" s="11"/>
    </row>
    <row r="493" spans="29:36">
      <c r="AC493" s="793"/>
      <c r="AD493" s="793"/>
      <c r="AE493" s="793"/>
      <c r="AF493" s="793"/>
      <c r="AG493" s="793"/>
      <c r="AH493" s="11"/>
      <c r="AI493" s="11"/>
      <c r="AJ493" s="11"/>
    </row>
    <row r="494" spans="29:36">
      <c r="AC494" s="793"/>
      <c r="AD494" s="793"/>
      <c r="AE494" s="793"/>
      <c r="AF494" s="793"/>
      <c r="AG494" s="793"/>
      <c r="AH494" s="11"/>
      <c r="AI494" s="11"/>
      <c r="AJ494" s="11"/>
    </row>
    <row r="495" spans="29:36">
      <c r="AC495" s="793"/>
      <c r="AD495" s="793"/>
      <c r="AE495" s="793"/>
      <c r="AF495" s="793"/>
      <c r="AG495" s="793"/>
      <c r="AH495" s="11"/>
      <c r="AI495" s="11"/>
      <c r="AJ495" s="11"/>
    </row>
    <row r="496" spans="29:36">
      <c r="AC496" s="793"/>
      <c r="AD496" s="793"/>
      <c r="AE496" s="793"/>
      <c r="AF496" s="793"/>
      <c r="AG496" s="793"/>
      <c r="AH496" s="11"/>
      <c r="AI496" s="11"/>
      <c r="AJ496" s="11"/>
    </row>
    <row r="497" spans="1:36">
      <c r="AC497" s="793"/>
      <c r="AD497" s="793"/>
      <c r="AE497" s="793"/>
      <c r="AF497" s="793"/>
      <c r="AG497" s="793"/>
      <c r="AH497" s="11"/>
      <c r="AI497" s="11"/>
      <c r="AJ497" s="11"/>
    </row>
    <row r="498" spans="1:36" s="776" customFormat="1" hidden="1">
      <c r="AC498" s="793"/>
      <c r="AD498" s="793"/>
      <c r="AE498" s="793"/>
      <c r="AF498" s="793"/>
      <c r="AG498" s="793"/>
      <c r="AH498" s="11"/>
      <c r="AI498" s="11"/>
      <c r="AJ498" s="11"/>
    </row>
    <row r="499" spans="1:36" hidden="1">
      <c r="A499" s="776"/>
      <c r="B499" s="776"/>
      <c r="C499" s="776"/>
      <c r="D499" s="776"/>
      <c r="F499" s="776"/>
      <c r="G499" s="776"/>
      <c r="H499" s="776"/>
      <c r="I499" s="776"/>
      <c r="J499" s="776"/>
      <c r="K499" s="776"/>
      <c r="L499" s="776"/>
      <c r="M499" s="776"/>
      <c r="O499" s="776"/>
      <c r="P499" s="776"/>
      <c r="Q499" s="776"/>
      <c r="R499" s="776"/>
      <c r="S499" s="776"/>
      <c r="T499" s="776"/>
      <c r="U499" s="776"/>
      <c r="V499" s="776"/>
      <c r="W499" s="776"/>
      <c r="X499" s="776"/>
      <c r="Y499" s="776"/>
      <c r="Z499" s="776"/>
      <c r="AA499" s="776"/>
      <c r="AB499" s="776"/>
      <c r="AC499" s="793"/>
      <c r="AD499" s="793"/>
      <c r="AE499" s="793"/>
      <c r="AF499" s="793"/>
      <c r="AG499" s="793"/>
      <c r="AH499" s="11"/>
      <c r="AI499" s="11"/>
      <c r="AJ499" s="11"/>
    </row>
    <row r="500" spans="1:36" hidden="1">
      <c r="A500" s="776"/>
      <c r="B500" s="776"/>
      <c r="C500" s="776"/>
      <c r="D500" s="776"/>
      <c r="F500" s="776"/>
      <c r="G500" s="776"/>
      <c r="H500" s="776"/>
      <c r="I500" s="776"/>
      <c r="J500" s="776"/>
      <c r="K500" s="776"/>
      <c r="L500" s="776"/>
      <c r="M500" s="776"/>
      <c r="O500" s="776"/>
      <c r="P500" s="776"/>
      <c r="Q500" s="776"/>
      <c r="R500" s="776"/>
      <c r="S500" s="776"/>
      <c r="T500" s="776"/>
      <c r="U500" s="776"/>
      <c r="V500" s="776"/>
      <c r="W500" s="776"/>
      <c r="X500" s="776"/>
      <c r="Y500" s="776"/>
      <c r="Z500" s="776"/>
      <c r="AA500" s="776"/>
      <c r="AB500" s="776"/>
      <c r="AC500" s="793"/>
      <c r="AD500" s="793"/>
      <c r="AE500" s="793"/>
      <c r="AF500" s="793"/>
      <c r="AG500" s="793"/>
      <c r="AH500" s="11"/>
      <c r="AI500" s="11"/>
      <c r="AJ500" s="11"/>
    </row>
    <row r="501" spans="1:36" hidden="1">
      <c r="A501" s="776"/>
      <c r="B501" s="776"/>
      <c r="C501" s="776"/>
      <c r="D501" s="776"/>
      <c r="F501" s="776"/>
      <c r="G501" s="776"/>
      <c r="H501" s="776"/>
      <c r="I501" s="776"/>
      <c r="J501" s="776"/>
      <c r="K501" s="776"/>
      <c r="L501" s="776"/>
      <c r="M501" s="776"/>
      <c r="O501" s="776"/>
      <c r="P501" s="776"/>
      <c r="Q501" s="776"/>
      <c r="R501" s="776"/>
      <c r="S501" s="776"/>
      <c r="T501" s="776"/>
      <c r="U501" s="776"/>
      <c r="V501" s="776"/>
      <c r="W501" s="776"/>
      <c r="X501" s="776"/>
      <c r="Y501" s="776"/>
      <c r="Z501" s="776"/>
      <c r="AA501" s="776"/>
      <c r="AB501" s="776"/>
      <c r="AC501" s="793"/>
      <c r="AD501" s="793"/>
      <c r="AE501" s="793"/>
      <c r="AF501" s="793"/>
      <c r="AG501" s="793"/>
      <c r="AH501" s="11"/>
      <c r="AI501" s="11"/>
      <c r="AJ501" s="11"/>
    </row>
    <row r="502" spans="1:36" hidden="1">
      <c r="A502" s="776"/>
      <c r="B502" s="776"/>
      <c r="C502" s="776"/>
      <c r="D502" s="776"/>
      <c r="F502" s="776"/>
      <c r="G502" s="776"/>
      <c r="H502" s="776"/>
      <c r="I502" s="776"/>
      <c r="J502" s="776"/>
      <c r="K502" s="776"/>
      <c r="L502" s="776"/>
      <c r="M502" s="776"/>
      <c r="O502" s="776"/>
      <c r="P502" s="776"/>
      <c r="Q502" s="776"/>
      <c r="R502" s="776"/>
      <c r="S502" s="776"/>
      <c r="T502" s="776"/>
      <c r="U502" s="776"/>
      <c r="V502" s="776"/>
      <c r="W502" s="776"/>
      <c r="X502" s="776"/>
      <c r="Y502" s="776"/>
      <c r="Z502" s="776"/>
      <c r="AA502" s="776"/>
      <c r="AB502" s="776"/>
      <c r="AC502" s="793"/>
      <c r="AD502" s="793"/>
      <c r="AE502" s="793"/>
      <c r="AF502" s="793"/>
      <c r="AG502" s="793"/>
      <c r="AH502" s="11"/>
      <c r="AI502" s="11"/>
      <c r="AJ502" s="11"/>
    </row>
    <row r="503" spans="1:36" hidden="1">
      <c r="A503" s="776"/>
      <c r="B503" s="776"/>
      <c r="C503" s="776"/>
      <c r="D503" s="776"/>
      <c r="F503" s="776"/>
      <c r="G503" s="776"/>
      <c r="H503" s="776"/>
      <c r="I503" s="776"/>
      <c r="J503" s="776"/>
      <c r="K503" s="776"/>
      <c r="L503" s="776"/>
      <c r="M503" s="776"/>
      <c r="O503" s="776"/>
      <c r="P503" s="776"/>
      <c r="Q503" s="776"/>
      <c r="R503" s="776"/>
      <c r="S503" s="776"/>
      <c r="T503" s="776"/>
      <c r="U503" s="776"/>
      <c r="V503" s="776"/>
      <c r="W503" s="776"/>
      <c r="X503" s="776"/>
      <c r="Y503" s="776"/>
      <c r="Z503" s="776"/>
      <c r="AA503" s="776"/>
      <c r="AB503" s="776"/>
      <c r="AC503" s="793"/>
      <c r="AD503" s="793"/>
      <c r="AE503" s="793"/>
      <c r="AF503" s="793"/>
      <c r="AG503" s="793"/>
      <c r="AH503" s="11"/>
      <c r="AI503" s="11"/>
      <c r="AJ503" s="11"/>
    </row>
    <row r="504" spans="1:36" hidden="1">
      <c r="A504" s="776"/>
      <c r="B504" s="776"/>
      <c r="C504" s="776"/>
      <c r="D504" s="776"/>
      <c r="F504" s="776"/>
      <c r="G504" s="776"/>
      <c r="H504" s="776"/>
      <c r="I504" s="776"/>
      <c r="J504" s="776"/>
      <c r="K504" s="776"/>
      <c r="L504" s="776"/>
      <c r="M504" s="776"/>
      <c r="O504" s="776"/>
      <c r="P504" s="776"/>
      <c r="Q504" s="776"/>
      <c r="R504" s="776"/>
      <c r="S504" s="776"/>
      <c r="T504" s="776"/>
      <c r="U504" s="776"/>
      <c r="V504" s="776"/>
      <c r="W504" s="776"/>
      <c r="X504" s="776"/>
      <c r="Y504" s="776"/>
      <c r="Z504" s="776"/>
      <c r="AA504" s="776"/>
      <c r="AB504" s="776"/>
      <c r="AC504" s="793"/>
      <c r="AD504" s="793"/>
      <c r="AE504" s="793"/>
      <c r="AF504" s="793"/>
      <c r="AG504" s="793"/>
      <c r="AH504" s="11"/>
      <c r="AI504" s="11"/>
      <c r="AJ504" s="11"/>
    </row>
    <row r="505" spans="1:36" hidden="1">
      <c r="A505" s="776"/>
      <c r="B505" s="776"/>
      <c r="C505" s="776"/>
      <c r="D505" s="776"/>
      <c r="F505" s="776"/>
      <c r="G505" s="776"/>
      <c r="H505" s="776"/>
      <c r="I505" s="776"/>
      <c r="J505" s="776"/>
      <c r="K505" s="776"/>
      <c r="L505" s="776"/>
      <c r="M505" s="776"/>
      <c r="O505" s="776"/>
      <c r="P505" s="776"/>
      <c r="Q505" s="776"/>
      <c r="R505" s="776"/>
      <c r="S505" s="776"/>
      <c r="T505" s="776"/>
      <c r="U505" s="776"/>
      <c r="V505" s="776"/>
      <c r="W505" s="776"/>
      <c r="X505" s="776"/>
      <c r="Y505" s="776"/>
      <c r="Z505" s="776"/>
      <c r="AA505" s="776"/>
      <c r="AB505" s="776"/>
      <c r="AC505" s="793"/>
      <c r="AD505" s="793"/>
      <c r="AE505" s="793"/>
      <c r="AF505" s="793"/>
      <c r="AG505" s="793"/>
      <c r="AH505" s="11"/>
      <c r="AI505" s="11"/>
      <c r="AJ505" s="11"/>
    </row>
    <row r="506" spans="1:36" hidden="1">
      <c r="A506" s="776"/>
      <c r="B506" s="776"/>
      <c r="C506" s="776"/>
      <c r="D506" s="776"/>
      <c r="F506" s="776"/>
      <c r="G506" s="776"/>
      <c r="H506" s="776"/>
      <c r="I506" s="776"/>
      <c r="J506" s="776"/>
      <c r="K506" s="776"/>
      <c r="L506" s="776"/>
      <c r="M506" s="776"/>
      <c r="O506" s="776"/>
      <c r="P506" s="776"/>
      <c r="Q506" s="776"/>
      <c r="R506" s="776"/>
      <c r="S506" s="776"/>
      <c r="T506" s="776"/>
      <c r="U506" s="776"/>
      <c r="V506" s="776"/>
      <c r="W506" s="776"/>
      <c r="X506" s="776"/>
      <c r="Y506" s="776"/>
      <c r="Z506" s="776"/>
      <c r="AA506" s="776"/>
      <c r="AB506" s="776"/>
      <c r="AC506" s="793"/>
      <c r="AD506" s="793"/>
      <c r="AE506" s="793"/>
      <c r="AF506" s="793"/>
      <c r="AG506" s="793"/>
      <c r="AH506" s="11"/>
      <c r="AI506" s="11"/>
      <c r="AJ506" s="11"/>
    </row>
    <row r="507" spans="1:36">
      <c r="A507" s="776"/>
      <c r="B507" s="776"/>
      <c r="C507" s="776"/>
      <c r="D507" s="776"/>
      <c r="F507" s="776"/>
      <c r="G507" s="776"/>
      <c r="H507" s="776"/>
      <c r="I507" s="776"/>
      <c r="J507" s="776"/>
      <c r="K507" s="776"/>
      <c r="L507" s="776"/>
      <c r="M507" s="776"/>
      <c r="O507" s="776"/>
      <c r="P507" s="776"/>
      <c r="Q507" s="776"/>
      <c r="R507" s="776"/>
      <c r="S507" s="776"/>
      <c r="T507" s="776"/>
      <c r="U507" s="776"/>
      <c r="V507" s="776"/>
      <c r="W507" s="776"/>
      <c r="X507" s="776"/>
      <c r="Y507" s="776"/>
      <c r="Z507" s="776"/>
      <c r="AA507" s="776"/>
      <c r="AB507" s="776"/>
      <c r="AC507" s="793"/>
      <c r="AD507" s="793"/>
      <c r="AE507" s="793"/>
      <c r="AF507" s="793"/>
      <c r="AG507" s="793"/>
      <c r="AH507" s="11"/>
      <c r="AI507" s="11"/>
      <c r="AJ507" s="11"/>
    </row>
    <row r="508" spans="1:36">
      <c r="A508" s="52"/>
      <c r="B508" s="52"/>
      <c r="C508" s="52"/>
      <c r="D508" s="52"/>
      <c r="E508" s="52"/>
      <c r="F508" s="52"/>
      <c r="G508" s="52"/>
      <c r="H508" s="52"/>
      <c r="I508" s="52"/>
      <c r="J508" s="52"/>
      <c r="K508" s="52"/>
      <c r="L508" s="52"/>
      <c r="M508" s="52"/>
      <c r="N508" s="52"/>
      <c r="O508" s="52"/>
      <c r="P508" s="52"/>
      <c r="Q508" s="52"/>
      <c r="R508" s="52"/>
      <c r="S508" s="52"/>
      <c r="T508" s="52"/>
      <c r="U508" s="52"/>
      <c r="V508" s="52"/>
      <c r="W508" s="793"/>
      <c r="X508" s="793"/>
      <c r="Y508" s="793"/>
      <c r="Z508" s="793"/>
      <c r="AA508" s="793"/>
      <c r="AB508" s="793"/>
      <c r="AC508" s="793"/>
      <c r="AD508" s="793"/>
      <c r="AE508" s="793"/>
      <c r="AF508" s="793"/>
      <c r="AG508" s="793"/>
      <c r="AH508" s="11"/>
      <c r="AI508" s="11"/>
      <c r="AJ508" s="11"/>
    </row>
    <row r="509" spans="1:36">
      <c r="A509" s="52"/>
      <c r="B509" s="52"/>
      <c r="C509" s="52"/>
      <c r="D509" s="52"/>
      <c r="E509" s="52"/>
      <c r="F509" s="52"/>
      <c r="G509" s="52"/>
      <c r="H509" s="52"/>
      <c r="I509" s="52"/>
      <c r="J509" s="52"/>
      <c r="K509" s="52"/>
      <c r="L509" s="52"/>
      <c r="M509" s="52"/>
      <c r="N509" s="52"/>
      <c r="O509" s="52"/>
      <c r="P509" s="52"/>
      <c r="Q509" s="52"/>
      <c r="R509" s="52"/>
      <c r="S509" s="52"/>
      <c r="T509" s="52"/>
      <c r="U509" s="52"/>
      <c r="V509" s="52"/>
      <c r="W509" s="793"/>
      <c r="X509" s="793"/>
      <c r="Y509" s="793"/>
      <c r="Z509" s="793"/>
      <c r="AA509" s="793"/>
      <c r="AB509" s="793"/>
      <c r="AC509" s="793"/>
      <c r="AD509" s="793"/>
      <c r="AE509" s="793"/>
      <c r="AF509" s="793"/>
      <c r="AG509" s="793"/>
      <c r="AH509" s="11"/>
      <c r="AI509" s="11"/>
      <c r="AJ509" s="11"/>
    </row>
    <row r="510" spans="1:36">
      <c r="A510" s="52"/>
      <c r="B510" s="52"/>
      <c r="C510" s="52"/>
      <c r="D510" s="52"/>
      <c r="E510" s="52"/>
      <c r="F510" s="52"/>
      <c r="G510" s="52"/>
      <c r="H510" s="52"/>
      <c r="I510" s="52"/>
      <c r="J510" s="52"/>
      <c r="K510" s="52"/>
      <c r="L510" s="52"/>
      <c r="M510" s="52"/>
      <c r="N510" s="52"/>
      <c r="O510" s="52"/>
      <c r="P510" s="52"/>
      <c r="Q510" s="52"/>
      <c r="R510" s="52"/>
      <c r="S510" s="52"/>
      <c r="T510" s="52"/>
      <c r="U510" s="52"/>
      <c r="V510" s="52"/>
      <c r="W510" s="793"/>
      <c r="X510" s="793"/>
      <c r="Y510" s="793"/>
      <c r="Z510" s="793"/>
      <c r="AA510" s="793"/>
      <c r="AB510" s="793"/>
      <c r="AC510" s="793"/>
      <c r="AD510" s="793"/>
      <c r="AE510" s="793"/>
      <c r="AF510" s="793"/>
      <c r="AG510" s="793"/>
      <c r="AH510" s="11"/>
      <c r="AI510" s="11"/>
      <c r="AJ510" s="11"/>
    </row>
    <row r="511" spans="1:36">
      <c r="A511" s="52"/>
      <c r="B511" s="52"/>
      <c r="C511" s="52"/>
      <c r="D511" s="52"/>
      <c r="E511" s="52"/>
      <c r="F511" s="52"/>
      <c r="G511" s="52"/>
      <c r="H511" s="52"/>
      <c r="I511" s="52"/>
      <c r="J511" s="52"/>
      <c r="K511" s="52"/>
      <c r="L511" s="52"/>
      <c r="M511" s="52"/>
      <c r="N511" s="52"/>
      <c r="O511" s="52"/>
      <c r="P511" s="52"/>
      <c r="Q511" s="52"/>
      <c r="R511" s="52"/>
      <c r="S511" s="52"/>
      <c r="T511" s="52"/>
      <c r="U511" s="52"/>
      <c r="V511" s="52"/>
      <c r="W511" s="793"/>
      <c r="X511" s="793"/>
      <c r="Y511" s="793"/>
      <c r="Z511" s="793"/>
      <c r="AA511" s="793"/>
      <c r="AB511" s="793"/>
      <c r="AC511" s="793"/>
      <c r="AD511" s="793"/>
      <c r="AE511" s="793"/>
      <c r="AF511" s="793"/>
      <c r="AG511" s="793"/>
      <c r="AH511" s="11"/>
      <c r="AI511" s="11"/>
      <c r="AJ511" s="11"/>
    </row>
    <row r="512" spans="1:36">
      <c r="A512" s="52"/>
      <c r="B512" s="52"/>
      <c r="C512" s="52"/>
      <c r="D512" s="52"/>
      <c r="E512" s="52"/>
      <c r="F512" s="52"/>
      <c r="G512" s="52"/>
      <c r="H512" s="52"/>
      <c r="I512" s="52"/>
      <c r="J512" s="52"/>
      <c r="K512" s="52"/>
      <c r="L512" s="52"/>
      <c r="M512" s="52"/>
      <c r="N512" s="52"/>
      <c r="O512" s="52"/>
      <c r="P512" s="52"/>
      <c r="Q512" s="52"/>
      <c r="R512" s="52"/>
      <c r="S512" s="52"/>
      <c r="T512" s="52"/>
      <c r="U512" s="52"/>
      <c r="V512" s="52"/>
      <c r="W512" s="793"/>
      <c r="X512" s="793"/>
      <c r="Y512" s="793"/>
      <c r="Z512" s="793"/>
      <c r="AA512" s="793"/>
      <c r="AB512" s="793"/>
      <c r="AC512" s="793"/>
      <c r="AD512" s="793"/>
      <c r="AE512" s="793"/>
      <c r="AF512" s="793"/>
      <c r="AG512" s="793"/>
      <c r="AH512" s="11"/>
      <c r="AI512" s="11"/>
      <c r="AJ512" s="11"/>
    </row>
    <row r="513" spans="1:36">
      <c r="A513" s="52"/>
      <c r="B513" s="52"/>
      <c r="C513" s="52"/>
      <c r="D513" s="52"/>
      <c r="E513" s="52"/>
      <c r="F513" s="52"/>
      <c r="G513" s="52"/>
      <c r="H513" s="52"/>
      <c r="I513" s="52"/>
      <c r="J513" s="52"/>
      <c r="K513" s="52"/>
      <c r="L513" s="52"/>
      <c r="M513" s="52"/>
      <c r="N513" s="52"/>
      <c r="O513" s="52"/>
      <c r="P513" s="52"/>
      <c r="Q513" s="52"/>
      <c r="R513" s="52"/>
      <c r="S513" s="52"/>
      <c r="T513" s="52"/>
      <c r="U513" s="52"/>
      <c r="V513" s="52"/>
      <c r="W513" s="793"/>
      <c r="X513" s="793"/>
      <c r="Y513" s="793"/>
      <c r="Z513" s="793"/>
      <c r="AA513" s="793"/>
      <c r="AB513" s="793"/>
      <c r="AC513" s="793"/>
      <c r="AD513" s="793"/>
      <c r="AE513" s="793"/>
      <c r="AF513" s="793"/>
      <c r="AG513" s="793"/>
      <c r="AH513" s="11"/>
      <c r="AI513" s="11"/>
      <c r="AJ513" s="11"/>
    </row>
    <row r="514" spans="1:36">
      <c r="A514" s="52"/>
      <c r="B514" s="52"/>
      <c r="C514" s="52"/>
      <c r="D514" s="52"/>
      <c r="E514" s="52"/>
      <c r="F514" s="52"/>
      <c r="G514" s="52"/>
      <c r="H514" s="52"/>
      <c r="I514" s="52"/>
      <c r="J514" s="52"/>
      <c r="K514" s="52"/>
      <c r="L514" s="52"/>
      <c r="M514" s="52"/>
      <c r="N514" s="52"/>
      <c r="O514" s="52"/>
      <c r="P514" s="52"/>
      <c r="Q514" s="52"/>
      <c r="R514" s="52"/>
      <c r="S514" s="52"/>
      <c r="T514" s="52"/>
      <c r="U514" s="52"/>
      <c r="V514" s="52"/>
      <c r="W514" s="793"/>
      <c r="X514" s="793"/>
      <c r="Y514" s="793"/>
      <c r="Z514" s="793"/>
      <c r="AA514" s="793"/>
      <c r="AB514" s="793"/>
      <c r="AC514" s="793"/>
      <c r="AD514" s="793"/>
      <c r="AE514" s="793"/>
      <c r="AF514" s="793"/>
      <c r="AG514" s="793"/>
      <c r="AH514" s="11"/>
      <c r="AI514" s="11"/>
      <c r="AJ514" s="11"/>
    </row>
    <row r="515" spans="1:36">
      <c r="A515" s="52"/>
      <c r="B515" s="52"/>
      <c r="C515" s="52"/>
      <c r="D515" s="52"/>
      <c r="E515" s="52"/>
      <c r="F515" s="52"/>
      <c r="G515" s="52"/>
      <c r="H515" s="52"/>
      <c r="I515" s="52"/>
      <c r="J515" s="52"/>
      <c r="K515" s="52"/>
      <c r="L515" s="52"/>
      <c r="M515" s="52"/>
      <c r="N515" s="52"/>
      <c r="O515" s="52"/>
      <c r="P515" s="52"/>
      <c r="Q515" s="52"/>
      <c r="R515" s="52"/>
      <c r="S515" s="52"/>
      <c r="T515" s="52"/>
      <c r="U515" s="52"/>
      <c r="V515" s="52"/>
      <c r="W515" s="793"/>
      <c r="X515" s="793"/>
      <c r="Y515" s="793"/>
      <c r="Z515" s="793"/>
      <c r="AA515" s="793"/>
      <c r="AB515" s="793"/>
      <c r="AC515" s="793"/>
      <c r="AD515" s="793"/>
      <c r="AE515" s="793"/>
      <c r="AF515" s="793"/>
      <c r="AG515" s="793"/>
      <c r="AH515" s="11"/>
      <c r="AI515" s="11"/>
      <c r="AJ515" s="11"/>
    </row>
    <row r="516" spans="1:36">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c r="AA516" s="52"/>
      <c r="AB516" s="52"/>
      <c r="AC516" s="52"/>
      <c r="AD516" s="52"/>
      <c r="AE516" s="52"/>
      <c r="AF516" s="52"/>
      <c r="AG516" s="52"/>
      <c r="AH516" s="776"/>
      <c r="AI516" s="776"/>
      <c r="AJ516" s="776"/>
    </row>
    <row r="517" spans="1:36">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c r="AA517" s="52"/>
      <c r="AB517" s="52"/>
      <c r="AC517" s="52"/>
      <c r="AD517" s="52"/>
      <c r="AE517" s="52"/>
      <c r="AF517" s="52"/>
      <c r="AG517" s="52"/>
      <c r="AH517" s="776"/>
      <c r="AI517" s="776"/>
      <c r="AJ517" s="776"/>
    </row>
    <row r="518" spans="1:36">
      <c r="A518" s="52"/>
      <c r="B518" s="52"/>
      <c r="C518" s="52"/>
      <c r="D518" s="52"/>
      <c r="E518" s="52"/>
      <c r="F518" s="52"/>
      <c r="G518" s="52"/>
      <c r="H518" s="52"/>
      <c r="I518" s="52"/>
      <c r="J518" s="52"/>
      <c r="K518" s="52"/>
      <c r="L518" s="52"/>
      <c r="M518" s="52"/>
      <c r="N518" s="52"/>
      <c r="O518" s="52"/>
      <c r="P518" s="932"/>
      <c r="Q518" s="932"/>
      <c r="R518" s="52"/>
      <c r="S518" s="52"/>
      <c r="T518" s="52"/>
      <c r="U518" s="52"/>
      <c r="V518" s="52"/>
      <c r="W518" s="52"/>
      <c r="X518" s="52"/>
      <c r="Y518" s="52"/>
      <c r="Z518" s="52"/>
      <c r="AA518" s="52"/>
      <c r="AB518" s="52"/>
      <c r="AC518" s="52"/>
      <c r="AD518" s="52"/>
      <c r="AE518" s="52"/>
      <c r="AF518" s="52"/>
      <c r="AG518" s="52"/>
      <c r="AH518" s="776"/>
      <c r="AI518" s="776"/>
      <c r="AJ518" s="776"/>
    </row>
    <row r="519" spans="1:36">
      <c r="A519" s="52"/>
      <c r="B519" s="52"/>
      <c r="C519" s="52"/>
      <c r="D519" s="52"/>
      <c r="E519" s="52"/>
      <c r="F519" s="52"/>
      <c r="G519" s="52"/>
      <c r="H519" s="52"/>
      <c r="I519" s="52"/>
      <c r="J519" s="52"/>
      <c r="K519" s="52"/>
      <c r="L519" s="52"/>
      <c r="M519" s="52"/>
      <c r="N519" s="52"/>
      <c r="O519" s="52"/>
      <c r="P519" s="932"/>
      <c r="Q519" s="932"/>
      <c r="R519" s="52"/>
      <c r="S519" s="52"/>
      <c r="T519" s="52"/>
      <c r="U519" s="52"/>
      <c r="V519" s="52"/>
      <c r="W519" s="52"/>
      <c r="X519" s="52"/>
      <c r="Y519" s="52"/>
      <c r="Z519" s="52"/>
      <c r="AA519" s="52"/>
      <c r="AB519" s="52"/>
      <c r="AC519" s="52"/>
      <c r="AD519" s="52"/>
      <c r="AE519" s="52"/>
      <c r="AF519" s="52"/>
      <c r="AG519" s="52"/>
      <c r="AH519" s="776"/>
      <c r="AI519" s="776"/>
      <c r="AJ519" s="776"/>
    </row>
    <row r="520" spans="1:36">
      <c r="A520" s="52"/>
      <c r="B520" s="52"/>
      <c r="C520" s="52"/>
      <c r="D520" s="52"/>
      <c r="E520" s="52"/>
      <c r="F520" s="52"/>
      <c r="G520" s="52"/>
      <c r="H520" s="52"/>
      <c r="I520" s="52"/>
      <c r="J520" s="52"/>
      <c r="K520" s="52"/>
      <c r="L520" s="52"/>
      <c r="M520" s="52"/>
      <c r="N520" s="52"/>
      <c r="O520" s="52"/>
      <c r="P520" s="932"/>
      <c r="Q520" s="932"/>
      <c r="R520" s="52"/>
      <c r="S520" s="52"/>
      <c r="T520" s="52"/>
      <c r="U520" s="52"/>
      <c r="V520" s="52"/>
      <c r="W520" s="52"/>
      <c r="X520" s="52"/>
      <c r="Y520" s="52"/>
      <c r="Z520" s="52"/>
      <c r="AA520" s="52"/>
      <c r="AB520" s="52"/>
      <c r="AC520" s="52"/>
      <c r="AD520" s="52"/>
      <c r="AE520" s="52"/>
      <c r="AF520" s="52"/>
      <c r="AG520" s="52"/>
      <c r="AH520" s="776"/>
      <c r="AI520" s="776"/>
      <c r="AJ520" s="776"/>
    </row>
    <row r="521" spans="1:36">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c r="AA521" s="52"/>
      <c r="AB521" s="52"/>
      <c r="AC521" s="52"/>
      <c r="AD521" s="52"/>
      <c r="AE521" s="52"/>
      <c r="AF521" s="52"/>
      <c r="AG521" s="52"/>
      <c r="AH521" s="776"/>
      <c r="AI521" s="776"/>
      <c r="AJ521" s="776"/>
    </row>
    <row r="522" spans="1:36">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c r="AA522" s="52"/>
      <c r="AB522" s="52"/>
      <c r="AC522" s="52"/>
      <c r="AD522" s="52"/>
      <c r="AE522" s="52"/>
      <c r="AF522" s="52"/>
      <c r="AG522" s="52"/>
      <c r="AH522" s="776"/>
      <c r="AI522" s="776"/>
      <c r="AJ522" s="776"/>
    </row>
    <row r="523" spans="1:36">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c r="AA523" s="52"/>
      <c r="AB523" s="52"/>
      <c r="AC523" s="52"/>
      <c r="AD523" s="52"/>
      <c r="AE523" s="52"/>
      <c r="AF523" s="52"/>
      <c r="AG523" s="52"/>
      <c r="AH523" s="776"/>
      <c r="AI523" s="776"/>
      <c r="AJ523" s="776"/>
    </row>
    <row r="524" spans="1:36">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c r="AA524" s="52"/>
      <c r="AB524" s="52"/>
      <c r="AC524" s="52"/>
      <c r="AD524" s="52"/>
      <c r="AE524" s="52"/>
      <c r="AF524" s="52"/>
      <c r="AG524" s="52"/>
      <c r="AH524" s="776"/>
      <c r="AI524" s="776"/>
      <c r="AJ524" s="776"/>
    </row>
    <row r="525" spans="1:36">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c r="AA525" s="52"/>
      <c r="AB525" s="52"/>
      <c r="AC525" s="52"/>
      <c r="AD525" s="52"/>
      <c r="AE525" s="52"/>
      <c r="AF525" s="52"/>
      <c r="AG525" s="52"/>
      <c r="AH525" s="776"/>
      <c r="AI525" s="776"/>
      <c r="AJ525" s="776"/>
    </row>
    <row r="526" spans="1:36">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c r="AA526" s="52"/>
      <c r="AB526" s="52"/>
      <c r="AC526" s="52"/>
      <c r="AD526" s="52"/>
      <c r="AE526" s="52"/>
      <c r="AF526" s="52"/>
      <c r="AG526" s="52"/>
      <c r="AH526" s="776"/>
      <c r="AI526" s="776"/>
      <c r="AJ526" s="776"/>
    </row>
    <row r="527" spans="1:36">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c r="AA527" s="52"/>
      <c r="AB527" s="52"/>
      <c r="AC527" s="52"/>
      <c r="AD527" s="52"/>
      <c r="AE527" s="52"/>
      <c r="AF527" s="52"/>
      <c r="AG527" s="52"/>
      <c r="AH527" s="776"/>
      <c r="AI527" s="776"/>
      <c r="AJ527" s="776"/>
    </row>
    <row r="528" spans="1:36">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c r="AA528" s="52"/>
      <c r="AB528" s="52"/>
      <c r="AC528" s="52"/>
      <c r="AD528" s="52"/>
      <c r="AE528" s="52"/>
      <c r="AF528" s="52"/>
      <c r="AG528" s="52"/>
      <c r="AH528" s="776"/>
      <c r="AI528" s="776"/>
      <c r="AJ528" s="776"/>
    </row>
    <row r="529" spans="1:36">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c r="AA529" s="52"/>
      <c r="AB529" s="52"/>
      <c r="AC529" s="52"/>
      <c r="AD529" s="52"/>
      <c r="AE529" s="52"/>
      <c r="AF529" s="52"/>
      <c r="AG529" s="52"/>
      <c r="AH529" s="776"/>
      <c r="AI529" s="776"/>
      <c r="AJ529" s="776"/>
    </row>
    <row r="530" spans="1:36">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c r="AA530" s="52"/>
      <c r="AB530" s="52"/>
      <c r="AC530" s="52"/>
      <c r="AD530" s="52"/>
      <c r="AE530" s="52"/>
      <c r="AF530" s="52"/>
      <c r="AG530" s="52"/>
      <c r="AH530" s="776"/>
      <c r="AI530" s="776"/>
      <c r="AJ530" s="776"/>
    </row>
    <row r="531" spans="1:36">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c r="AA531" s="52"/>
      <c r="AB531" s="52"/>
      <c r="AC531" s="52"/>
      <c r="AD531" s="52"/>
      <c r="AE531" s="52"/>
      <c r="AF531" s="52"/>
      <c r="AG531" s="52"/>
    </row>
    <row r="532" spans="1:36">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c r="AA532" s="52"/>
      <c r="AB532" s="52"/>
      <c r="AC532" s="52"/>
      <c r="AD532" s="52"/>
      <c r="AE532" s="52"/>
      <c r="AF532" s="52"/>
      <c r="AG532" s="52"/>
    </row>
    <row r="533" spans="1:36">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c r="AA533" s="52"/>
      <c r="AB533" s="52"/>
      <c r="AC533" s="52"/>
      <c r="AD533" s="52"/>
      <c r="AE533" s="52"/>
      <c r="AF533" s="52"/>
      <c r="AG533" s="52"/>
    </row>
    <row r="534" spans="1:36">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c r="AA534" s="52"/>
      <c r="AB534" s="52"/>
      <c r="AC534" s="52"/>
      <c r="AD534" s="52"/>
      <c r="AE534" s="52"/>
      <c r="AF534" s="52"/>
      <c r="AG534" s="52"/>
    </row>
    <row r="535" spans="1:36">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c r="AA535" s="52"/>
      <c r="AB535" s="52"/>
      <c r="AC535" s="52"/>
      <c r="AD535" s="52"/>
      <c r="AE535" s="52"/>
      <c r="AF535" s="52"/>
      <c r="AG535" s="52"/>
    </row>
    <row r="536" spans="1:36">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c r="AA536" s="52"/>
      <c r="AB536" s="52"/>
      <c r="AC536" s="52"/>
      <c r="AD536" s="52"/>
      <c r="AE536" s="52"/>
      <c r="AF536" s="52"/>
      <c r="AG536" s="52"/>
    </row>
    <row r="537" spans="1:36">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c r="AA537" s="52"/>
      <c r="AB537" s="52"/>
      <c r="AC537" s="52"/>
      <c r="AD537" s="52"/>
      <c r="AE537" s="52"/>
      <c r="AF537" s="52"/>
      <c r="AG537" s="52"/>
    </row>
    <row r="538" spans="1:36">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c r="AA538" s="52"/>
      <c r="AB538" s="52"/>
      <c r="AC538" s="52"/>
      <c r="AD538" s="52"/>
      <c r="AE538" s="52"/>
      <c r="AF538" s="52"/>
      <c r="AG538" s="52"/>
    </row>
    <row r="539" spans="1:36">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c r="AA539" s="52"/>
      <c r="AB539" s="52"/>
      <c r="AC539" s="52"/>
      <c r="AD539" s="52"/>
      <c r="AE539" s="52"/>
      <c r="AF539" s="52"/>
      <c r="AG539" s="52"/>
    </row>
    <row r="540" spans="1:36">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c r="AA540" s="52"/>
      <c r="AB540" s="52"/>
      <c r="AC540" s="52"/>
      <c r="AD540" s="52"/>
      <c r="AE540" s="52"/>
      <c r="AF540" s="52"/>
      <c r="AG540" s="52"/>
    </row>
    <row r="541" spans="1:36">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c r="AA541" s="52"/>
      <c r="AB541" s="52"/>
      <c r="AC541" s="52"/>
      <c r="AD541" s="52"/>
      <c r="AE541" s="52"/>
      <c r="AF541" s="52"/>
      <c r="AG541" s="52"/>
    </row>
    <row r="542" spans="1:36">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c r="AA542" s="52"/>
      <c r="AB542" s="52"/>
      <c r="AC542" s="52"/>
      <c r="AD542" s="52"/>
      <c r="AE542" s="52"/>
      <c r="AF542" s="52"/>
      <c r="AG542" s="52"/>
    </row>
    <row r="543" spans="1:36">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c r="AA543" s="52"/>
      <c r="AB543" s="52"/>
      <c r="AC543" s="52"/>
      <c r="AD543" s="52"/>
      <c r="AE543" s="52"/>
      <c r="AF543" s="52"/>
      <c r="AG543" s="52"/>
    </row>
    <row r="544" spans="1:36">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c r="AA544" s="52"/>
      <c r="AB544" s="52"/>
      <c r="AC544" s="52"/>
      <c r="AD544" s="52"/>
      <c r="AE544" s="52"/>
      <c r="AF544" s="52"/>
      <c r="AG544" s="52"/>
    </row>
    <row r="545" spans="1:33">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c r="AA545" s="52"/>
      <c r="AB545" s="52"/>
      <c r="AC545" s="52"/>
      <c r="AD545" s="52"/>
      <c r="AE545" s="52"/>
      <c r="AF545" s="52"/>
      <c r="AG545" s="52"/>
    </row>
    <row r="546" spans="1:33">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c r="AA546" s="52"/>
      <c r="AB546" s="52"/>
      <c r="AC546" s="52"/>
      <c r="AD546" s="52"/>
      <c r="AE546" s="52"/>
      <c r="AF546" s="52"/>
      <c r="AG546" s="52"/>
    </row>
    <row r="547" spans="1:33">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c r="AA547" s="52"/>
      <c r="AB547" s="52"/>
      <c r="AC547" s="52"/>
      <c r="AD547" s="52"/>
      <c r="AE547" s="52"/>
      <c r="AF547" s="52"/>
      <c r="AG547" s="52"/>
    </row>
    <row r="548" spans="1:33">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c r="AA548" s="52"/>
      <c r="AB548" s="52"/>
      <c r="AC548" s="52"/>
      <c r="AD548" s="52"/>
      <c r="AE548" s="52"/>
      <c r="AF548" s="52"/>
      <c r="AG548" s="52"/>
    </row>
    <row r="549" spans="1:33">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c r="AA549" s="52"/>
      <c r="AB549" s="52"/>
      <c r="AC549" s="52"/>
      <c r="AD549" s="52"/>
      <c r="AE549" s="52"/>
      <c r="AF549" s="52"/>
      <c r="AG549" s="52"/>
    </row>
    <row r="550" spans="1:33">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c r="AA550" s="52"/>
      <c r="AB550" s="52"/>
      <c r="AC550" s="52"/>
      <c r="AD550" s="52"/>
      <c r="AE550" s="52"/>
      <c r="AF550" s="52"/>
      <c r="AG550" s="52"/>
    </row>
    <row r="551" spans="1:33">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c r="AA551" s="52"/>
      <c r="AB551" s="52"/>
      <c r="AC551" s="52"/>
      <c r="AD551" s="52"/>
      <c r="AE551" s="52"/>
      <c r="AF551" s="52"/>
      <c r="AG551" s="52"/>
    </row>
    <row r="552" spans="1:33">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c r="AA552" s="52"/>
      <c r="AB552" s="52"/>
      <c r="AC552" s="52"/>
      <c r="AD552" s="52"/>
      <c r="AE552" s="52"/>
      <c r="AF552" s="52"/>
      <c r="AG552" s="52"/>
    </row>
    <row r="553" spans="1:33">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c r="AA553" s="52"/>
      <c r="AB553" s="52"/>
      <c r="AC553" s="52"/>
      <c r="AD553" s="52"/>
      <c r="AE553" s="52"/>
      <c r="AF553" s="52"/>
      <c r="AG553" s="52"/>
    </row>
    <row r="554" spans="1:33">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c r="AA554" s="52"/>
      <c r="AB554" s="52"/>
      <c r="AC554" s="52"/>
      <c r="AD554" s="52"/>
      <c r="AE554" s="52"/>
      <c r="AF554" s="52"/>
      <c r="AG554" s="52"/>
    </row>
    <row r="555" spans="1:33">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c r="AA555" s="52"/>
      <c r="AB555" s="52"/>
      <c r="AC555" s="52"/>
      <c r="AD555" s="52"/>
      <c r="AE555" s="52"/>
      <c r="AF555" s="52"/>
      <c r="AG555" s="52"/>
    </row>
    <row r="556" spans="1:33">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c r="AA556" s="52"/>
      <c r="AB556" s="52"/>
      <c r="AC556" s="52"/>
      <c r="AD556" s="52"/>
      <c r="AE556" s="52"/>
      <c r="AF556" s="52"/>
      <c r="AG556" s="52"/>
    </row>
    <row r="557" spans="1:33">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c r="AA557" s="52"/>
      <c r="AB557" s="52"/>
      <c r="AC557" s="52"/>
      <c r="AD557" s="52"/>
      <c r="AE557" s="52"/>
      <c r="AF557" s="52"/>
      <c r="AG557" s="52"/>
    </row>
    <row r="558" spans="1:33">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c r="AA558" s="52"/>
      <c r="AB558" s="52"/>
      <c r="AC558" s="52"/>
      <c r="AD558" s="52"/>
      <c r="AE558" s="52"/>
      <c r="AF558" s="52"/>
      <c r="AG558" s="52"/>
    </row>
    <row r="559" spans="1:33">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c r="AA559" s="52"/>
      <c r="AB559" s="52"/>
      <c r="AC559" s="52"/>
      <c r="AD559" s="52"/>
      <c r="AE559" s="52"/>
      <c r="AF559" s="52"/>
      <c r="AG559" s="52"/>
    </row>
    <row r="560" spans="1:33">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c r="AA560" s="52"/>
      <c r="AB560" s="52"/>
      <c r="AC560" s="52"/>
      <c r="AD560" s="52"/>
      <c r="AE560" s="52"/>
      <c r="AF560" s="52"/>
      <c r="AG560" s="52"/>
    </row>
    <row r="561" spans="1:33">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c r="AA561" s="52"/>
      <c r="AB561" s="52"/>
      <c r="AC561" s="52"/>
      <c r="AD561" s="52"/>
      <c r="AE561" s="52"/>
      <c r="AF561" s="52"/>
      <c r="AG561" s="52"/>
    </row>
    <row r="562" spans="1:33">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c r="AA562" s="52"/>
      <c r="AB562" s="52"/>
      <c r="AC562" s="52"/>
      <c r="AD562" s="52"/>
      <c r="AE562" s="52"/>
      <c r="AF562" s="52"/>
      <c r="AG562" s="52"/>
    </row>
    <row r="563" spans="1:33">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c r="AA563" s="52"/>
      <c r="AB563" s="52"/>
      <c r="AC563" s="52"/>
      <c r="AD563" s="52"/>
      <c r="AE563" s="52"/>
      <c r="AF563" s="52"/>
      <c r="AG563" s="52"/>
    </row>
    <row r="564" spans="1:33">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c r="AA564" s="52"/>
      <c r="AB564" s="52"/>
      <c r="AC564" s="52"/>
      <c r="AD564" s="52"/>
      <c r="AE564" s="52"/>
      <c r="AF564" s="52"/>
      <c r="AG564" s="52"/>
    </row>
    <row r="565" spans="1:33">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c r="AA565" s="52"/>
      <c r="AB565" s="52"/>
      <c r="AC565" s="52"/>
      <c r="AD565" s="52"/>
      <c r="AE565" s="52"/>
      <c r="AF565" s="52"/>
      <c r="AG565" s="52"/>
    </row>
    <row r="566" spans="1:33">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c r="AA566" s="52"/>
      <c r="AB566" s="52"/>
      <c r="AC566" s="52"/>
      <c r="AD566" s="52"/>
      <c r="AE566" s="52"/>
      <c r="AF566" s="52"/>
      <c r="AG566" s="52"/>
    </row>
    <row r="567" spans="1:33">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c r="AA567" s="52"/>
      <c r="AB567" s="52"/>
      <c r="AC567" s="52"/>
      <c r="AD567" s="52"/>
      <c r="AE567" s="52"/>
      <c r="AF567" s="52"/>
      <c r="AG567" s="52"/>
    </row>
    <row r="568" spans="1:33">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c r="AA568" s="52"/>
      <c r="AB568" s="52"/>
      <c r="AC568" s="52"/>
      <c r="AD568" s="52"/>
      <c r="AE568" s="52"/>
      <c r="AF568" s="52"/>
      <c r="AG568" s="52"/>
    </row>
    <row r="569" spans="1:33">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c r="AA569" s="52"/>
      <c r="AB569" s="52"/>
      <c r="AC569" s="52"/>
      <c r="AD569" s="52"/>
      <c r="AE569" s="52"/>
      <c r="AF569" s="52"/>
      <c r="AG569" s="52"/>
    </row>
    <row r="570" spans="1:33">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c r="AA570" s="52"/>
      <c r="AB570" s="52"/>
      <c r="AC570" s="52"/>
      <c r="AD570" s="52"/>
      <c r="AE570" s="52"/>
      <c r="AF570" s="52"/>
      <c r="AG570" s="52"/>
    </row>
    <row r="571" spans="1:33">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c r="AA571" s="52"/>
      <c r="AB571" s="52"/>
      <c r="AC571" s="52"/>
      <c r="AD571" s="52"/>
      <c r="AE571" s="52"/>
      <c r="AF571" s="52"/>
      <c r="AG571" s="52"/>
    </row>
    <row r="572" spans="1:33">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c r="AA572" s="52"/>
      <c r="AB572" s="52"/>
      <c r="AC572" s="52"/>
      <c r="AD572" s="52"/>
      <c r="AE572" s="52"/>
      <c r="AF572" s="52"/>
      <c r="AG572" s="52"/>
    </row>
    <row r="573" spans="1:33">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c r="AA573" s="52"/>
      <c r="AB573" s="52"/>
      <c r="AC573" s="52"/>
      <c r="AD573" s="52"/>
      <c r="AE573" s="52"/>
      <c r="AF573" s="52"/>
      <c r="AG573" s="52"/>
    </row>
    <row r="574" spans="1:33">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c r="AA574" s="52"/>
      <c r="AB574" s="52"/>
      <c r="AC574" s="52"/>
      <c r="AD574" s="52"/>
      <c r="AE574" s="52"/>
      <c r="AF574" s="52"/>
      <c r="AG574" s="52"/>
    </row>
    <row r="575" spans="1:33">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c r="AA575" s="52"/>
      <c r="AB575" s="52"/>
      <c r="AC575" s="52"/>
      <c r="AD575" s="52"/>
      <c r="AE575" s="52"/>
      <c r="AF575" s="52"/>
      <c r="AG575" s="52"/>
    </row>
    <row r="576" spans="1:33">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c r="AA576" s="52"/>
      <c r="AB576" s="52"/>
      <c r="AC576" s="52"/>
      <c r="AD576" s="52"/>
      <c r="AE576" s="52"/>
      <c r="AF576" s="52"/>
      <c r="AG576" s="52"/>
    </row>
    <row r="577" spans="1:33">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c r="AA577" s="52"/>
      <c r="AB577" s="52"/>
      <c r="AC577" s="52"/>
      <c r="AD577" s="52"/>
      <c r="AE577" s="52"/>
      <c r="AF577" s="52"/>
      <c r="AG577" s="52"/>
    </row>
    <row r="578" spans="1:33">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c r="AA578" s="52"/>
      <c r="AB578" s="52"/>
      <c r="AC578" s="52"/>
      <c r="AD578" s="52"/>
      <c r="AE578" s="52"/>
      <c r="AF578" s="52"/>
      <c r="AG578" s="52"/>
    </row>
    <row r="579" spans="1:33">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c r="AA579" s="52"/>
      <c r="AB579" s="52"/>
      <c r="AC579" s="52"/>
      <c r="AD579" s="52"/>
      <c r="AE579" s="52"/>
      <c r="AF579" s="52"/>
      <c r="AG579" s="52"/>
    </row>
    <row r="580" spans="1:33">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c r="AA580" s="52"/>
      <c r="AB580" s="52"/>
      <c r="AC580" s="52"/>
      <c r="AD580" s="52"/>
      <c r="AE580" s="52"/>
      <c r="AF580" s="52"/>
      <c r="AG580" s="52"/>
    </row>
    <row r="581" spans="1:33">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c r="AA581" s="52"/>
      <c r="AB581" s="52"/>
      <c r="AC581" s="52"/>
      <c r="AD581" s="52"/>
      <c r="AE581" s="52"/>
      <c r="AF581" s="52"/>
      <c r="AG581" s="52"/>
    </row>
    <row r="582" spans="1:33">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c r="AA582" s="52"/>
      <c r="AB582" s="52"/>
      <c r="AC582" s="52"/>
      <c r="AD582" s="52"/>
      <c r="AE582" s="52"/>
      <c r="AF582" s="52"/>
      <c r="AG582" s="52"/>
    </row>
    <row r="583" spans="1:33">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c r="AA583" s="52"/>
      <c r="AB583" s="52"/>
      <c r="AC583" s="52"/>
      <c r="AD583" s="52"/>
      <c r="AE583" s="52"/>
      <c r="AF583" s="52"/>
      <c r="AG583" s="52"/>
    </row>
    <row r="584" spans="1:33">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c r="AA584" s="52"/>
      <c r="AB584" s="52"/>
      <c r="AC584" s="52"/>
      <c r="AD584" s="52"/>
      <c r="AE584" s="52"/>
      <c r="AF584" s="52"/>
      <c r="AG584" s="52"/>
    </row>
    <row r="585" spans="1:33">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c r="AA585" s="52"/>
      <c r="AB585" s="52"/>
      <c r="AC585" s="52"/>
      <c r="AD585" s="52"/>
      <c r="AE585" s="52"/>
      <c r="AF585" s="52"/>
      <c r="AG585" s="52"/>
    </row>
    <row r="586" spans="1:33">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c r="AA586" s="52"/>
      <c r="AB586" s="52"/>
      <c r="AC586" s="52"/>
      <c r="AD586" s="52"/>
      <c r="AE586" s="52"/>
      <c r="AF586" s="52"/>
      <c r="AG586" s="52"/>
    </row>
    <row r="587" spans="1:33">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c r="AA587" s="52"/>
      <c r="AB587" s="52"/>
      <c r="AC587" s="52"/>
      <c r="AD587" s="52"/>
      <c r="AE587" s="52"/>
      <c r="AF587" s="52"/>
      <c r="AG587" s="52"/>
    </row>
    <row r="588" spans="1:33">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c r="AA588" s="52"/>
      <c r="AB588" s="52"/>
      <c r="AC588" s="52"/>
      <c r="AD588" s="52"/>
      <c r="AE588" s="52"/>
      <c r="AF588" s="52"/>
      <c r="AG588" s="52"/>
    </row>
    <row r="589" spans="1:33">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c r="AA589" s="52"/>
      <c r="AB589" s="52"/>
      <c r="AC589" s="52"/>
      <c r="AD589" s="52"/>
      <c r="AE589" s="52"/>
      <c r="AF589" s="52"/>
      <c r="AG589" s="52"/>
    </row>
    <row r="590" spans="1:33">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c r="AA590" s="52"/>
      <c r="AB590" s="52"/>
      <c r="AC590" s="52"/>
      <c r="AD590" s="52"/>
      <c r="AE590" s="52"/>
      <c r="AF590" s="52"/>
      <c r="AG590" s="52"/>
    </row>
    <row r="591" spans="1:33">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c r="AA591" s="52"/>
      <c r="AB591" s="52"/>
      <c r="AC591" s="52"/>
      <c r="AD591" s="52"/>
      <c r="AE591" s="52"/>
      <c r="AF591" s="52"/>
      <c r="AG591" s="52"/>
    </row>
    <row r="592" spans="1:33">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c r="AA592" s="52"/>
      <c r="AB592" s="52"/>
      <c r="AC592" s="52"/>
      <c r="AD592" s="52"/>
      <c r="AE592" s="52"/>
      <c r="AF592" s="52"/>
      <c r="AG592" s="52"/>
    </row>
    <row r="593" spans="1:33">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c r="AA593" s="52"/>
      <c r="AB593" s="52"/>
      <c r="AC593" s="52"/>
      <c r="AD593" s="52"/>
      <c r="AE593" s="52"/>
      <c r="AF593" s="52"/>
      <c r="AG593" s="52"/>
    </row>
    <row r="594" spans="1:33">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c r="AA594" s="52"/>
      <c r="AB594" s="52"/>
      <c r="AC594" s="52"/>
      <c r="AD594" s="52"/>
      <c r="AE594" s="52"/>
      <c r="AF594" s="52"/>
      <c r="AG594" s="52"/>
    </row>
    <row r="595" spans="1:33">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c r="AA595" s="52"/>
      <c r="AB595" s="52"/>
      <c r="AC595" s="52"/>
      <c r="AD595" s="52"/>
      <c r="AE595" s="52"/>
      <c r="AF595" s="52"/>
      <c r="AG595" s="52"/>
    </row>
    <row r="596" spans="1:33">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c r="AA596" s="52"/>
      <c r="AB596" s="52"/>
      <c r="AC596" s="52"/>
      <c r="AD596" s="52"/>
      <c r="AE596" s="52"/>
      <c r="AF596" s="52"/>
      <c r="AG596" s="52"/>
    </row>
    <row r="597" spans="1:33">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c r="AA597" s="52"/>
      <c r="AB597" s="52"/>
      <c r="AC597" s="52"/>
      <c r="AD597" s="52"/>
      <c r="AE597" s="52"/>
      <c r="AF597" s="52"/>
      <c r="AG597" s="52"/>
    </row>
    <row r="598" spans="1:33">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c r="AA598" s="52"/>
      <c r="AB598" s="52"/>
      <c r="AC598" s="52"/>
      <c r="AD598" s="52"/>
      <c r="AE598" s="52"/>
      <c r="AF598" s="52"/>
      <c r="AG598" s="52"/>
    </row>
    <row r="599" spans="1:33">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c r="AA599" s="52"/>
      <c r="AB599" s="52"/>
      <c r="AC599" s="52"/>
      <c r="AD599" s="52"/>
      <c r="AE599" s="52"/>
      <c r="AF599" s="52"/>
      <c r="AG599" s="52"/>
    </row>
    <row r="600" spans="1:33">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c r="AA600" s="52"/>
      <c r="AB600" s="52"/>
      <c r="AC600" s="52"/>
      <c r="AD600" s="52"/>
      <c r="AE600" s="52"/>
      <c r="AF600" s="52"/>
      <c r="AG600" s="52"/>
    </row>
    <row r="601" spans="1:33">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c r="AA601" s="52"/>
      <c r="AB601" s="52"/>
      <c r="AC601" s="52"/>
      <c r="AD601" s="52"/>
      <c r="AE601" s="52"/>
      <c r="AF601" s="52"/>
      <c r="AG601" s="52"/>
    </row>
    <row r="602" spans="1:33">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c r="AA602" s="52"/>
      <c r="AB602" s="52"/>
      <c r="AC602" s="52"/>
      <c r="AD602" s="52"/>
      <c r="AE602" s="52"/>
      <c r="AF602" s="52"/>
      <c r="AG602" s="52"/>
    </row>
    <row r="603" spans="1:33">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c r="AA603" s="52"/>
      <c r="AB603" s="52"/>
      <c r="AC603" s="52"/>
      <c r="AD603" s="52"/>
      <c r="AE603" s="52"/>
      <c r="AF603" s="52"/>
      <c r="AG603" s="52"/>
    </row>
    <row r="604" spans="1:33">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c r="AA604" s="52"/>
      <c r="AB604" s="52"/>
      <c r="AC604" s="52"/>
      <c r="AD604" s="52"/>
      <c r="AE604" s="52"/>
      <c r="AF604" s="52"/>
      <c r="AG604" s="52"/>
    </row>
    <row r="605" spans="1:33">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c r="AA605" s="52"/>
      <c r="AB605" s="52"/>
      <c r="AC605" s="52"/>
      <c r="AD605" s="52"/>
      <c r="AE605" s="52"/>
      <c r="AF605" s="52"/>
      <c r="AG605" s="52"/>
    </row>
    <row r="606" spans="1:33">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c r="AA606" s="52"/>
      <c r="AB606" s="52"/>
      <c r="AC606" s="52"/>
      <c r="AD606" s="52"/>
      <c r="AE606" s="52"/>
      <c r="AF606" s="52"/>
      <c r="AG606" s="52"/>
    </row>
    <row r="607" spans="1:33">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c r="AA607" s="52"/>
      <c r="AB607" s="52"/>
      <c r="AC607" s="52"/>
      <c r="AD607" s="52"/>
      <c r="AE607" s="52"/>
      <c r="AF607" s="52"/>
      <c r="AG607" s="52"/>
    </row>
    <row r="608" spans="1:33">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c r="AA608" s="52"/>
      <c r="AB608" s="52"/>
      <c r="AC608" s="52"/>
      <c r="AD608" s="52"/>
      <c r="AE608" s="52"/>
      <c r="AF608" s="52"/>
      <c r="AG608" s="52"/>
    </row>
    <row r="609" spans="1:33">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c r="AA609" s="52"/>
      <c r="AB609" s="52"/>
      <c r="AC609" s="52"/>
      <c r="AD609" s="52"/>
      <c r="AE609" s="52"/>
      <c r="AF609" s="52"/>
      <c r="AG609" s="52"/>
    </row>
    <row r="610" spans="1:33">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c r="AA610" s="52"/>
      <c r="AB610" s="52"/>
      <c r="AC610" s="52"/>
      <c r="AD610" s="52"/>
      <c r="AE610" s="52"/>
      <c r="AF610" s="52"/>
      <c r="AG610" s="52"/>
    </row>
    <row r="611" spans="1:33">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c r="AA611" s="52"/>
      <c r="AB611" s="52"/>
      <c r="AC611" s="52"/>
      <c r="AD611" s="52"/>
      <c r="AE611" s="52"/>
      <c r="AF611" s="52"/>
      <c r="AG611" s="52"/>
    </row>
    <row r="612" spans="1:33">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c r="AA612" s="52"/>
      <c r="AB612" s="52"/>
      <c r="AC612" s="52"/>
      <c r="AD612" s="52"/>
      <c r="AE612" s="52"/>
      <c r="AF612" s="52"/>
      <c r="AG612" s="52"/>
    </row>
    <row r="613" spans="1:33">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c r="AA613" s="52"/>
      <c r="AB613" s="52"/>
      <c r="AC613" s="52"/>
      <c r="AD613" s="52"/>
      <c r="AE613" s="52"/>
      <c r="AF613" s="52"/>
      <c r="AG613" s="52"/>
    </row>
    <row r="614" spans="1:33">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c r="AA614" s="52"/>
      <c r="AB614" s="52"/>
      <c r="AC614" s="52"/>
      <c r="AD614" s="52"/>
      <c r="AE614" s="52"/>
      <c r="AF614" s="52"/>
      <c r="AG614" s="52"/>
    </row>
    <row r="615" spans="1:33">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c r="AA615" s="52"/>
      <c r="AB615" s="52"/>
      <c r="AC615" s="52"/>
      <c r="AD615" s="52"/>
      <c r="AE615" s="52"/>
      <c r="AF615" s="52"/>
      <c r="AG615" s="52"/>
    </row>
    <row r="616" spans="1:33">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c r="AA616" s="52"/>
      <c r="AB616" s="52"/>
      <c r="AC616" s="52"/>
      <c r="AD616" s="52"/>
      <c r="AE616" s="52"/>
      <c r="AF616" s="52"/>
      <c r="AG616" s="52"/>
    </row>
    <row r="617" spans="1:33">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c r="AA617" s="52"/>
      <c r="AB617" s="52"/>
      <c r="AC617" s="52"/>
      <c r="AD617" s="52"/>
      <c r="AE617" s="52"/>
      <c r="AF617" s="52"/>
      <c r="AG617" s="52"/>
    </row>
    <row r="618" spans="1:33">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c r="AA618" s="52"/>
      <c r="AB618" s="52"/>
      <c r="AC618" s="52"/>
      <c r="AD618" s="52"/>
      <c r="AE618" s="52"/>
      <c r="AF618" s="52"/>
      <c r="AG618" s="52"/>
    </row>
    <row r="619" spans="1:33">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c r="AA619" s="52"/>
      <c r="AB619" s="52"/>
      <c r="AC619" s="52"/>
      <c r="AD619" s="52"/>
      <c r="AE619" s="52"/>
      <c r="AF619" s="52"/>
      <c r="AG619" s="52"/>
    </row>
    <row r="620" spans="1:33">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c r="AA620" s="52"/>
      <c r="AB620" s="52"/>
      <c r="AC620" s="52"/>
      <c r="AD620" s="52"/>
      <c r="AE620" s="52"/>
      <c r="AF620" s="52"/>
      <c r="AG620" s="52"/>
    </row>
    <row r="621" spans="1:33">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c r="AA621" s="52"/>
      <c r="AB621" s="52"/>
      <c r="AC621" s="52"/>
      <c r="AD621" s="52"/>
      <c r="AE621" s="52"/>
      <c r="AF621" s="52"/>
      <c r="AG621" s="52"/>
    </row>
    <row r="622" spans="1:33">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c r="AA622" s="52"/>
      <c r="AB622" s="52"/>
      <c r="AC622" s="52"/>
      <c r="AD622" s="52"/>
      <c r="AE622" s="52"/>
      <c r="AF622" s="52"/>
      <c r="AG622" s="52"/>
    </row>
    <row r="623" spans="1:33">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c r="AA623" s="52"/>
      <c r="AB623" s="52"/>
      <c r="AC623" s="52"/>
      <c r="AD623" s="52"/>
      <c r="AE623" s="52"/>
      <c r="AF623" s="52"/>
      <c r="AG623" s="52"/>
    </row>
    <row r="624" spans="1:33">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c r="AA624" s="52"/>
      <c r="AB624" s="52"/>
      <c r="AC624" s="52"/>
      <c r="AD624" s="52"/>
      <c r="AE624" s="52"/>
      <c r="AF624" s="52"/>
      <c r="AG624" s="52"/>
    </row>
    <row r="625" spans="1:33">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c r="AA625" s="52"/>
      <c r="AB625" s="52"/>
      <c r="AC625" s="52"/>
      <c r="AD625" s="52"/>
      <c r="AE625" s="52"/>
      <c r="AF625" s="52"/>
      <c r="AG625" s="52"/>
    </row>
    <row r="626" spans="1:33">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c r="AA626" s="52"/>
      <c r="AB626" s="52"/>
      <c r="AC626" s="52"/>
      <c r="AD626" s="52"/>
      <c r="AE626" s="52"/>
      <c r="AF626" s="52"/>
      <c r="AG626" s="52"/>
    </row>
    <row r="627" spans="1:33">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c r="AA627" s="52"/>
      <c r="AB627" s="52"/>
      <c r="AC627" s="52"/>
      <c r="AD627" s="52"/>
      <c r="AE627" s="52"/>
      <c r="AF627" s="52"/>
      <c r="AG627" s="52"/>
    </row>
    <row r="628" spans="1:33">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c r="AA628" s="52"/>
      <c r="AB628" s="52"/>
      <c r="AC628" s="52"/>
      <c r="AD628" s="52"/>
      <c r="AE628" s="52"/>
      <c r="AF628" s="52"/>
      <c r="AG628" s="52"/>
    </row>
    <row r="629" spans="1:33">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c r="AA629" s="52"/>
      <c r="AB629" s="52"/>
      <c r="AC629" s="52"/>
      <c r="AD629" s="52"/>
      <c r="AE629" s="52"/>
      <c r="AF629" s="52"/>
      <c r="AG629" s="52"/>
    </row>
    <row r="630" spans="1:33">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c r="AA630" s="52"/>
      <c r="AB630" s="52"/>
      <c r="AC630" s="52"/>
      <c r="AD630" s="52"/>
      <c r="AE630" s="52"/>
      <c r="AF630" s="52"/>
      <c r="AG630" s="52"/>
    </row>
    <row r="631" spans="1:33">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c r="AA631" s="52"/>
      <c r="AB631" s="52"/>
      <c r="AC631" s="52"/>
      <c r="AD631" s="52"/>
      <c r="AE631" s="52"/>
      <c r="AF631" s="52"/>
      <c r="AG631" s="52"/>
    </row>
    <row r="632" spans="1:33">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c r="AA632" s="52"/>
      <c r="AB632" s="52"/>
      <c r="AC632" s="52"/>
      <c r="AD632" s="52"/>
      <c r="AE632" s="52"/>
      <c r="AF632" s="52"/>
      <c r="AG632" s="52"/>
    </row>
    <row r="633" spans="1:33">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c r="AA633" s="52"/>
      <c r="AB633" s="52"/>
      <c r="AC633" s="52"/>
      <c r="AD633" s="52"/>
      <c r="AE633" s="52"/>
      <c r="AF633" s="52"/>
      <c r="AG633" s="52"/>
    </row>
    <row r="634" spans="1:33">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c r="AA634" s="52"/>
      <c r="AB634" s="52"/>
      <c r="AC634" s="52"/>
      <c r="AD634" s="52"/>
      <c r="AE634" s="52"/>
      <c r="AF634" s="52"/>
      <c r="AG634" s="52"/>
    </row>
    <row r="635" spans="1:33">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c r="AA635" s="52"/>
      <c r="AB635" s="52"/>
      <c r="AC635" s="52"/>
      <c r="AD635" s="52"/>
      <c r="AE635" s="52"/>
      <c r="AF635" s="52"/>
      <c r="AG635" s="52"/>
    </row>
    <row r="636" spans="1:33">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c r="AA636" s="52"/>
      <c r="AB636" s="52"/>
      <c r="AC636" s="52"/>
      <c r="AD636" s="52"/>
      <c r="AE636" s="52"/>
      <c r="AF636" s="52"/>
      <c r="AG636" s="52"/>
    </row>
    <row r="637" spans="1:33">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c r="AA637" s="52"/>
      <c r="AB637" s="52"/>
      <c r="AC637" s="52"/>
      <c r="AD637" s="52"/>
      <c r="AE637" s="52"/>
      <c r="AF637" s="52"/>
      <c r="AG637" s="52"/>
    </row>
    <row r="638" spans="1:33">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c r="AA638" s="52"/>
      <c r="AB638" s="52"/>
      <c r="AC638" s="52"/>
      <c r="AD638" s="52"/>
      <c r="AE638" s="52"/>
      <c r="AF638" s="52"/>
      <c r="AG638" s="52"/>
    </row>
    <row r="639" spans="1:33">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c r="AA639" s="52"/>
      <c r="AB639" s="52"/>
      <c r="AC639" s="52"/>
      <c r="AD639" s="52"/>
      <c r="AE639" s="52"/>
      <c r="AF639" s="52"/>
      <c r="AG639" s="52"/>
    </row>
    <row r="640" spans="1:33">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c r="AA640" s="52"/>
      <c r="AB640" s="52"/>
      <c r="AC640" s="52"/>
      <c r="AD640" s="52"/>
      <c r="AE640" s="52"/>
      <c r="AF640" s="52"/>
      <c r="AG640" s="52"/>
    </row>
    <row r="641" spans="1:33">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c r="AA641" s="52"/>
      <c r="AB641" s="52"/>
      <c r="AC641" s="52"/>
      <c r="AD641" s="52"/>
      <c r="AE641" s="52"/>
      <c r="AF641" s="52"/>
      <c r="AG641" s="52"/>
    </row>
    <row r="642" spans="1:33">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c r="AA642" s="52"/>
      <c r="AB642" s="52"/>
      <c r="AC642" s="52"/>
      <c r="AD642" s="52"/>
      <c r="AE642" s="52"/>
      <c r="AF642" s="52"/>
      <c r="AG642" s="52"/>
    </row>
    <row r="643" spans="1:33">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c r="AA643" s="52"/>
      <c r="AB643" s="52"/>
      <c r="AC643" s="52"/>
      <c r="AD643" s="52"/>
      <c r="AE643" s="52"/>
      <c r="AF643" s="52"/>
      <c r="AG643" s="52"/>
    </row>
    <row r="644" spans="1:33">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c r="AA644" s="52"/>
      <c r="AB644" s="52"/>
      <c r="AC644" s="52"/>
      <c r="AD644" s="52"/>
      <c r="AE644" s="52"/>
      <c r="AF644" s="52"/>
      <c r="AG644" s="52"/>
    </row>
    <row r="645" spans="1:33">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c r="AA645" s="52"/>
      <c r="AB645" s="52"/>
      <c r="AC645" s="52"/>
      <c r="AD645" s="52"/>
      <c r="AE645" s="52"/>
      <c r="AF645" s="52"/>
      <c r="AG645" s="52"/>
    </row>
    <row r="646" spans="1:33">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c r="AA646" s="52"/>
      <c r="AB646" s="52"/>
      <c r="AC646" s="52"/>
      <c r="AD646" s="52"/>
      <c r="AE646" s="52"/>
      <c r="AF646" s="52"/>
      <c r="AG646" s="52"/>
    </row>
    <row r="647" spans="1:33">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c r="AA647" s="52"/>
      <c r="AB647" s="52"/>
      <c r="AC647" s="52"/>
      <c r="AD647" s="52"/>
      <c r="AE647" s="52"/>
      <c r="AF647" s="52"/>
      <c r="AG647" s="52"/>
    </row>
    <row r="648" spans="1:33">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c r="AA648" s="52"/>
      <c r="AB648" s="52"/>
      <c r="AC648" s="52"/>
      <c r="AD648" s="52"/>
      <c r="AE648" s="52"/>
      <c r="AF648" s="52"/>
      <c r="AG648" s="52"/>
    </row>
    <row r="649" spans="1:33">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c r="AA649" s="52"/>
      <c r="AB649" s="52"/>
      <c r="AC649" s="52"/>
      <c r="AD649" s="52"/>
      <c r="AE649" s="52"/>
      <c r="AF649" s="52"/>
      <c r="AG649" s="52"/>
    </row>
    <row r="650" spans="1:33">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c r="AA650" s="52"/>
      <c r="AB650" s="52"/>
      <c r="AC650" s="52"/>
      <c r="AD650" s="52"/>
      <c r="AE650" s="52"/>
      <c r="AF650" s="52"/>
      <c r="AG650" s="52"/>
    </row>
    <row r="651" spans="1:33">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c r="AA651" s="52"/>
      <c r="AB651" s="52"/>
      <c r="AC651" s="52"/>
      <c r="AD651" s="52"/>
      <c r="AE651" s="52"/>
      <c r="AF651" s="52"/>
      <c r="AG651" s="52"/>
    </row>
    <row r="652" spans="1:33">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c r="AA652" s="52"/>
      <c r="AB652" s="52"/>
      <c r="AC652" s="52"/>
      <c r="AD652" s="52"/>
      <c r="AE652" s="52"/>
      <c r="AF652" s="52"/>
      <c r="AG652" s="52"/>
    </row>
    <row r="653" spans="1:33">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c r="AA653" s="52"/>
      <c r="AB653" s="52"/>
      <c r="AC653" s="52"/>
      <c r="AD653" s="52"/>
      <c r="AE653" s="52"/>
      <c r="AF653" s="52"/>
      <c r="AG653" s="52"/>
    </row>
    <row r="654" spans="1:33">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c r="AA654" s="52"/>
      <c r="AB654" s="52"/>
      <c r="AC654" s="52"/>
      <c r="AD654" s="52"/>
      <c r="AE654" s="52"/>
      <c r="AF654" s="52"/>
      <c r="AG654" s="52"/>
    </row>
    <row r="655" spans="1:33">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c r="AA655" s="52"/>
      <c r="AB655" s="52"/>
      <c r="AC655" s="52"/>
      <c r="AD655" s="52"/>
      <c r="AE655" s="52"/>
      <c r="AF655" s="52"/>
      <c r="AG655" s="52"/>
    </row>
    <row r="656" spans="1:33">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c r="AA656" s="52"/>
      <c r="AB656" s="52"/>
      <c r="AC656" s="52"/>
      <c r="AD656" s="52"/>
      <c r="AE656" s="52"/>
      <c r="AF656" s="52"/>
      <c r="AG656" s="52"/>
    </row>
    <row r="657" spans="1:33">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c r="AA657" s="52"/>
      <c r="AB657" s="52"/>
      <c r="AC657" s="52"/>
      <c r="AD657" s="52"/>
      <c r="AE657" s="52"/>
      <c r="AF657" s="52"/>
      <c r="AG657" s="52"/>
    </row>
    <row r="658" spans="1:33">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c r="AA658" s="52"/>
      <c r="AB658" s="52"/>
      <c r="AC658" s="52"/>
      <c r="AD658" s="52"/>
      <c r="AE658" s="52"/>
      <c r="AF658" s="52"/>
      <c r="AG658" s="52"/>
    </row>
    <row r="659" spans="1:33">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c r="AA659" s="52"/>
      <c r="AB659" s="52"/>
      <c r="AC659" s="52"/>
      <c r="AD659" s="52"/>
      <c r="AE659" s="52"/>
      <c r="AF659" s="52"/>
      <c r="AG659" s="52"/>
    </row>
    <row r="660" spans="1:33">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c r="AA660" s="52"/>
      <c r="AB660" s="52"/>
      <c r="AC660" s="52"/>
      <c r="AD660" s="52"/>
      <c r="AE660" s="52"/>
      <c r="AF660" s="52"/>
      <c r="AG660" s="52"/>
    </row>
    <row r="661" spans="1:33">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c r="AA661" s="52"/>
      <c r="AB661" s="52"/>
      <c r="AC661" s="52"/>
      <c r="AD661" s="52"/>
      <c r="AE661" s="52"/>
      <c r="AF661" s="52"/>
      <c r="AG661" s="52"/>
    </row>
    <row r="662" spans="1:33">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c r="AA662" s="52"/>
      <c r="AB662" s="52"/>
      <c r="AC662" s="52"/>
      <c r="AD662" s="52"/>
      <c r="AE662" s="52"/>
      <c r="AF662" s="52"/>
      <c r="AG662" s="52"/>
    </row>
    <row r="663" spans="1:33">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c r="AA663" s="52"/>
      <c r="AB663" s="52"/>
      <c r="AC663" s="52"/>
      <c r="AD663" s="52"/>
      <c r="AE663" s="52"/>
      <c r="AF663" s="52"/>
      <c r="AG663" s="52"/>
    </row>
    <row r="664" spans="1:33">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c r="AA664" s="52"/>
      <c r="AB664" s="52"/>
      <c r="AC664" s="52"/>
      <c r="AD664" s="52"/>
      <c r="AE664" s="52"/>
      <c r="AF664" s="52"/>
      <c r="AG664" s="52"/>
    </row>
    <row r="665" spans="1:33">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c r="AA665" s="52"/>
      <c r="AB665" s="52"/>
      <c r="AC665" s="52"/>
      <c r="AD665" s="52"/>
      <c r="AE665" s="52"/>
      <c r="AF665" s="52"/>
      <c r="AG665" s="52"/>
    </row>
    <row r="666" spans="1:33">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c r="AA666" s="52"/>
      <c r="AB666" s="52"/>
      <c r="AC666" s="52"/>
      <c r="AD666" s="52"/>
      <c r="AE666" s="52"/>
      <c r="AF666" s="52"/>
      <c r="AG666" s="52"/>
    </row>
    <row r="667" spans="1:33">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c r="AA667" s="52"/>
      <c r="AB667" s="52"/>
      <c r="AC667" s="52"/>
      <c r="AD667" s="52"/>
      <c r="AE667" s="52"/>
      <c r="AF667" s="52"/>
      <c r="AG667" s="52"/>
    </row>
    <row r="668" spans="1:33">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c r="AA668" s="52"/>
      <c r="AB668" s="52"/>
      <c r="AC668" s="52"/>
      <c r="AD668" s="52"/>
      <c r="AE668" s="52"/>
      <c r="AF668" s="52"/>
      <c r="AG668" s="52"/>
    </row>
    <row r="669" spans="1:33">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c r="AA669" s="52"/>
      <c r="AB669" s="52"/>
      <c r="AC669" s="52"/>
      <c r="AD669" s="52"/>
      <c r="AE669" s="52"/>
      <c r="AF669" s="52"/>
      <c r="AG669" s="52"/>
    </row>
    <row r="670" spans="1:33">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c r="AA670" s="52"/>
      <c r="AB670" s="52"/>
      <c r="AC670" s="52"/>
      <c r="AD670" s="52"/>
      <c r="AE670" s="52"/>
      <c r="AF670" s="52"/>
      <c r="AG670" s="52"/>
    </row>
    <row r="671" spans="1:33">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c r="AA671" s="52"/>
      <c r="AB671" s="52"/>
      <c r="AC671" s="52"/>
      <c r="AD671" s="52"/>
      <c r="AE671" s="52"/>
      <c r="AF671" s="52"/>
      <c r="AG671" s="52"/>
    </row>
    <row r="672" spans="1:33">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c r="AA672" s="52"/>
      <c r="AB672" s="52"/>
      <c r="AC672" s="52"/>
      <c r="AD672" s="52"/>
      <c r="AE672" s="52"/>
      <c r="AF672" s="52"/>
      <c r="AG672" s="52"/>
    </row>
    <row r="673" spans="1:33">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c r="AA673" s="52"/>
      <c r="AB673" s="52"/>
      <c r="AC673" s="52"/>
      <c r="AD673" s="52"/>
      <c r="AE673" s="52"/>
      <c r="AF673" s="52"/>
      <c r="AG673" s="52"/>
    </row>
    <row r="674" spans="1:33">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c r="AA674" s="52"/>
      <c r="AB674" s="52"/>
      <c r="AC674" s="52"/>
      <c r="AD674" s="52"/>
      <c r="AE674" s="52"/>
      <c r="AF674" s="52"/>
      <c r="AG674" s="52"/>
    </row>
    <row r="675" spans="1:33">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c r="AA675" s="52"/>
      <c r="AB675" s="52"/>
      <c r="AC675" s="52"/>
      <c r="AD675" s="52"/>
      <c r="AE675" s="52"/>
      <c r="AF675" s="52"/>
      <c r="AG675" s="52"/>
    </row>
    <row r="676" spans="1:33">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c r="AA676" s="52"/>
      <c r="AB676" s="52"/>
      <c r="AC676" s="52"/>
      <c r="AD676" s="52"/>
      <c r="AE676" s="52"/>
      <c r="AF676" s="52"/>
      <c r="AG676" s="52"/>
    </row>
    <row r="677" spans="1:33">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c r="AA677" s="52"/>
      <c r="AB677" s="52"/>
      <c r="AC677" s="52"/>
      <c r="AD677" s="52"/>
      <c r="AE677" s="52"/>
      <c r="AF677" s="52"/>
      <c r="AG677" s="52"/>
    </row>
    <row r="678" spans="1:33">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c r="AA678" s="52"/>
      <c r="AB678" s="52"/>
      <c r="AC678" s="52"/>
      <c r="AD678" s="52"/>
      <c r="AE678" s="52"/>
      <c r="AF678" s="52"/>
      <c r="AG678" s="52"/>
    </row>
    <row r="679" spans="1:33">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c r="AA679" s="52"/>
      <c r="AB679" s="52"/>
      <c r="AC679" s="52"/>
      <c r="AD679" s="52"/>
      <c r="AE679" s="52"/>
      <c r="AF679" s="52"/>
      <c r="AG679" s="52"/>
    </row>
    <row r="680" spans="1:33">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c r="AA680" s="52"/>
      <c r="AB680" s="52"/>
      <c r="AC680" s="52"/>
      <c r="AD680" s="52"/>
      <c r="AE680" s="52"/>
      <c r="AF680" s="52"/>
      <c r="AG680" s="52"/>
    </row>
    <row r="681" spans="1:33">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c r="AA681" s="52"/>
      <c r="AB681" s="52"/>
      <c r="AC681" s="52"/>
      <c r="AD681" s="52"/>
      <c r="AE681" s="52"/>
      <c r="AF681" s="52"/>
      <c r="AG681" s="52"/>
    </row>
    <row r="682" spans="1:33">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c r="AA682" s="52"/>
      <c r="AB682" s="52"/>
      <c r="AC682" s="52"/>
      <c r="AD682" s="52"/>
      <c r="AE682" s="52"/>
      <c r="AF682" s="52"/>
      <c r="AG682" s="52"/>
    </row>
    <row r="683" spans="1:33">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c r="AA683" s="52"/>
      <c r="AB683" s="52"/>
      <c r="AC683" s="52"/>
      <c r="AD683" s="52"/>
      <c r="AE683" s="52"/>
      <c r="AF683" s="52"/>
      <c r="AG683" s="52"/>
    </row>
    <row r="684" spans="1:33">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c r="AA684" s="52"/>
      <c r="AB684" s="52"/>
      <c r="AC684" s="52"/>
      <c r="AD684" s="52"/>
      <c r="AE684" s="52"/>
      <c r="AF684" s="52"/>
      <c r="AG684" s="52"/>
    </row>
    <row r="685" spans="1:33">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c r="AA685" s="52"/>
      <c r="AB685" s="52"/>
      <c r="AC685" s="52"/>
      <c r="AD685" s="52"/>
      <c r="AE685" s="52"/>
      <c r="AF685" s="52"/>
      <c r="AG685" s="52"/>
    </row>
    <row r="686" spans="1:33">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c r="AA686" s="52"/>
      <c r="AB686" s="52"/>
      <c r="AC686" s="52"/>
      <c r="AD686" s="52"/>
      <c r="AE686" s="52"/>
      <c r="AF686" s="52"/>
      <c r="AG686" s="52"/>
    </row>
    <row r="687" spans="1:33">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c r="AA687" s="52"/>
      <c r="AB687" s="52"/>
      <c r="AC687" s="52"/>
      <c r="AD687" s="52"/>
      <c r="AE687" s="52"/>
      <c r="AF687" s="52"/>
      <c r="AG687" s="52"/>
    </row>
    <row r="688" spans="1:33">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c r="AA688" s="52"/>
      <c r="AB688" s="52"/>
      <c r="AC688" s="52"/>
      <c r="AD688" s="52"/>
      <c r="AE688" s="52"/>
      <c r="AF688" s="52"/>
      <c r="AG688" s="52"/>
    </row>
    <row r="689" spans="1:33">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c r="AA689" s="52"/>
      <c r="AB689" s="52"/>
      <c r="AC689" s="52"/>
      <c r="AD689" s="52"/>
      <c r="AE689" s="52"/>
      <c r="AF689" s="52"/>
      <c r="AG689" s="52"/>
    </row>
    <row r="690" spans="1:33">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c r="AA690" s="52"/>
      <c r="AB690" s="52"/>
      <c r="AC690" s="52"/>
      <c r="AD690" s="52"/>
      <c r="AE690" s="52"/>
      <c r="AF690" s="52"/>
      <c r="AG690" s="52"/>
    </row>
    <row r="691" spans="1:33">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c r="AA691" s="52"/>
      <c r="AB691" s="52"/>
      <c r="AC691" s="52"/>
      <c r="AD691" s="52"/>
      <c r="AE691" s="52"/>
      <c r="AF691" s="52"/>
      <c r="AG691" s="52"/>
    </row>
    <row r="692" spans="1:33">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c r="AA692" s="52"/>
      <c r="AB692" s="52"/>
      <c r="AC692" s="52"/>
      <c r="AD692" s="52"/>
      <c r="AE692" s="52"/>
      <c r="AF692" s="52"/>
      <c r="AG692" s="52"/>
    </row>
    <row r="693" spans="1:33">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c r="AA693" s="52"/>
      <c r="AB693" s="52"/>
      <c r="AC693" s="52"/>
      <c r="AD693" s="52"/>
      <c r="AE693" s="52"/>
      <c r="AF693" s="52"/>
      <c r="AG693" s="52"/>
    </row>
    <row r="694" spans="1:33">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c r="AA694" s="52"/>
      <c r="AB694" s="52"/>
      <c r="AC694" s="52"/>
      <c r="AD694" s="52"/>
      <c r="AE694" s="52"/>
      <c r="AF694" s="52"/>
      <c r="AG694" s="52"/>
    </row>
    <row r="695" spans="1:33">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c r="AA695" s="52"/>
      <c r="AB695" s="52"/>
      <c r="AC695" s="52"/>
      <c r="AD695" s="52"/>
      <c r="AE695" s="52"/>
      <c r="AF695" s="52"/>
      <c r="AG695" s="52"/>
    </row>
    <row r="696" spans="1:33">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c r="AA696" s="52"/>
      <c r="AB696" s="52"/>
      <c r="AC696" s="52"/>
      <c r="AD696" s="52"/>
      <c r="AE696" s="52"/>
      <c r="AF696" s="52"/>
      <c r="AG696" s="52"/>
    </row>
    <row r="697" spans="1:33">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c r="AA697" s="52"/>
      <c r="AB697" s="52"/>
      <c r="AC697" s="52"/>
      <c r="AD697" s="52"/>
      <c r="AE697" s="52"/>
      <c r="AF697" s="52"/>
      <c r="AG697" s="52"/>
    </row>
    <row r="698" spans="1:33">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c r="AA698" s="52"/>
      <c r="AB698" s="52"/>
      <c r="AC698" s="52"/>
      <c r="AD698" s="52"/>
      <c r="AE698" s="52"/>
      <c r="AF698" s="52"/>
      <c r="AG698" s="52"/>
    </row>
    <row r="699" spans="1:33">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c r="AA699" s="52"/>
      <c r="AB699" s="52"/>
      <c r="AC699" s="52"/>
      <c r="AD699" s="52"/>
      <c r="AE699" s="52"/>
      <c r="AF699" s="52"/>
      <c r="AG699" s="52"/>
    </row>
    <row r="700" spans="1:33">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c r="AA700" s="52"/>
      <c r="AB700" s="52"/>
      <c r="AC700" s="52"/>
      <c r="AD700" s="52"/>
      <c r="AE700" s="52"/>
      <c r="AF700" s="52"/>
      <c r="AG700" s="52"/>
    </row>
    <row r="701" spans="1:33">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c r="AA701" s="52"/>
      <c r="AB701" s="52"/>
      <c r="AC701" s="52"/>
      <c r="AD701" s="52"/>
      <c r="AE701" s="52"/>
      <c r="AF701" s="52"/>
      <c r="AG701" s="52"/>
    </row>
    <row r="702" spans="1:33">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c r="AA702" s="52"/>
      <c r="AB702" s="52"/>
      <c r="AC702" s="52"/>
      <c r="AD702" s="52"/>
      <c r="AE702" s="52"/>
      <c r="AF702" s="52"/>
      <c r="AG702" s="52"/>
    </row>
    <row r="703" spans="1:33">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c r="AA703" s="52"/>
      <c r="AB703" s="52"/>
      <c r="AC703" s="52"/>
      <c r="AD703" s="52"/>
      <c r="AE703" s="52"/>
      <c r="AF703" s="52"/>
      <c r="AG703" s="52"/>
    </row>
    <row r="704" spans="1:33">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c r="AA704" s="52"/>
      <c r="AB704" s="52"/>
      <c r="AC704" s="52"/>
      <c r="AD704" s="52"/>
      <c r="AE704" s="52"/>
      <c r="AF704" s="52"/>
      <c r="AG704" s="52"/>
    </row>
    <row r="705" spans="1:33">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c r="AA705" s="52"/>
      <c r="AB705" s="52"/>
      <c r="AC705" s="52"/>
      <c r="AD705" s="52"/>
      <c r="AE705" s="52"/>
      <c r="AF705" s="52"/>
      <c r="AG705" s="52"/>
    </row>
    <row r="706" spans="1:33">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c r="AA706" s="52"/>
      <c r="AB706" s="52"/>
      <c r="AC706" s="52"/>
      <c r="AD706" s="52"/>
      <c r="AE706" s="52"/>
      <c r="AF706" s="52"/>
      <c r="AG706" s="52"/>
    </row>
    <row r="707" spans="1:33">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c r="AA707" s="52"/>
      <c r="AB707" s="52"/>
      <c r="AC707" s="52"/>
      <c r="AD707" s="52"/>
      <c r="AE707" s="52"/>
      <c r="AF707" s="52"/>
      <c r="AG707" s="52"/>
    </row>
    <row r="708" spans="1:33">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c r="AA708" s="52"/>
      <c r="AB708" s="52"/>
      <c r="AC708" s="52"/>
      <c r="AD708" s="52"/>
      <c r="AE708" s="52"/>
      <c r="AF708" s="52"/>
      <c r="AG708" s="52"/>
    </row>
    <row r="709" spans="1:33">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c r="AA709" s="52"/>
      <c r="AB709" s="52"/>
      <c r="AC709" s="52"/>
      <c r="AD709" s="52"/>
      <c r="AE709" s="52"/>
      <c r="AF709" s="52"/>
      <c r="AG709" s="52"/>
    </row>
    <row r="710" spans="1:33">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c r="AA710" s="52"/>
      <c r="AB710" s="52"/>
      <c r="AC710" s="52"/>
      <c r="AD710" s="52"/>
      <c r="AE710" s="52"/>
      <c r="AF710" s="52"/>
      <c r="AG710" s="52"/>
    </row>
    <row r="711" spans="1:33">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c r="AA711" s="52"/>
      <c r="AB711" s="52"/>
      <c r="AC711" s="52"/>
      <c r="AD711" s="52"/>
      <c r="AE711" s="52"/>
      <c r="AF711" s="52"/>
      <c r="AG711" s="52"/>
    </row>
    <row r="712" spans="1:33">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c r="AA712" s="52"/>
      <c r="AB712" s="52"/>
      <c r="AC712" s="52"/>
      <c r="AD712" s="52"/>
      <c r="AE712" s="52"/>
      <c r="AF712" s="52"/>
      <c r="AG712" s="52"/>
    </row>
    <row r="713" spans="1:33">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c r="AA713" s="52"/>
      <c r="AB713" s="52"/>
      <c r="AC713" s="52"/>
      <c r="AD713" s="52"/>
      <c r="AE713" s="52"/>
      <c r="AF713" s="52"/>
      <c r="AG713" s="52"/>
    </row>
    <row r="714" spans="1:33">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c r="AA714" s="52"/>
      <c r="AB714" s="52"/>
      <c r="AC714" s="52"/>
      <c r="AD714" s="52"/>
      <c r="AE714" s="52"/>
      <c r="AF714" s="52"/>
      <c r="AG714" s="52"/>
    </row>
    <row r="715" spans="1:33">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c r="AA715" s="52"/>
      <c r="AB715" s="52"/>
      <c r="AC715" s="52"/>
      <c r="AD715" s="52"/>
      <c r="AE715" s="52"/>
      <c r="AF715" s="52"/>
      <c r="AG715" s="52"/>
    </row>
    <row r="716" spans="1:33">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c r="AA716" s="52"/>
      <c r="AB716" s="52"/>
      <c r="AC716" s="52"/>
      <c r="AD716" s="52"/>
      <c r="AE716" s="52"/>
      <c r="AF716" s="52"/>
      <c r="AG716" s="52"/>
    </row>
    <row r="717" spans="1:33">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c r="AA717" s="52"/>
      <c r="AB717" s="52"/>
      <c r="AC717" s="52"/>
      <c r="AD717" s="52"/>
      <c r="AE717" s="52"/>
      <c r="AF717" s="52"/>
      <c r="AG717" s="52"/>
    </row>
    <row r="718" spans="1:33">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c r="AA718" s="52"/>
      <c r="AB718" s="52"/>
      <c r="AC718" s="52"/>
      <c r="AD718" s="52"/>
      <c r="AE718" s="52"/>
      <c r="AF718" s="52"/>
      <c r="AG718" s="52"/>
    </row>
    <row r="719" spans="1:33">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c r="AA719" s="52"/>
      <c r="AB719" s="52"/>
      <c r="AC719" s="52"/>
      <c r="AD719" s="52"/>
      <c r="AE719" s="52"/>
      <c r="AF719" s="52"/>
      <c r="AG719" s="52"/>
    </row>
    <row r="720" spans="1:33">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c r="AA720" s="52"/>
      <c r="AB720" s="52"/>
      <c r="AC720" s="52"/>
      <c r="AD720" s="52"/>
      <c r="AE720" s="52"/>
      <c r="AF720" s="52"/>
      <c r="AG720" s="52"/>
    </row>
    <row r="721" spans="1:33">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c r="AA721" s="52"/>
      <c r="AB721" s="52"/>
      <c r="AC721" s="52"/>
      <c r="AD721" s="52"/>
      <c r="AE721" s="52"/>
      <c r="AF721" s="52"/>
      <c r="AG721" s="52"/>
    </row>
    <row r="722" spans="1:33">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c r="AA722" s="52"/>
      <c r="AB722" s="52"/>
      <c r="AC722" s="52"/>
      <c r="AD722" s="52"/>
      <c r="AE722" s="52"/>
      <c r="AF722" s="52"/>
      <c r="AG722" s="52"/>
    </row>
    <row r="723" spans="1:33">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c r="AA723" s="52"/>
      <c r="AB723" s="52"/>
      <c r="AC723" s="52"/>
      <c r="AD723" s="52"/>
      <c r="AE723" s="52"/>
      <c r="AF723" s="52"/>
      <c r="AG723" s="52"/>
    </row>
    <row r="724" spans="1:33">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c r="AA724" s="52"/>
      <c r="AB724" s="52"/>
      <c r="AC724" s="52"/>
      <c r="AD724" s="52"/>
      <c r="AE724" s="52"/>
      <c r="AF724" s="52"/>
      <c r="AG724" s="52"/>
    </row>
    <row r="725" spans="1:33">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c r="AA725" s="52"/>
      <c r="AB725" s="52"/>
      <c r="AC725" s="52"/>
      <c r="AD725" s="52"/>
      <c r="AE725" s="52"/>
      <c r="AF725" s="52"/>
      <c r="AG725" s="52"/>
    </row>
    <row r="726" spans="1:33">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c r="AA726" s="52"/>
      <c r="AB726" s="52"/>
      <c r="AC726" s="52"/>
      <c r="AD726" s="52"/>
      <c r="AE726" s="52"/>
      <c r="AF726" s="52"/>
      <c r="AG726" s="52"/>
    </row>
    <row r="727" spans="1:33">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c r="AA727" s="52"/>
      <c r="AB727" s="52"/>
      <c r="AC727" s="52"/>
      <c r="AD727" s="52"/>
      <c r="AE727" s="52"/>
      <c r="AF727" s="52"/>
      <c r="AG727" s="52"/>
    </row>
    <row r="728" spans="1:33">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c r="AA728" s="52"/>
      <c r="AB728" s="52"/>
      <c r="AC728" s="52"/>
      <c r="AD728" s="52"/>
      <c r="AE728" s="52"/>
      <c r="AF728" s="52"/>
      <c r="AG728" s="52"/>
    </row>
    <row r="729" spans="1:33">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c r="AA729" s="52"/>
      <c r="AB729" s="52"/>
      <c r="AC729" s="52"/>
      <c r="AD729" s="52"/>
      <c r="AE729" s="52"/>
      <c r="AF729" s="52"/>
      <c r="AG729" s="52"/>
    </row>
    <row r="730" spans="1:33">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c r="AA730" s="52"/>
      <c r="AB730" s="52"/>
      <c r="AC730" s="52"/>
      <c r="AD730" s="52"/>
      <c r="AE730" s="52"/>
      <c r="AF730" s="52"/>
      <c r="AG730" s="52"/>
    </row>
    <row r="731" spans="1:33">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c r="AA731" s="52"/>
      <c r="AB731" s="52"/>
      <c r="AC731" s="52"/>
      <c r="AD731" s="52"/>
      <c r="AE731" s="52"/>
      <c r="AF731" s="52"/>
      <c r="AG731" s="52"/>
    </row>
    <row r="732" spans="1:33">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c r="AA732" s="52"/>
      <c r="AB732" s="52"/>
      <c r="AC732" s="52"/>
      <c r="AD732" s="52"/>
      <c r="AE732" s="52"/>
      <c r="AF732" s="52"/>
      <c r="AG732" s="52"/>
    </row>
    <row r="733" spans="1:33">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c r="AA733" s="52"/>
      <c r="AB733" s="52"/>
      <c r="AC733" s="52"/>
      <c r="AD733" s="52"/>
      <c r="AE733" s="52"/>
      <c r="AF733" s="52"/>
      <c r="AG733" s="52"/>
    </row>
    <row r="734" spans="1:33">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c r="AA734" s="52"/>
      <c r="AB734" s="52"/>
      <c r="AC734" s="52"/>
      <c r="AD734" s="52"/>
      <c r="AE734" s="52"/>
      <c r="AF734" s="52"/>
      <c r="AG734" s="52"/>
    </row>
    <row r="735" spans="1:33">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c r="AA735" s="52"/>
      <c r="AB735" s="52"/>
      <c r="AC735" s="52"/>
      <c r="AD735" s="52"/>
      <c r="AE735" s="52"/>
      <c r="AF735" s="52"/>
      <c r="AG735" s="52"/>
    </row>
    <row r="736" spans="1:33">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c r="AA736" s="52"/>
      <c r="AB736" s="52"/>
      <c r="AC736" s="52"/>
      <c r="AD736" s="52"/>
      <c r="AE736" s="52"/>
      <c r="AF736" s="52"/>
      <c r="AG736" s="52"/>
    </row>
    <row r="737" spans="1:33">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c r="AA737" s="52"/>
      <c r="AB737" s="52"/>
      <c r="AC737" s="52"/>
      <c r="AD737" s="52"/>
      <c r="AE737" s="52"/>
      <c r="AF737" s="52"/>
      <c r="AG737" s="52"/>
    </row>
    <row r="738" spans="1:33">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c r="AA738" s="52"/>
      <c r="AB738" s="52"/>
      <c r="AC738" s="52"/>
      <c r="AD738" s="52"/>
      <c r="AE738" s="52"/>
      <c r="AF738" s="52"/>
      <c r="AG738" s="52"/>
    </row>
    <row r="739" spans="1:33">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c r="AA739" s="52"/>
      <c r="AB739" s="52"/>
      <c r="AC739" s="52"/>
      <c r="AD739" s="52"/>
      <c r="AE739" s="52"/>
      <c r="AF739" s="52"/>
      <c r="AG739" s="52"/>
    </row>
    <row r="740" spans="1:33">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c r="AA740" s="52"/>
      <c r="AB740" s="52"/>
      <c r="AC740" s="52"/>
      <c r="AD740" s="52"/>
      <c r="AE740" s="52"/>
      <c r="AF740" s="52"/>
      <c r="AG740" s="52"/>
    </row>
    <row r="741" spans="1:33">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c r="AA741" s="52"/>
      <c r="AB741" s="52"/>
      <c r="AC741" s="52"/>
      <c r="AD741" s="52"/>
      <c r="AE741" s="52"/>
      <c r="AF741" s="52"/>
      <c r="AG741" s="52"/>
    </row>
    <row r="742" spans="1:33">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c r="AA742" s="52"/>
      <c r="AB742" s="52"/>
      <c r="AC742" s="52"/>
      <c r="AD742" s="52"/>
      <c r="AE742" s="52"/>
      <c r="AF742" s="52"/>
      <c r="AG742" s="52"/>
    </row>
    <row r="743" spans="1:33">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c r="AA743" s="52"/>
      <c r="AB743" s="52"/>
      <c r="AC743" s="52"/>
      <c r="AD743" s="52"/>
      <c r="AE743" s="52"/>
      <c r="AF743" s="52"/>
      <c r="AG743" s="52"/>
    </row>
    <row r="744" spans="1:33">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c r="AA744" s="52"/>
      <c r="AB744" s="52"/>
      <c r="AC744" s="52"/>
      <c r="AD744" s="52"/>
      <c r="AE744" s="52"/>
      <c r="AF744" s="52"/>
      <c r="AG744" s="52"/>
    </row>
    <row r="745" spans="1:33">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c r="AA745" s="52"/>
      <c r="AB745" s="52"/>
      <c r="AC745" s="52"/>
      <c r="AD745" s="52"/>
      <c r="AE745" s="52"/>
      <c r="AF745" s="52"/>
      <c r="AG745" s="52"/>
    </row>
    <row r="746" spans="1:33">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c r="AA746" s="52"/>
      <c r="AB746" s="52"/>
      <c r="AC746" s="52"/>
      <c r="AD746" s="52"/>
      <c r="AE746" s="52"/>
      <c r="AF746" s="52"/>
      <c r="AG746" s="52"/>
    </row>
    <row r="747" spans="1:33">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c r="AA747" s="52"/>
      <c r="AB747" s="52"/>
      <c r="AC747" s="52"/>
      <c r="AD747" s="52"/>
      <c r="AE747" s="52"/>
      <c r="AF747" s="52"/>
      <c r="AG747" s="52"/>
    </row>
    <row r="748" spans="1:33">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c r="AA748" s="52"/>
      <c r="AB748" s="52"/>
      <c r="AC748" s="52"/>
      <c r="AD748" s="52"/>
      <c r="AE748" s="52"/>
      <c r="AF748" s="52"/>
      <c r="AG748" s="52"/>
    </row>
    <row r="749" spans="1:33">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c r="AA749" s="52"/>
      <c r="AB749" s="52"/>
      <c r="AC749" s="52"/>
      <c r="AD749" s="52"/>
      <c r="AE749" s="52"/>
      <c r="AF749" s="52"/>
      <c r="AG749" s="52"/>
    </row>
    <row r="750" spans="1:33">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c r="AA750" s="52"/>
      <c r="AB750" s="52"/>
      <c r="AC750" s="52"/>
      <c r="AD750" s="52"/>
      <c r="AE750" s="52"/>
      <c r="AF750" s="52"/>
      <c r="AG750" s="52"/>
    </row>
    <row r="751" spans="1:33">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c r="AA751" s="52"/>
      <c r="AB751" s="52"/>
      <c r="AC751" s="52"/>
      <c r="AD751" s="52"/>
      <c r="AE751" s="52"/>
      <c r="AF751" s="52"/>
      <c r="AG751" s="52"/>
    </row>
    <row r="752" spans="1:33">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c r="AA752" s="52"/>
      <c r="AB752" s="52"/>
      <c r="AC752" s="52"/>
      <c r="AD752" s="52"/>
      <c r="AE752" s="52"/>
      <c r="AF752" s="52"/>
      <c r="AG752" s="52"/>
    </row>
    <row r="753" spans="1:33">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c r="AA753" s="52"/>
      <c r="AB753" s="52"/>
      <c r="AC753" s="52"/>
      <c r="AD753" s="52"/>
      <c r="AE753" s="52"/>
      <c r="AF753" s="52"/>
      <c r="AG753" s="52"/>
    </row>
    <row r="754" spans="1:33">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c r="AA754" s="52"/>
      <c r="AB754" s="52"/>
      <c r="AC754" s="52"/>
      <c r="AD754" s="52"/>
      <c r="AE754" s="52"/>
      <c r="AF754" s="52"/>
      <c r="AG754" s="52"/>
    </row>
    <row r="755" spans="1:33">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c r="AA755" s="52"/>
      <c r="AB755" s="52"/>
      <c r="AC755" s="52"/>
      <c r="AD755" s="52"/>
      <c r="AE755" s="52"/>
      <c r="AF755" s="52"/>
      <c r="AG755" s="52"/>
    </row>
    <row r="756" spans="1:33">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c r="AA756" s="52"/>
      <c r="AB756" s="52"/>
      <c r="AC756" s="52"/>
      <c r="AD756" s="52"/>
      <c r="AE756" s="52"/>
      <c r="AF756" s="52"/>
      <c r="AG756" s="52"/>
    </row>
    <row r="757" spans="1:33">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c r="AA757" s="52"/>
      <c r="AB757" s="52"/>
      <c r="AC757" s="52"/>
      <c r="AD757" s="52"/>
      <c r="AE757" s="52"/>
      <c r="AF757" s="52"/>
      <c r="AG757" s="52"/>
    </row>
    <row r="758" spans="1:33">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c r="AA758" s="52"/>
      <c r="AB758" s="52"/>
      <c r="AC758" s="52"/>
      <c r="AD758" s="52"/>
      <c r="AE758" s="52"/>
      <c r="AF758" s="52"/>
      <c r="AG758" s="52"/>
    </row>
    <row r="759" spans="1:33">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c r="AA759" s="52"/>
      <c r="AB759" s="52"/>
      <c r="AC759" s="52"/>
      <c r="AD759" s="52"/>
      <c r="AE759" s="52"/>
      <c r="AF759" s="52"/>
      <c r="AG759" s="52"/>
    </row>
    <row r="760" spans="1:33">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c r="AA760" s="52"/>
      <c r="AB760" s="52"/>
      <c r="AC760" s="52"/>
      <c r="AD760" s="52"/>
      <c r="AE760" s="52"/>
      <c r="AF760" s="52"/>
      <c r="AG760" s="52"/>
    </row>
    <row r="761" spans="1:33">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c r="AA761" s="52"/>
      <c r="AB761" s="52"/>
      <c r="AC761" s="52"/>
      <c r="AD761" s="52"/>
      <c r="AE761" s="52"/>
      <c r="AF761" s="52"/>
      <c r="AG761" s="52"/>
    </row>
    <row r="762" spans="1:33">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c r="AA762" s="52"/>
      <c r="AB762" s="52"/>
      <c r="AC762" s="52"/>
      <c r="AD762" s="52"/>
      <c r="AE762" s="52"/>
      <c r="AF762" s="52"/>
      <c r="AG762" s="52"/>
    </row>
    <row r="763" spans="1:33">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c r="AA763" s="52"/>
      <c r="AB763" s="52"/>
      <c r="AC763" s="52"/>
      <c r="AD763" s="52"/>
      <c r="AE763" s="52"/>
      <c r="AF763" s="52"/>
      <c r="AG763" s="52"/>
    </row>
    <row r="764" spans="1:33">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c r="AA764" s="52"/>
      <c r="AB764" s="52"/>
      <c r="AC764" s="52"/>
      <c r="AD764" s="52"/>
      <c r="AE764" s="52"/>
      <c r="AF764" s="52"/>
      <c r="AG764" s="52"/>
    </row>
    <row r="765" spans="1:33">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c r="AA765" s="52"/>
      <c r="AB765" s="52"/>
      <c r="AC765" s="52"/>
      <c r="AD765" s="52"/>
      <c r="AE765" s="52"/>
      <c r="AF765" s="52"/>
      <c r="AG765" s="52"/>
    </row>
    <row r="766" spans="1:33">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c r="AA766" s="52"/>
      <c r="AB766" s="52"/>
      <c r="AC766" s="52"/>
      <c r="AD766" s="52"/>
      <c r="AE766" s="52"/>
      <c r="AF766" s="52"/>
      <c r="AG766" s="52"/>
    </row>
    <row r="767" spans="1:33">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c r="AA767" s="52"/>
      <c r="AB767" s="52"/>
      <c r="AC767" s="52"/>
      <c r="AD767" s="52"/>
      <c r="AE767" s="52"/>
      <c r="AF767" s="52"/>
      <c r="AG767" s="52"/>
    </row>
    <row r="768" spans="1:33">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c r="AA768" s="52"/>
      <c r="AB768" s="52"/>
      <c r="AC768" s="52"/>
      <c r="AD768" s="52"/>
      <c r="AE768" s="52"/>
      <c r="AF768" s="52"/>
      <c r="AG768" s="52"/>
    </row>
    <row r="769" spans="1:33">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c r="AA769" s="52"/>
      <c r="AB769" s="52"/>
      <c r="AC769" s="52"/>
      <c r="AD769" s="52"/>
      <c r="AE769" s="52"/>
      <c r="AF769" s="52"/>
      <c r="AG769" s="52"/>
    </row>
    <row r="770" spans="1:33">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c r="AA770" s="52"/>
      <c r="AB770" s="52"/>
      <c r="AC770" s="52"/>
      <c r="AD770" s="52"/>
      <c r="AE770" s="52"/>
      <c r="AF770" s="52"/>
      <c r="AG770" s="52"/>
    </row>
    <row r="771" spans="1:33">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c r="AA771" s="52"/>
      <c r="AB771" s="52"/>
      <c r="AC771" s="52"/>
      <c r="AD771" s="52"/>
      <c r="AE771" s="52"/>
      <c r="AF771" s="52"/>
      <c r="AG771" s="52"/>
    </row>
    <row r="772" spans="1:33">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c r="AA772" s="52"/>
      <c r="AB772" s="52"/>
      <c r="AC772" s="52"/>
      <c r="AD772" s="52"/>
      <c r="AE772" s="52"/>
      <c r="AF772" s="52"/>
      <c r="AG772" s="52"/>
    </row>
    <row r="773" spans="1:33">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c r="AA773" s="52"/>
      <c r="AB773" s="52"/>
      <c r="AC773" s="52"/>
      <c r="AD773" s="52"/>
      <c r="AE773" s="52"/>
      <c r="AF773" s="52"/>
      <c r="AG773" s="52"/>
    </row>
    <row r="774" spans="1:33">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c r="AA774" s="52"/>
      <c r="AB774" s="52"/>
      <c r="AC774" s="52"/>
      <c r="AD774" s="52"/>
      <c r="AE774" s="52"/>
      <c r="AF774" s="52"/>
      <c r="AG774" s="52"/>
    </row>
    <row r="775" spans="1:33">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c r="AA775" s="52"/>
      <c r="AB775" s="52"/>
      <c r="AC775" s="52"/>
      <c r="AD775" s="52"/>
      <c r="AE775" s="52"/>
      <c r="AF775" s="52"/>
      <c r="AG775" s="52"/>
    </row>
    <row r="776" spans="1:33">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c r="AA776" s="52"/>
      <c r="AB776" s="52"/>
      <c r="AC776" s="52"/>
      <c r="AD776" s="52"/>
      <c r="AE776" s="52"/>
      <c r="AF776" s="52"/>
      <c r="AG776" s="52"/>
    </row>
    <row r="777" spans="1:33">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c r="AA777" s="52"/>
      <c r="AB777" s="52"/>
      <c r="AC777" s="52"/>
      <c r="AD777" s="52"/>
      <c r="AE777" s="52"/>
      <c r="AF777" s="52"/>
      <c r="AG777" s="52"/>
    </row>
    <row r="778" spans="1:33">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c r="AA778" s="52"/>
      <c r="AB778" s="52"/>
      <c r="AC778" s="52"/>
      <c r="AD778" s="52"/>
      <c r="AE778" s="52"/>
      <c r="AF778" s="52"/>
      <c r="AG778" s="52"/>
    </row>
    <row r="779" spans="1:33">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c r="AA779" s="52"/>
      <c r="AB779" s="52"/>
      <c r="AC779" s="52"/>
      <c r="AD779" s="52"/>
      <c r="AE779" s="52"/>
      <c r="AF779" s="52"/>
      <c r="AG779" s="52"/>
    </row>
    <row r="780" spans="1:33">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c r="AA780" s="52"/>
      <c r="AB780" s="52"/>
      <c r="AC780" s="52"/>
      <c r="AD780" s="52"/>
      <c r="AE780" s="52"/>
      <c r="AF780" s="52"/>
      <c r="AG780" s="52"/>
    </row>
    <row r="781" spans="1:33">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c r="AA781" s="52"/>
      <c r="AB781" s="52"/>
      <c r="AC781" s="52"/>
      <c r="AD781" s="52"/>
      <c r="AE781" s="52"/>
      <c r="AF781" s="52"/>
      <c r="AG781" s="52"/>
    </row>
    <row r="782" spans="1:33">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c r="AA782" s="52"/>
      <c r="AB782" s="52"/>
      <c r="AC782" s="52"/>
      <c r="AD782" s="52"/>
      <c r="AE782" s="52"/>
      <c r="AF782" s="52"/>
      <c r="AG782" s="52"/>
    </row>
    <row r="783" spans="1:33">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c r="AA783" s="52"/>
      <c r="AB783" s="52"/>
      <c r="AC783" s="52"/>
      <c r="AD783" s="52"/>
      <c r="AE783" s="52"/>
      <c r="AF783" s="52"/>
      <c r="AG783" s="52"/>
    </row>
    <row r="784" spans="1:33">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c r="AA784" s="52"/>
      <c r="AB784" s="52"/>
      <c r="AC784" s="52"/>
      <c r="AD784" s="52"/>
      <c r="AE784" s="52"/>
      <c r="AF784" s="52"/>
      <c r="AG784" s="52"/>
    </row>
    <row r="785" spans="1:33">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c r="AA785" s="52"/>
      <c r="AB785" s="52"/>
      <c r="AC785" s="52"/>
      <c r="AD785" s="52"/>
      <c r="AE785" s="52"/>
      <c r="AF785" s="52"/>
      <c r="AG785" s="52"/>
    </row>
    <row r="786" spans="1:33">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c r="AA786" s="52"/>
      <c r="AB786" s="52"/>
      <c r="AC786" s="52"/>
      <c r="AD786" s="52"/>
      <c r="AE786" s="52"/>
      <c r="AF786" s="52"/>
      <c r="AG786" s="52"/>
    </row>
    <row r="787" spans="1:33">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c r="AA787" s="52"/>
      <c r="AB787" s="52"/>
      <c r="AC787" s="52"/>
      <c r="AD787" s="52"/>
      <c r="AE787" s="52"/>
      <c r="AF787" s="52"/>
      <c r="AG787" s="52"/>
    </row>
    <row r="788" spans="1:33">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c r="AA788" s="52"/>
      <c r="AB788" s="52"/>
      <c r="AC788" s="52"/>
      <c r="AD788" s="52"/>
      <c r="AE788" s="52"/>
      <c r="AF788" s="52"/>
      <c r="AG788" s="52"/>
    </row>
    <row r="789" spans="1:33">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c r="AA789" s="52"/>
      <c r="AB789" s="52"/>
      <c r="AC789" s="52"/>
      <c r="AD789" s="52"/>
      <c r="AE789" s="52"/>
      <c r="AF789" s="52"/>
      <c r="AG789" s="52"/>
    </row>
    <row r="790" spans="1:33">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c r="AA790" s="52"/>
      <c r="AB790" s="52"/>
      <c r="AC790" s="52"/>
      <c r="AD790" s="52"/>
      <c r="AE790" s="52"/>
      <c r="AF790" s="52"/>
      <c r="AG790" s="52"/>
    </row>
    <row r="791" spans="1:33">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c r="AA791" s="52"/>
      <c r="AB791" s="52"/>
      <c r="AC791" s="52"/>
      <c r="AD791" s="52"/>
      <c r="AE791" s="52"/>
      <c r="AF791" s="52"/>
      <c r="AG791" s="52"/>
    </row>
    <row r="792" spans="1:33">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c r="AA792" s="52"/>
      <c r="AB792" s="52"/>
      <c r="AC792" s="52"/>
      <c r="AD792" s="52"/>
      <c r="AE792" s="52"/>
      <c r="AF792" s="52"/>
      <c r="AG792" s="52"/>
    </row>
    <row r="793" spans="1:33">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c r="AA793" s="52"/>
      <c r="AB793" s="52"/>
      <c r="AC793" s="52"/>
      <c r="AD793" s="52"/>
      <c r="AE793" s="52"/>
      <c r="AF793" s="52"/>
      <c r="AG793" s="52"/>
    </row>
    <row r="794" spans="1:33">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c r="AA794" s="52"/>
      <c r="AB794" s="52"/>
      <c r="AC794" s="52"/>
      <c r="AD794" s="52"/>
      <c r="AE794" s="52"/>
      <c r="AF794" s="52"/>
      <c r="AG794" s="52"/>
    </row>
    <row r="795" spans="1:33">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c r="AA795" s="52"/>
      <c r="AB795" s="52"/>
      <c r="AC795" s="52"/>
      <c r="AD795" s="52"/>
      <c r="AE795" s="52"/>
      <c r="AF795" s="52"/>
      <c r="AG795" s="52"/>
    </row>
    <row r="796" spans="1:33">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c r="AA796" s="52"/>
      <c r="AB796" s="52"/>
      <c r="AC796" s="52"/>
      <c r="AD796" s="52"/>
      <c r="AE796" s="52"/>
      <c r="AF796" s="52"/>
      <c r="AG796" s="52"/>
    </row>
    <row r="797" spans="1:33">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c r="AA797" s="52"/>
      <c r="AB797" s="52"/>
      <c r="AC797" s="52"/>
      <c r="AD797" s="52"/>
      <c r="AE797" s="52"/>
      <c r="AF797" s="52"/>
      <c r="AG797" s="52"/>
    </row>
    <row r="798" spans="1:33">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c r="AA798" s="52"/>
      <c r="AB798" s="52"/>
      <c r="AC798" s="52"/>
      <c r="AD798" s="52"/>
      <c r="AE798" s="52"/>
      <c r="AF798" s="52"/>
      <c r="AG798" s="52"/>
    </row>
    <row r="799" spans="1:33">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c r="AA799" s="52"/>
      <c r="AB799" s="52"/>
      <c r="AC799" s="52"/>
      <c r="AD799" s="52"/>
      <c r="AE799" s="52"/>
      <c r="AF799" s="52"/>
      <c r="AG799" s="52"/>
    </row>
    <row r="800" spans="1:33">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c r="AA800" s="52"/>
      <c r="AB800" s="52"/>
      <c r="AC800" s="52"/>
      <c r="AD800" s="52"/>
      <c r="AE800" s="52"/>
      <c r="AF800" s="52"/>
      <c r="AG800" s="52"/>
    </row>
    <row r="801" spans="1:33">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c r="AA801" s="52"/>
      <c r="AB801" s="52"/>
      <c r="AC801" s="52"/>
      <c r="AD801" s="52"/>
      <c r="AE801" s="52"/>
      <c r="AF801" s="52"/>
      <c r="AG801" s="52"/>
    </row>
    <row r="802" spans="1:33">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c r="AA802" s="52"/>
      <c r="AB802" s="52"/>
      <c r="AC802" s="52"/>
      <c r="AD802" s="52"/>
      <c r="AE802" s="52"/>
      <c r="AF802" s="52"/>
      <c r="AG802" s="52"/>
    </row>
    <row r="803" spans="1:33">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c r="AA803" s="52"/>
      <c r="AB803" s="52"/>
      <c r="AC803" s="52"/>
      <c r="AD803" s="52"/>
      <c r="AE803" s="52"/>
      <c r="AF803" s="52"/>
      <c r="AG803" s="52"/>
    </row>
    <row r="804" spans="1:33">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c r="AA804" s="52"/>
      <c r="AB804" s="52"/>
      <c r="AC804" s="52"/>
      <c r="AD804" s="52"/>
      <c r="AE804" s="52"/>
      <c r="AF804" s="52"/>
      <c r="AG804" s="52"/>
    </row>
    <row r="805" spans="1:33">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c r="AA805" s="52"/>
      <c r="AB805" s="52"/>
      <c r="AC805" s="52"/>
      <c r="AD805" s="52"/>
      <c r="AE805" s="52"/>
      <c r="AF805" s="52"/>
      <c r="AG805" s="52"/>
    </row>
    <row r="806" spans="1:33">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c r="AA806" s="52"/>
      <c r="AB806" s="52"/>
      <c r="AC806" s="52"/>
      <c r="AD806" s="52"/>
      <c r="AE806" s="52"/>
      <c r="AF806" s="52"/>
      <c r="AG806" s="52"/>
    </row>
    <row r="807" spans="1:33">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c r="AA807" s="52"/>
      <c r="AB807" s="52"/>
      <c r="AC807" s="52"/>
      <c r="AD807" s="52"/>
      <c r="AE807" s="52"/>
      <c r="AF807" s="52"/>
      <c r="AG807" s="52"/>
    </row>
    <row r="808" spans="1:33">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c r="AA808" s="52"/>
      <c r="AB808" s="52"/>
      <c r="AC808" s="52"/>
      <c r="AD808" s="52"/>
      <c r="AE808" s="52"/>
      <c r="AF808" s="52"/>
      <c r="AG808" s="52"/>
    </row>
    <row r="809" spans="1:33">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c r="AA809" s="52"/>
      <c r="AB809" s="52"/>
      <c r="AC809" s="52"/>
      <c r="AD809" s="52"/>
      <c r="AE809" s="52"/>
      <c r="AF809" s="52"/>
      <c r="AG809" s="52"/>
    </row>
    <row r="810" spans="1:33">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c r="AA810" s="52"/>
      <c r="AB810" s="52"/>
      <c r="AC810" s="52"/>
      <c r="AD810" s="52"/>
      <c r="AE810" s="52"/>
      <c r="AF810" s="52"/>
      <c r="AG810" s="52"/>
    </row>
    <row r="811" spans="1:33">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c r="AA811" s="52"/>
      <c r="AB811" s="52"/>
      <c r="AC811" s="52"/>
      <c r="AD811" s="52"/>
      <c r="AE811" s="52"/>
      <c r="AF811" s="52"/>
      <c r="AG811" s="52"/>
    </row>
    <row r="812" spans="1:33">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c r="AA812" s="52"/>
      <c r="AB812" s="52"/>
      <c r="AC812" s="52"/>
      <c r="AD812" s="52"/>
      <c r="AE812" s="52"/>
      <c r="AF812" s="52"/>
      <c r="AG812" s="52"/>
    </row>
    <row r="813" spans="1:33">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c r="AA813" s="52"/>
      <c r="AB813" s="52"/>
      <c r="AC813" s="52"/>
      <c r="AD813" s="52"/>
      <c r="AE813" s="52"/>
      <c r="AF813" s="52"/>
      <c r="AG813" s="52"/>
    </row>
  </sheetData>
  <dataConsolidate/>
  <customSheetViews>
    <customSheetView guid="{5826E3E6-173D-429F-ABE1-D868EE9E034B}" showPageBreaks="1" fitToPage="1" hiddenRows="1" hiddenColumns="1" topLeftCell="J21">
      <selection activeCell="Q74" sqref="Q74"/>
      <pageMargins left="0" right="0" top="0" bottom="0" header="0" footer="0"/>
      <pageSetup paperSize="9" scale="88" orientation="landscape" horizontalDpi="1200" verticalDpi="1200" r:id="rId1"/>
      <headerFooter alignWithMargins="0"/>
    </customSheetView>
  </customSheetViews>
  <mergeCells count="16">
    <mergeCell ref="E69:H69"/>
    <mergeCell ref="A165:D165"/>
    <mergeCell ref="I265:K265"/>
    <mergeCell ref="E1:H1"/>
    <mergeCell ref="E199:H199"/>
    <mergeCell ref="E229:H229"/>
    <mergeCell ref="E138:H138"/>
    <mergeCell ref="E164:H164"/>
    <mergeCell ref="W1:AA1"/>
    <mergeCell ref="W138:AA138"/>
    <mergeCell ref="W199:AA199"/>
    <mergeCell ref="W229:AA229"/>
    <mergeCell ref="W129:Z129"/>
    <mergeCell ref="R83:Z83"/>
    <mergeCell ref="W69:AA69"/>
    <mergeCell ref="U164:AA164"/>
  </mergeCells>
  <phoneticPr fontId="2" type="noConversion"/>
  <printOptions horizontalCentered="1" headings="1" gridLines="1"/>
  <pageMargins left="0.70866141732283472" right="0.70866141732283472" top="0.74803149606299213" bottom="0.74803149606299213" header="0.31496062992125984" footer="0.31496062992125984"/>
  <pageSetup paperSize="9" scale="52" fitToHeight="0" orientation="landscape" cellComments="atEnd" horizontalDpi="1200" verticalDpi="1200" r:id="rId2"/>
  <headerFooter>
    <oddHeader xml:space="preserve">&amp;R
</oddHeader>
    <oddFooter xml:space="preserve">&amp;L&amp;P&amp;RIreland, Wallace &amp; Associates Limited
</oddFooter>
  </headerFooter>
  <rowBreaks count="5" manualBreakCount="5">
    <brk id="137" max="27" man="1"/>
    <brk id="163" max="27" man="1"/>
    <brk id="228" max="27" man="1"/>
    <brk id="68" max="27" man="1"/>
    <brk id="338" max="2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GZ1453"/>
  <sheetViews>
    <sheetView zoomScaleNormal="100" workbookViewId="0">
      <selection activeCell="A473" sqref="A473"/>
    </sheetView>
  </sheetViews>
  <sheetFormatPr defaultColWidth="9.5703125" defaultRowHeight="12.75"/>
  <cols>
    <col min="1" max="1" width="3" customWidth="1"/>
    <col min="2" max="2" width="4" customWidth="1"/>
    <col min="3" max="3" width="6.85546875" customWidth="1"/>
    <col min="4" max="4" width="14" customWidth="1"/>
    <col min="5" max="5" width="2" style="776" customWidth="1"/>
    <col min="6" max="6" width="10.42578125" customWidth="1"/>
    <col min="7" max="8" width="8.5703125" customWidth="1"/>
    <col min="9" max="9" width="9" customWidth="1"/>
    <col min="10" max="10" width="9.140625" customWidth="1"/>
    <col min="11" max="11" width="8.5703125" customWidth="1"/>
    <col min="12" max="12" width="9.28515625" customWidth="1"/>
    <col min="13" max="13" width="10.140625" customWidth="1"/>
    <col min="14" max="14" width="9.5703125" style="776" customWidth="1"/>
    <col min="15" max="28" width="9.5703125" customWidth="1"/>
  </cols>
  <sheetData>
    <row r="1" spans="1:28" s="776" customFormat="1" ht="18.399999999999999" customHeight="1">
      <c r="A1" s="799" t="s">
        <v>0</v>
      </c>
      <c r="B1" s="904"/>
      <c r="C1" s="904"/>
      <c r="D1" s="904"/>
      <c r="E1" s="1439" t="s">
        <v>1407</v>
      </c>
      <c r="F1" s="1440"/>
      <c r="G1" s="1440"/>
      <c r="H1" s="1440"/>
      <c r="K1" s="593"/>
      <c r="L1" s="593"/>
      <c r="M1" s="1259"/>
      <c r="N1" s="1259"/>
      <c r="O1" s="914"/>
      <c r="P1" s="915"/>
      <c r="Q1" s="7"/>
      <c r="R1" s="644"/>
      <c r="S1" s="7"/>
      <c r="T1" s="7"/>
      <c r="U1" s="7"/>
      <c r="V1" s="7"/>
      <c r="W1" s="1451" t="s">
        <v>142</v>
      </c>
      <c r="X1" s="1452"/>
      <c r="Y1" s="1452"/>
      <c r="Z1" s="1452"/>
      <c r="AA1" s="1453"/>
      <c r="AB1" s="1380">
        <v>3.1</v>
      </c>
    </row>
    <row r="2" spans="1:28" s="776" customFormat="1">
      <c r="A2" s="806" t="s">
        <v>457</v>
      </c>
      <c r="B2" s="961"/>
      <c r="C2" s="962"/>
      <c r="D2" s="963"/>
      <c r="E2" s="242"/>
      <c r="F2" s="69">
        <v>0</v>
      </c>
      <c r="G2" s="69">
        <f t="shared" ref="G2:AB2" si="0">F2+1</f>
        <v>1</v>
      </c>
      <c r="H2" s="69">
        <f t="shared" si="0"/>
        <v>2</v>
      </c>
      <c r="I2" s="69">
        <f t="shared" si="0"/>
        <v>3</v>
      </c>
      <c r="J2" s="73">
        <f t="shared" si="0"/>
        <v>4</v>
      </c>
      <c r="K2" s="69">
        <f t="shared" si="0"/>
        <v>5</v>
      </c>
      <c r="L2" s="69">
        <f t="shared" si="0"/>
        <v>6</v>
      </c>
      <c r="M2" s="69">
        <f t="shared" si="0"/>
        <v>7</v>
      </c>
      <c r="N2" s="69">
        <f t="shared" si="0"/>
        <v>8</v>
      </c>
      <c r="O2" s="69">
        <f t="shared" si="0"/>
        <v>9</v>
      </c>
      <c r="P2" s="69">
        <f t="shared" si="0"/>
        <v>10</v>
      </c>
      <c r="Q2" s="69">
        <f t="shared" si="0"/>
        <v>11</v>
      </c>
      <c r="R2" s="69">
        <f t="shared" si="0"/>
        <v>12</v>
      </c>
      <c r="S2" s="69">
        <f t="shared" si="0"/>
        <v>13</v>
      </c>
      <c r="T2" s="69">
        <f t="shared" si="0"/>
        <v>14</v>
      </c>
      <c r="U2" s="69">
        <f t="shared" si="0"/>
        <v>15</v>
      </c>
      <c r="V2" s="69">
        <f t="shared" si="0"/>
        <v>16</v>
      </c>
      <c r="W2" s="69">
        <f t="shared" si="0"/>
        <v>17</v>
      </c>
      <c r="X2" s="69">
        <f t="shared" si="0"/>
        <v>18</v>
      </c>
      <c r="Y2" s="69">
        <f t="shared" si="0"/>
        <v>19</v>
      </c>
      <c r="Z2" s="69">
        <f t="shared" si="0"/>
        <v>20</v>
      </c>
      <c r="AA2" s="69">
        <f t="shared" si="0"/>
        <v>21</v>
      </c>
      <c r="AB2" s="69">
        <f t="shared" si="0"/>
        <v>22</v>
      </c>
    </row>
    <row r="3" spans="1:28" s="776" customFormat="1">
      <c r="A3" s="52" t="s">
        <v>31</v>
      </c>
      <c r="D3" s="1266" t="s">
        <v>32</v>
      </c>
      <c r="E3" s="1266" t="s">
        <v>3</v>
      </c>
      <c r="F3" s="1202">
        <v>1999</v>
      </c>
      <c r="G3" s="1202">
        <f t="shared" ref="G3:M3" si="1">F3+1</f>
        <v>2000</v>
      </c>
      <c r="H3" s="1202">
        <f t="shared" si="1"/>
        <v>2001</v>
      </c>
      <c r="I3" s="1202">
        <f t="shared" si="1"/>
        <v>2002</v>
      </c>
      <c r="J3" s="1202">
        <f t="shared" si="1"/>
        <v>2003</v>
      </c>
      <c r="K3" s="1202">
        <f t="shared" si="1"/>
        <v>2004</v>
      </c>
      <c r="L3" s="1202">
        <f t="shared" si="1"/>
        <v>2005</v>
      </c>
      <c r="M3" s="1202">
        <f t="shared" si="1"/>
        <v>2006</v>
      </c>
      <c r="N3" s="1202">
        <v>2007</v>
      </c>
      <c r="O3" s="1202">
        <f t="shared" ref="O3:AB3" si="2">N3+1</f>
        <v>2008</v>
      </c>
      <c r="P3" s="1202">
        <f t="shared" si="2"/>
        <v>2009</v>
      </c>
      <c r="Q3" s="1202">
        <f t="shared" si="2"/>
        <v>2010</v>
      </c>
      <c r="R3" s="1202">
        <f t="shared" si="2"/>
        <v>2011</v>
      </c>
      <c r="S3" s="1202">
        <f t="shared" si="2"/>
        <v>2012</v>
      </c>
      <c r="T3" s="1202">
        <f t="shared" si="2"/>
        <v>2013</v>
      </c>
      <c r="U3" s="1202">
        <f t="shared" si="2"/>
        <v>2014</v>
      </c>
      <c r="V3" s="1202">
        <f t="shared" si="2"/>
        <v>2015</v>
      </c>
      <c r="W3" s="1202">
        <f t="shared" si="2"/>
        <v>2016</v>
      </c>
      <c r="X3" s="1202">
        <f t="shared" si="2"/>
        <v>2017</v>
      </c>
      <c r="Y3" s="1202">
        <f t="shared" si="2"/>
        <v>2018</v>
      </c>
      <c r="Z3" s="1202">
        <f t="shared" si="2"/>
        <v>2019</v>
      </c>
      <c r="AA3" s="1202">
        <f t="shared" si="2"/>
        <v>2020</v>
      </c>
      <c r="AB3" s="1202">
        <f t="shared" si="2"/>
        <v>2021</v>
      </c>
    </row>
    <row r="4" spans="1:28" s="776" customFormat="1">
      <c r="A4" s="1456" t="s">
        <v>142</v>
      </c>
      <c r="B4" s="1456"/>
      <c r="C4" s="1456"/>
      <c r="D4" s="1456"/>
      <c r="E4" s="793"/>
      <c r="F4" s="889" t="s">
        <v>34</v>
      </c>
      <c r="G4" s="889"/>
      <c r="H4" s="889"/>
      <c r="I4" s="889"/>
      <c r="J4" s="889"/>
      <c r="K4" s="889"/>
      <c r="L4" s="888"/>
      <c r="M4" s="889"/>
      <c r="N4" s="889"/>
      <c r="O4" s="889"/>
      <c r="P4" s="889"/>
      <c r="Q4" s="889"/>
      <c r="R4" s="889"/>
      <c r="S4" s="889"/>
      <c r="T4" s="889"/>
      <c r="U4" s="889"/>
      <c r="V4" s="889"/>
      <c r="W4" s="889"/>
      <c r="X4" s="889"/>
      <c r="Y4" s="889"/>
      <c r="Z4" s="889"/>
      <c r="AA4" s="892"/>
      <c r="AB4" s="892"/>
    </row>
    <row r="5" spans="1:28" s="776" customFormat="1">
      <c r="A5" s="242"/>
      <c r="B5" s="242" t="s">
        <v>292</v>
      </c>
      <c r="C5" s="242"/>
      <c r="D5" s="242"/>
      <c r="E5" s="242"/>
      <c r="F5" s="793">
        <v>93759</v>
      </c>
      <c r="G5" s="793">
        <v>33562</v>
      </c>
      <c r="H5" s="793">
        <v>52829</v>
      </c>
      <c r="I5" s="793">
        <v>9962</v>
      </c>
      <c r="J5" s="793">
        <v>55337</v>
      </c>
      <c r="K5" s="793">
        <v>104262</v>
      </c>
      <c r="L5" s="793">
        <v>40827</v>
      </c>
      <c r="M5" s="793">
        <v>251824</v>
      </c>
      <c r="N5" s="793">
        <v>44755</v>
      </c>
      <c r="O5" s="793">
        <v>71742</v>
      </c>
      <c r="P5" s="793">
        <v>47877</v>
      </c>
      <c r="Q5" s="793">
        <v>54394</v>
      </c>
      <c r="R5" s="793">
        <v>368191</v>
      </c>
      <c r="S5" s="793">
        <f>214400-S6</f>
        <v>207000</v>
      </c>
      <c r="T5" s="793">
        <f>382800-T6</f>
        <v>373400</v>
      </c>
      <c r="U5" s="793">
        <f>276000-U6</f>
        <v>269000</v>
      </c>
      <c r="V5" s="793">
        <f>69000-V6</f>
        <v>47000</v>
      </c>
      <c r="W5" s="793">
        <f>118000-W6</f>
        <v>100000</v>
      </c>
      <c r="X5" s="793">
        <f>80000-X6</f>
        <v>29000</v>
      </c>
      <c r="Y5" s="793">
        <f>60000-Y6</f>
        <v>31000</v>
      </c>
      <c r="Z5" s="793">
        <f>78000-Z6</f>
        <v>51000</v>
      </c>
      <c r="AA5" s="793">
        <f>176000-AA6</f>
        <v>109000</v>
      </c>
      <c r="AB5" s="793">
        <v>51000</v>
      </c>
    </row>
    <row r="6" spans="1:28" s="776" customFormat="1">
      <c r="A6" s="242"/>
      <c r="B6" s="242" t="s">
        <v>293</v>
      </c>
      <c r="C6" s="242"/>
      <c r="D6" s="242"/>
      <c r="E6" s="242"/>
      <c r="F6" s="793"/>
      <c r="G6" s="793"/>
      <c r="H6" s="793"/>
      <c r="I6" s="793"/>
      <c r="J6" s="793"/>
      <c r="K6" s="793"/>
      <c r="L6" s="793"/>
      <c r="M6" s="793"/>
      <c r="N6" s="793"/>
      <c r="O6" s="793"/>
      <c r="P6" s="793"/>
      <c r="Q6" s="793"/>
      <c r="R6" s="793"/>
      <c r="S6" s="793">
        <v>7400</v>
      </c>
      <c r="T6" s="793">
        <v>9400</v>
      </c>
      <c r="U6" s="793">
        <v>7000</v>
      </c>
      <c r="V6" s="793">
        <v>22000</v>
      </c>
      <c r="W6" s="793">
        <v>18000</v>
      </c>
      <c r="X6" s="793">
        <v>51000</v>
      </c>
      <c r="Y6" s="793">
        <v>29000</v>
      </c>
      <c r="Z6" s="793">
        <v>27000</v>
      </c>
      <c r="AA6" s="793">
        <v>67000</v>
      </c>
      <c r="AB6" s="793">
        <v>97000</v>
      </c>
    </row>
    <row r="7" spans="1:28" s="776" customFormat="1" ht="13.5">
      <c r="A7" s="242"/>
      <c r="B7" s="242" t="s">
        <v>294</v>
      </c>
      <c r="C7" s="970"/>
      <c r="D7" s="970"/>
      <c r="E7" s="242"/>
      <c r="F7" s="793">
        <f>82784-F8</f>
        <v>83327</v>
      </c>
      <c r="G7" s="793">
        <v>93160</v>
      </c>
      <c r="H7" s="793">
        <v>182088</v>
      </c>
      <c r="I7" s="793">
        <v>138707</v>
      </c>
      <c r="J7" s="793">
        <v>188812</v>
      </c>
      <c r="K7" s="793">
        <v>180706</v>
      </c>
      <c r="L7" s="793">
        <v>257346</v>
      </c>
      <c r="M7" s="793">
        <f>230433-7994</f>
        <v>222439</v>
      </c>
      <c r="N7" s="793">
        <v>219208</v>
      </c>
      <c r="O7" s="793">
        <v>468752</v>
      </c>
      <c r="P7" s="793">
        <v>188933</v>
      </c>
      <c r="Q7" s="793">
        <v>198663</v>
      </c>
      <c r="R7" s="793">
        <v>244330</v>
      </c>
      <c r="S7" s="793">
        <v>298700</v>
      </c>
      <c r="T7" s="793">
        <f>199300+59100</f>
        <v>258400</v>
      </c>
      <c r="U7" s="793">
        <v>186000</v>
      </c>
      <c r="V7" s="793">
        <v>196000</v>
      </c>
      <c r="W7" s="793">
        <v>199000</v>
      </c>
      <c r="X7" s="793">
        <v>266000</v>
      </c>
      <c r="Y7" s="793">
        <v>266000</v>
      </c>
      <c r="Z7" s="793">
        <v>297000</v>
      </c>
      <c r="AA7" s="793">
        <v>339000</v>
      </c>
      <c r="AB7" s="793">
        <f>491000-AB8</f>
        <v>500000</v>
      </c>
    </row>
    <row r="8" spans="1:28" s="776" customFormat="1" ht="13.5">
      <c r="A8" s="242"/>
      <c r="B8" s="242" t="s">
        <v>295</v>
      </c>
      <c r="C8" s="970"/>
      <c r="D8" s="970"/>
      <c r="E8" s="242"/>
      <c r="F8" s="892">
        <v>-543</v>
      </c>
      <c r="G8" s="892">
        <v>-1376</v>
      </c>
      <c r="H8" s="892">
        <v>-2023</v>
      </c>
      <c r="I8" s="892">
        <v>-1874</v>
      </c>
      <c r="J8" s="892">
        <v>-1906</v>
      </c>
      <c r="K8" s="892">
        <v>-2243</v>
      </c>
      <c r="L8" s="892">
        <v>-3333</v>
      </c>
      <c r="M8" s="892">
        <v>-3730</v>
      </c>
      <c r="N8" s="892">
        <v>-3057</v>
      </c>
      <c r="O8" s="892">
        <v>-2839</v>
      </c>
      <c r="P8" s="892">
        <v>-3239</v>
      </c>
      <c r="Q8" s="892">
        <v>-3024</v>
      </c>
      <c r="R8" s="892">
        <v>-6487</v>
      </c>
      <c r="S8" s="892">
        <v>-6600</v>
      </c>
      <c r="T8" s="892">
        <v>-3900</v>
      </c>
      <c r="U8" s="892">
        <v>-3000</v>
      </c>
      <c r="V8" s="892">
        <v>-5000</v>
      </c>
      <c r="W8" s="892">
        <v>-5000</v>
      </c>
      <c r="X8" s="892">
        <v>-6000</v>
      </c>
      <c r="Y8" s="892">
        <v>-5000</v>
      </c>
      <c r="Z8" s="892">
        <v>-5000</v>
      </c>
      <c r="AA8" s="892">
        <v>-16000</v>
      </c>
      <c r="AB8" s="892">
        <v>-9000</v>
      </c>
    </row>
    <row r="9" spans="1:28" s="776" customFormat="1" ht="13.5">
      <c r="A9" s="242"/>
      <c r="B9" s="242" t="s">
        <v>296</v>
      </c>
      <c r="C9" s="970"/>
      <c r="D9" s="970"/>
      <c r="E9" s="242"/>
      <c r="F9" s="793">
        <f t="shared" ref="F9:AB9" si="3">SUM(F7:F8)</f>
        <v>82784</v>
      </c>
      <c r="G9" s="793">
        <f t="shared" si="3"/>
        <v>91784</v>
      </c>
      <c r="H9" s="793">
        <f t="shared" si="3"/>
        <v>180065</v>
      </c>
      <c r="I9" s="793">
        <f t="shared" si="3"/>
        <v>136833</v>
      </c>
      <c r="J9" s="793">
        <f t="shared" si="3"/>
        <v>186906</v>
      </c>
      <c r="K9" s="793">
        <f t="shared" si="3"/>
        <v>178463</v>
      </c>
      <c r="L9" s="793">
        <f t="shared" si="3"/>
        <v>254013</v>
      </c>
      <c r="M9" s="793">
        <f t="shared" si="3"/>
        <v>218709</v>
      </c>
      <c r="N9" s="793">
        <f t="shared" si="3"/>
        <v>216151</v>
      </c>
      <c r="O9" s="793">
        <f t="shared" si="3"/>
        <v>465913</v>
      </c>
      <c r="P9" s="793">
        <f t="shared" si="3"/>
        <v>185694</v>
      </c>
      <c r="Q9" s="793">
        <f t="shared" si="3"/>
        <v>195639</v>
      </c>
      <c r="R9" s="793">
        <f>SUM(R7:R8)</f>
        <v>237843</v>
      </c>
      <c r="S9" s="793">
        <f>SUM(S7:S8)</f>
        <v>292100</v>
      </c>
      <c r="T9" s="793">
        <f t="shared" si="3"/>
        <v>254500</v>
      </c>
      <c r="U9" s="793">
        <f t="shared" si="3"/>
        <v>183000</v>
      </c>
      <c r="V9" s="793">
        <f t="shared" si="3"/>
        <v>191000</v>
      </c>
      <c r="W9" s="793">
        <f t="shared" si="3"/>
        <v>194000</v>
      </c>
      <c r="X9" s="793">
        <f t="shared" si="3"/>
        <v>260000</v>
      </c>
      <c r="Y9" s="793">
        <f t="shared" si="3"/>
        <v>261000</v>
      </c>
      <c r="Z9" s="793">
        <f t="shared" si="3"/>
        <v>292000</v>
      </c>
      <c r="AA9" s="793">
        <f t="shared" si="3"/>
        <v>323000</v>
      </c>
      <c r="AB9" s="793">
        <f t="shared" si="3"/>
        <v>491000</v>
      </c>
    </row>
    <row r="10" spans="1:28" s="776" customFormat="1" ht="13.5">
      <c r="A10" s="242"/>
      <c r="B10" s="242" t="s">
        <v>297</v>
      </c>
      <c r="C10" s="970"/>
      <c r="D10" s="970"/>
      <c r="E10" s="242"/>
      <c r="F10" s="793">
        <v>0</v>
      </c>
      <c r="G10" s="793">
        <v>3236</v>
      </c>
      <c r="H10" s="793">
        <v>2591</v>
      </c>
      <c r="I10" s="793">
        <v>16832</v>
      </c>
      <c r="J10" s="793">
        <v>22822</v>
      </c>
      <c r="K10" s="793">
        <v>34439</v>
      </c>
      <c r="L10" s="793">
        <v>35722</v>
      </c>
      <c r="M10" s="793">
        <v>7425</v>
      </c>
      <c r="N10" s="793">
        <v>5551</v>
      </c>
      <c r="O10" s="793">
        <v>5221</v>
      </c>
      <c r="P10" s="793">
        <v>2462</v>
      </c>
      <c r="Q10" s="793">
        <v>3475</v>
      </c>
      <c r="R10" s="793">
        <v>3042</v>
      </c>
      <c r="S10" s="793">
        <v>6000</v>
      </c>
      <c r="T10" s="971">
        <v>0</v>
      </c>
      <c r="U10" s="971">
        <v>0</v>
      </c>
      <c r="V10" s="971">
        <v>0</v>
      </c>
      <c r="W10" s="971">
        <v>0</v>
      </c>
      <c r="X10" s="971">
        <v>0</v>
      </c>
      <c r="Y10" s="971">
        <v>0</v>
      </c>
      <c r="Z10" s="793">
        <v>0</v>
      </c>
      <c r="AA10" s="793">
        <v>0</v>
      </c>
      <c r="AB10" s="793"/>
    </row>
    <row r="11" spans="1:28" s="776" customFormat="1" ht="13.5">
      <c r="A11" s="242"/>
      <c r="B11" s="242" t="s">
        <v>298</v>
      </c>
      <c r="C11" s="970"/>
      <c r="D11" s="970"/>
      <c r="E11" s="242"/>
      <c r="F11" s="793"/>
      <c r="G11" s="793"/>
      <c r="H11" s="793"/>
      <c r="I11" s="793"/>
      <c r="J11" s="793"/>
      <c r="K11" s="793"/>
      <c r="L11" s="793"/>
      <c r="M11" s="793"/>
      <c r="N11" s="793"/>
      <c r="O11" s="793"/>
      <c r="P11" s="793"/>
      <c r="Q11" s="793"/>
      <c r="R11" s="793"/>
      <c r="S11" s="793"/>
      <c r="T11" s="971"/>
      <c r="U11" s="971"/>
      <c r="V11" s="971"/>
      <c r="W11" s="971"/>
      <c r="X11" s="971"/>
      <c r="Y11" s="971"/>
      <c r="Z11" s="793"/>
      <c r="AA11" s="793"/>
      <c r="AB11" s="793"/>
    </row>
    <row r="12" spans="1:28" s="776" customFormat="1">
      <c r="A12" s="242"/>
      <c r="B12" s="242" t="s">
        <v>299</v>
      </c>
      <c r="C12" s="242"/>
      <c r="D12" s="242"/>
      <c r="E12" s="242"/>
      <c r="F12" s="793">
        <v>2720</v>
      </c>
      <c r="G12" s="793">
        <v>2509</v>
      </c>
      <c r="H12" s="793">
        <v>2744</v>
      </c>
      <c r="I12" s="793">
        <v>2908</v>
      </c>
      <c r="J12" s="793">
        <v>2884</v>
      </c>
      <c r="K12" s="793">
        <v>3140</v>
      </c>
      <c r="L12" s="793">
        <v>3378</v>
      </c>
      <c r="M12" s="793">
        <v>3106</v>
      </c>
      <c r="N12" s="793">
        <f>10965-N13</f>
        <v>12241</v>
      </c>
      <c r="O12" s="793">
        <f>8251-O13</f>
        <v>9439</v>
      </c>
      <c r="P12" s="793">
        <v>8407</v>
      </c>
      <c r="Q12" s="793">
        <v>7473</v>
      </c>
      <c r="R12" s="793">
        <v>3387</v>
      </c>
      <c r="S12" s="793">
        <v>4500</v>
      </c>
      <c r="T12" s="793">
        <v>0</v>
      </c>
      <c r="U12" s="793">
        <v>0</v>
      </c>
      <c r="V12" s="793">
        <v>0</v>
      </c>
      <c r="W12" s="793">
        <v>0</v>
      </c>
      <c r="X12" s="793">
        <v>0</v>
      </c>
      <c r="Y12" s="793">
        <v>0</v>
      </c>
      <c r="Z12" s="793">
        <v>0</v>
      </c>
      <c r="AA12" s="793">
        <v>0</v>
      </c>
      <c r="AB12" s="793"/>
    </row>
    <row r="13" spans="1:28" s="776" customFormat="1">
      <c r="A13" s="242"/>
      <c r="B13" s="242" t="s">
        <v>300</v>
      </c>
      <c r="C13" s="242"/>
      <c r="D13" s="242"/>
      <c r="E13" s="242"/>
      <c r="F13" s="892">
        <v>0</v>
      </c>
      <c r="G13" s="892">
        <v>0</v>
      </c>
      <c r="H13" s="892">
        <v>0</v>
      </c>
      <c r="I13" s="892">
        <v>0</v>
      </c>
      <c r="J13" s="892">
        <v>0</v>
      </c>
      <c r="K13" s="892">
        <v>0</v>
      </c>
      <c r="L13" s="892">
        <v>0</v>
      </c>
      <c r="M13" s="892">
        <v>0</v>
      </c>
      <c r="N13" s="892">
        <v>-1276</v>
      </c>
      <c r="O13" s="892">
        <v>-1188</v>
      </c>
      <c r="P13" s="892">
        <v>-1108</v>
      </c>
      <c r="Q13" s="892">
        <v>-1444</v>
      </c>
      <c r="R13" s="892">
        <v>-54</v>
      </c>
      <c r="S13" s="892">
        <v>0</v>
      </c>
      <c r="T13" s="892">
        <v>0</v>
      </c>
      <c r="U13" s="892">
        <v>0</v>
      </c>
      <c r="V13" s="892">
        <v>0</v>
      </c>
      <c r="W13" s="892">
        <v>0</v>
      </c>
      <c r="X13" s="892">
        <v>0</v>
      </c>
      <c r="Y13" s="892">
        <v>0</v>
      </c>
      <c r="Z13" s="892">
        <v>0</v>
      </c>
      <c r="AA13" s="892">
        <v>0</v>
      </c>
      <c r="AB13" s="892"/>
    </row>
    <row r="14" spans="1:28" s="776" customFormat="1">
      <c r="A14" s="242"/>
      <c r="B14" s="242"/>
      <c r="C14" s="242"/>
      <c r="D14" s="242"/>
      <c r="E14" s="242"/>
      <c r="F14" s="793">
        <f t="shared" ref="F14:AB14" si="4">SUM(F12:F13)</f>
        <v>2720</v>
      </c>
      <c r="G14" s="793">
        <f t="shared" si="4"/>
        <v>2509</v>
      </c>
      <c r="H14" s="793">
        <f t="shared" si="4"/>
        <v>2744</v>
      </c>
      <c r="I14" s="793">
        <f t="shared" si="4"/>
        <v>2908</v>
      </c>
      <c r="J14" s="793">
        <f t="shared" si="4"/>
        <v>2884</v>
      </c>
      <c r="K14" s="793">
        <f t="shared" si="4"/>
        <v>3140</v>
      </c>
      <c r="L14" s="793">
        <f t="shared" si="4"/>
        <v>3378</v>
      </c>
      <c r="M14" s="793">
        <f t="shared" si="4"/>
        <v>3106</v>
      </c>
      <c r="N14" s="793">
        <f t="shared" si="4"/>
        <v>10965</v>
      </c>
      <c r="O14" s="793">
        <f t="shared" si="4"/>
        <v>8251</v>
      </c>
      <c r="P14" s="793">
        <f t="shared" si="4"/>
        <v>7299</v>
      </c>
      <c r="Q14" s="793">
        <f t="shared" si="4"/>
        <v>6029</v>
      </c>
      <c r="R14" s="793">
        <f t="shared" si="4"/>
        <v>3333</v>
      </c>
      <c r="S14" s="793">
        <f t="shared" si="4"/>
        <v>4500</v>
      </c>
      <c r="T14" s="793">
        <f t="shared" si="4"/>
        <v>0</v>
      </c>
      <c r="U14" s="793">
        <f t="shared" si="4"/>
        <v>0</v>
      </c>
      <c r="V14" s="793">
        <f t="shared" si="4"/>
        <v>0</v>
      </c>
      <c r="W14" s="793">
        <f t="shared" si="4"/>
        <v>0</v>
      </c>
      <c r="X14" s="793">
        <f t="shared" si="4"/>
        <v>0</v>
      </c>
      <c r="Y14" s="793">
        <f t="shared" si="4"/>
        <v>0</v>
      </c>
      <c r="Z14" s="793">
        <f t="shared" si="4"/>
        <v>0</v>
      </c>
      <c r="AA14" s="793">
        <f t="shared" si="4"/>
        <v>0</v>
      </c>
      <c r="AB14" s="793">
        <f t="shared" si="4"/>
        <v>0</v>
      </c>
    </row>
    <row r="15" spans="1:28" s="776" customFormat="1">
      <c r="A15" s="242"/>
      <c r="B15" s="242" t="s">
        <v>301</v>
      </c>
      <c r="C15" s="242"/>
      <c r="D15" s="242"/>
      <c r="E15" s="242"/>
      <c r="F15" s="793">
        <v>0</v>
      </c>
      <c r="G15" s="793">
        <v>0</v>
      </c>
      <c r="H15" s="793">
        <v>0</v>
      </c>
      <c r="I15" s="793">
        <v>0</v>
      </c>
      <c r="J15" s="793">
        <v>0</v>
      </c>
      <c r="K15" s="793">
        <v>0</v>
      </c>
      <c r="L15" s="793">
        <v>0</v>
      </c>
      <c r="M15" s="793">
        <v>0</v>
      </c>
      <c r="N15" s="793">
        <v>0</v>
      </c>
      <c r="O15" s="793">
        <v>0</v>
      </c>
      <c r="P15" s="793">
        <v>0</v>
      </c>
      <c r="Q15" s="793">
        <v>0</v>
      </c>
      <c r="R15" s="793">
        <v>0</v>
      </c>
      <c r="S15" s="793">
        <v>200</v>
      </c>
      <c r="T15" s="793">
        <v>12500</v>
      </c>
      <c r="U15" s="971">
        <v>17000</v>
      </c>
      <c r="V15" s="971">
        <v>26000</v>
      </c>
      <c r="W15" s="971">
        <v>0</v>
      </c>
      <c r="X15" s="971">
        <v>0</v>
      </c>
      <c r="Y15" s="793">
        <v>0</v>
      </c>
      <c r="Z15" s="793">
        <v>0</v>
      </c>
      <c r="AA15" s="793">
        <v>0</v>
      </c>
      <c r="AB15" s="793">
        <v>0</v>
      </c>
    </row>
    <row r="16" spans="1:28" s="776" customFormat="1">
      <c r="A16" s="242"/>
      <c r="B16" s="242" t="s">
        <v>302</v>
      </c>
      <c r="C16" s="242"/>
      <c r="D16" s="242"/>
      <c r="E16" s="242"/>
      <c r="F16" s="793">
        <v>0</v>
      </c>
      <c r="G16" s="793">
        <v>0</v>
      </c>
      <c r="H16" s="793">
        <v>0</v>
      </c>
      <c r="I16" s="793">
        <v>0</v>
      </c>
      <c r="J16" s="793">
        <v>0</v>
      </c>
      <c r="K16" s="793">
        <v>0</v>
      </c>
      <c r="L16" s="793">
        <v>0</v>
      </c>
      <c r="M16" s="793">
        <v>0</v>
      </c>
      <c r="N16" s="793">
        <v>0</v>
      </c>
      <c r="O16" s="793">
        <v>0</v>
      </c>
      <c r="P16" s="793">
        <v>0</v>
      </c>
      <c r="Q16" s="793">
        <v>683</v>
      </c>
      <c r="R16" s="793">
        <v>632</v>
      </c>
      <c r="S16" s="793">
        <f>600+4800</f>
        <v>5400</v>
      </c>
      <c r="T16" s="793">
        <v>0</v>
      </c>
      <c r="U16" s="971">
        <v>0</v>
      </c>
      <c r="V16" s="971">
        <v>0</v>
      </c>
      <c r="W16" s="971">
        <v>0</v>
      </c>
      <c r="X16" s="971">
        <v>0</v>
      </c>
      <c r="Y16" s="793">
        <v>0</v>
      </c>
      <c r="Z16" s="793">
        <v>0</v>
      </c>
      <c r="AA16" s="793">
        <v>0</v>
      </c>
      <c r="AB16" s="793">
        <v>0</v>
      </c>
    </row>
    <row r="17" spans="1:28" s="776" customFormat="1">
      <c r="A17" s="242"/>
      <c r="B17" s="242" t="s">
        <v>303</v>
      </c>
      <c r="C17" s="242"/>
      <c r="D17" s="242"/>
      <c r="E17" s="242"/>
      <c r="F17" s="793">
        <v>0</v>
      </c>
      <c r="G17" s="793">
        <v>0</v>
      </c>
      <c r="H17" s="793">
        <v>8519</v>
      </c>
      <c r="I17" s="793">
        <v>18505</v>
      </c>
      <c r="J17" s="793">
        <v>12135</v>
      </c>
      <c r="K17" s="793">
        <v>0</v>
      </c>
      <c r="L17" s="793">
        <v>0</v>
      </c>
      <c r="M17" s="793">
        <v>0</v>
      </c>
      <c r="N17" s="793">
        <v>8548</v>
      </c>
      <c r="O17" s="793">
        <v>8045</v>
      </c>
      <c r="P17" s="793">
        <v>0</v>
      </c>
      <c r="Q17" s="793">
        <v>0</v>
      </c>
      <c r="R17" s="793">
        <v>0</v>
      </c>
      <c r="S17" s="793">
        <v>0</v>
      </c>
      <c r="T17" s="793">
        <v>0</v>
      </c>
      <c r="U17" s="793">
        <v>0</v>
      </c>
      <c r="V17" s="793">
        <v>0</v>
      </c>
      <c r="W17" s="793">
        <v>0</v>
      </c>
      <c r="X17" s="793">
        <v>0</v>
      </c>
      <c r="Y17" s="793">
        <v>0</v>
      </c>
      <c r="Z17" s="793">
        <v>0</v>
      </c>
      <c r="AA17" s="793">
        <v>0</v>
      </c>
      <c r="AB17" s="793">
        <v>0</v>
      </c>
    </row>
    <row r="18" spans="1:28" s="776" customFormat="1">
      <c r="A18" s="242"/>
      <c r="B18" s="242" t="s">
        <v>304</v>
      </c>
      <c r="C18" s="242"/>
      <c r="D18" s="242"/>
      <c r="E18" s="242"/>
      <c r="F18" s="901">
        <v>0</v>
      </c>
      <c r="G18" s="793">
        <v>0</v>
      </c>
      <c r="H18" s="793">
        <v>0</v>
      </c>
      <c r="I18" s="793">
        <v>0</v>
      </c>
      <c r="J18" s="793">
        <v>1162</v>
      </c>
      <c r="K18" s="793">
        <v>1890</v>
      </c>
      <c r="L18" s="793">
        <v>0</v>
      </c>
      <c r="M18" s="793">
        <v>0</v>
      </c>
      <c r="N18" s="793">
        <v>0</v>
      </c>
      <c r="O18" s="793">
        <v>0</v>
      </c>
      <c r="P18" s="793">
        <v>0</v>
      </c>
      <c r="Q18" s="793">
        <v>0</v>
      </c>
      <c r="R18" s="793">
        <v>0</v>
      </c>
      <c r="S18" s="793">
        <v>0</v>
      </c>
      <c r="T18" s="793">
        <v>0</v>
      </c>
      <c r="U18" s="793">
        <v>0</v>
      </c>
      <c r="V18" s="793">
        <v>0</v>
      </c>
      <c r="W18" s="793">
        <v>0</v>
      </c>
      <c r="X18" s="793">
        <v>0</v>
      </c>
      <c r="Y18" s="793">
        <v>0</v>
      </c>
      <c r="Z18" s="793">
        <v>0</v>
      </c>
      <c r="AA18" s="793">
        <v>0</v>
      </c>
      <c r="AB18" s="793">
        <v>0</v>
      </c>
    </row>
    <row r="19" spans="1:28" s="776" customFormat="1">
      <c r="A19" s="242"/>
      <c r="B19" s="242" t="s">
        <v>305</v>
      </c>
      <c r="C19" s="242"/>
      <c r="D19" s="242"/>
      <c r="E19" s="242"/>
      <c r="F19" s="793">
        <v>0</v>
      </c>
      <c r="G19" s="793">
        <v>0</v>
      </c>
      <c r="H19" s="793">
        <v>0</v>
      </c>
      <c r="I19" s="793">
        <v>0</v>
      </c>
      <c r="J19" s="793">
        <v>0</v>
      </c>
      <c r="K19" s="793">
        <v>0</v>
      </c>
      <c r="L19" s="793">
        <v>0</v>
      </c>
      <c r="M19" s="793">
        <v>0</v>
      </c>
      <c r="N19" s="793">
        <v>0</v>
      </c>
      <c r="O19" s="793">
        <v>7984</v>
      </c>
      <c r="P19" s="793">
        <v>10519</v>
      </c>
      <c r="Q19" s="793">
        <v>350</v>
      </c>
      <c r="R19" s="793">
        <v>1888</v>
      </c>
      <c r="S19" s="793">
        <v>29400</v>
      </c>
      <c r="T19" s="793">
        <v>64800</v>
      </c>
      <c r="U19" s="972">
        <v>27000</v>
      </c>
      <c r="V19" s="971">
        <v>0</v>
      </c>
      <c r="W19" s="971">
        <v>0</v>
      </c>
      <c r="X19" s="971">
        <v>0</v>
      </c>
      <c r="Y19" s="971">
        <v>0</v>
      </c>
      <c r="Z19" s="971">
        <v>0</v>
      </c>
      <c r="AA19" s="971">
        <v>0</v>
      </c>
      <c r="AB19" s="971">
        <v>0</v>
      </c>
    </row>
    <row r="20" spans="1:28" s="776" customFormat="1">
      <c r="A20" s="242"/>
      <c r="B20" s="242" t="s">
        <v>306</v>
      </c>
      <c r="C20" s="242"/>
      <c r="D20" s="242"/>
      <c r="E20" s="242"/>
      <c r="F20" s="793">
        <v>0</v>
      </c>
      <c r="G20" s="793">
        <v>3594</v>
      </c>
      <c r="H20" s="793">
        <v>7093</v>
      </c>
      <c r="I20" s="793">
        <v>8562</v>
      </c>
      <c r="J20" s="793">
        <f>5975</f>
        <v>5975</v>
      </c>
      <c r="K20" s="793">
        <f>15754</f>
        <v>15754</v>
      </c>
      <c r="L20" s="793">
        <v>27497</v>
      </c>
      <c r="M20" s="793">
        <f>23395-6560</f>
        <v>16835</v>
      </c>
      <c r="N20" s="793">
        <v>0</v>
      </c>
      <c r="O20" s="793">
        <v>0</v>
      </c>
      <c r="P20" s="793">
        <v>0</v>
      </c>
      <c r="Q20" s="793">
        <v>0</v>
      </c>
      <c r="R20" s="793">
        <v>0</v>
      </c>
      <c r="S20" s="793">
        <v>0</v>
      </c>
      <c r="T20" s="793">
        <v>0</v>
      </c>
      <c r="U20" s="793">
        <v>0</v>
      </c>
      <c r="V20" s="793">
        <v>0</v>
      </c>
      <c r="W20" s="793">
        <v>0</v>
      </c>
      <c r="X20" s="793">
        <v>0</v>
      </c>
      <c r="Y20" s="793">
        <v>0</v>
      </c>
      <c r="Z20" s="793">
        <v>0</v>
      </c>
      <c r="AA20" s="793">
        <v>0</v>
      </c>
      <c r="AB20" s="793">
        <v>0</v>
      </c>
    </row>
    <row r="21" spans="1:28" s="776" customFormat="1">
      <c r="A21" s="242"/>
      <c r="B21" s="242" t="s">
        <v>307</v>
      </c>
      <c r="C21" s="242"/>
      <c r="D21" s="242"/>
      <c r="E21" s="242"/>
      <c r="F21" s="793">
        <v>24</v>
      </c>
      <c r="G21" s="793">
        <v>24</v>
      </c>
      <c r="H21" s="793">
        <v>0</v>
      </c>
      <c r="I21" s="793">
        <v>0</v>
      </c>
      <c r="J21" s="793">
        <v>0</v>
      </c>
      <c r="K21" s="793">
        <v>0</v>
      </c>
      <c r="L21" s="793">
        <v>0</v>
      </c>
      <c r="M21" s="793">
        <v>0</v>
      </c>
      <c r="N21" s="793">
        <v>0</v>
      </c>
      <c r="O21" s="793">
        <v>0</v>
      </c>
      <c r="P21" s="793">
        <v>0</v>
      </c>
      <c r="Q21" s="793">
        <v>0</v>
      </c>
      <c r="R21" s="793">
        <v>0</v>
      </c>
      <c r="S21" s="793">
        <v>0</v>
      </c>
      <c r="T21" s="793">
        <v>0</v>
      </c>
      <c r="U21" s="793">
        <v>0</v>
      </c>
      <c r="V21" s="793">
        <v>0</v>
      </c>
      <c r="W21" s="793">
        <v>0</v>
      </c>
      <c r="X21" s="793">
        <v>0</v>
      </c>
      <c r="Y21" s="793">
        <v>0</v>
      </c>
      <c r="Z21" s="793">
        <v>0</v>
      </c>
      <c r="AA21" s="793">
        <v>0</v>
      </c>
      <c r="AB21" s="793">
        <v>0</v>
      </c>
    </row>
    <row r="22" spans="1:28" s="776" customFormat="1">
      <c r="A22" s="242"/>
      <c r="B22" s="242" t="s">
        <v>308</v>
      </c>
      <c r="C22" s="242"/>
      <c r="D22" s="242"/>
      <c r="E22" s="242"/>
      <c r="F22" s="793">
        <v>0</v>
      </c>
      <c r="G22" s="793">
        <v>0</v>
      </c>
      <c r="H22" s="793">
        <v>0</v>
      </c>
      <c r="I22" s="793">
        <v>0</v>
      </c>
      <c r="J22" s="793">
        <v>4804</v>
      </c>
      <c r="K22" s="793">
        <v>9282</v>
      </c>
      <c r="L22" s="793">
        <v>10230</v>
      </c>
      <c r="M22" s="793">
        <v>8288</v>
      </c>
      <c r="N22" s="793">
        <v>609</v>
      </c>
      <c r="O22" s="793">
        <v>729</v>
      </c>
      <c r="P22" s="793">
        <v>0</v>
      </c>
      <c r="Q22" s="793">
        <v>0</v>
      </c>
      <c r="R22" s="793">
        <v>0</v>
      </c>
      <c r="S22" s="793">
        <v>0</v>
      </c>
      <c r="T22" s="793">
        <v>0</v>
      </c>
      <c r="U22" s="793">
        <v>0</v>
      </c>
      <c r="V22" s="971">
        <v>0</v>
      </c>
      <c r="W22" s="971">
        <v>23000</v>
      </c>
      <c r="X22" s="971">
        <v>32000</v>
      </c>
      <c r="Y22" s="971">
        <v>32000</v>
      </c>
      <c r="Z22" s="793">
        <v>34000</v>
      </c>
      <c r="AA22" s="793">
        <v>42000</v>
      </c>
      <c r="AB22" s="793">
        <v>61000</v>
      </c>
    </row>
    <row r="23" spans="1:28" s="776" customFormat="1">
      <c r="A23" s="242"/>
      <c r="B23" s="242" t="s">
        <v>309</v>
      </c>
      <c r="C23" s="242"/>
      <c r="D23" s="242"/>
      <c r="E23" s="242"/>
      <c r="F23" s="793">
        <f>'3_Fin-Stat'!F316</f>
        <v>0</v>
      </c>
      <c r="G23" s="793">
        <f>'3_Fin-Stat'!G316</f>
        <v>0</v>
      </c>
      <c r="H23" s="793">
        <f>'3_Fin-Stat'!H316</f>
        <v>0</v>
      </c>
      <c r="I23" s="793">
        <f>'3_Fin-Stat'!I316</f>
        <v>0</v>
      </c>
      <c r="J23" s="793">
        <f>'3_Fin-Stat'!J316</f>
        <v>0</v>
      </c>
      <c r="K23" s="793">
        <f>'3_Fin-Stat'!K316</f>
        <v>0</v>
      </c>
      <c r="L23" s="793">
        <f>'3_Fin-Stat'!L316</f>
        <v>0</v>
      </c>
      <c r="M23" s="793">
        <v>60553</v>
      </c>
      <c r="N23" s="793">
        <f>'3_Fin-Stat'!N316</f>
        <v>13995</v>
      </c>
      <c r="O23" s="793">
        <f>'3_Fin-Stat'!O316</f>
        <v>100286</v>
      </c>
      <c r="P23" s="793">
        <f>'3_Fin-Stat'!P316</f>
        <v>16326</v>
      </c>
      <c r="Q23" s="793">
        <f>'3_Fin-Stat'!Q316</f>
        <v>99256</v>
      </c>
      <c r="R23" s="793">
        <f>'3_Fin-Stat'!R316</f>
        <v>42057</v>
      </c>
      <c r="S23" s="793">
        <f>'3_Fin-Stat'!S316</f>
        <v>105000</v>
      </c>
      <c r="T23" s="793">
        <f>'3_Fin-Stat'!T316</f>
        <v>149300</v>
      </c>
      <c r="U23" s="793">
        <f>'3_Fin-Stat'!U316</f>
        <v>73000</v>
      </c>
      <c r="V23" s="793">
        <f>'3_Fin-Stat'!V316</f>
        <v>103000</v>
      </c>
      <c r="W23" s="793">
        <f>'3_Fin-Stat'!W316</f>
        <v>252000</v>
      </c>
      <c r="X23" s="793">
        <f>'3_Fin-Stat'!X316</f>
        <v>178000</v>
      </c>
      <c r="Y23" s="793">
        <f>'3_Fin-Stat'!Y316</f>
        <v>152000</v>
      </c>
      <c r="Z23" s="793">
        <f>'3_Fin-Stat'!Z316</f>
        <v>195000</v>
      </c>
      <c r="AA23" s="793">
        <f>'3_Fin-Stat'!AA316</f>
        <v>142000</v>
      </c>
      <c r="AB23" s="793">
        <f>'3_Fin-Stat'!AB316</f>
        <v>300000</v>
      </c>
    </row>
    <row r="24" spans="1:28" s="776" customFormat="1">
      <c r="A24" s="242"/>
      <c r="B24" s="242" t="s">
        <v>310</v>
      </c>
      <c r="C24" s="242"/>
      <c r="D24" s="242"/>
      <c r="E24" s="242"/>
      <c r="F24" s="1460"/>
      <c r="G24" s="1460"/>
      <c r="H24" s="1460"/>
      <c r="I24" s="1460"/>
      <c r="J24" s="892"/>
      <c r="K24" s="892"/>
      <c r="L24" s="892"/>
      <c r="M24" s="892"/>
      <c r="N24" s="892">
        <v>0</v>
      </c>
      <c r="O24" s="892">
        <v>0</v>
      </c>
      <c r="P24" s="892">
        <v>0</v>
      </c>
      <c r="Q24" s="892">
        <v>0</v>
      </c>
      <c r="R24" s="892">
        <v>0</v>
      </c>
      <c r="S24" s="892">
        <v>0</v>
      </c>
      <c r="T24" s="892">
        <v>0</v>
      </c>
      <c r="U24" s="892">
        <v>0</v>
      </c>
      <c r="V24" s="892">
        <v>0</v>
      </c>
      <c r="W24" s="892">
        <v>0</v>
      </c>
      <c r="X24" s="892">
        <v>0</v>
      </c>
      <c r="Y24" s="892">
        <v>0</v>
      </c>
      <c r="Z24" s="892">
        <v>0</v>
      </c>
      <c r="AA24" s="892">
        <v>0</v>
      </c>
      <c r="AB24" s="892"/>
    </row>
    <row r="25" spans="1:28" s="776" customFormat="1">
      <c r="A25" s="242"/>
      <c r="B25" s="242"/>
      <c r="C25" s="242"/>
      <c r="D25" s="242"/>
      <c r="E25" s="242"/>
      <c r="F25" s="793">
        <f t="shared" ref="F25:R25" si="5">SUM(F14:F24)+F5+F9+F10+F11</f>
        <v>179287</v>
      </c>
      <c r="G25" s="793">
        <f t="shared" si="5"/>
        <v>134709</v>
      </c>
      <c r="H25" s="793">
        <f t="shared" si="5"/>
        <v>253841</v>
      </c>
      <c r="I25" s="793">
        <f t="shared" si="5"/>
        <v>193602</v>
      </c>
      <c r="J25" s="793">
        <f t="shared" si="5"/>
        <v>292025</v>
      </c>
      <c r="K25" s="793">
        <f t="shared" si="5"/>
        <v>347230</v>
      </c>
      <c r="L25" s="793">
        <f t="shared" si="5"/>
        <v>371667</v>
      </c>
      <c r="M25" s="793">
        <f t="shared" si="5"/>
        <v>566740</v>
      </c>
      <c r="N25" s="793">
        <f t="shared" si="5"/>
        <v>300574</v>
      </c>
      <c r="O25" s="793">
        <f t="shared" si="5"/>
        <v>668171</v>
      </c>
      <c r="P25" s="793">
        <f t="shared" si="5"/>
        <v>270177</v>
      </c>
      <c r="Q25" s="793">
        <f t="shared" si="5"/>
        <v>359826</v>
      </c>
      <c r="R25" s="793">
        <f t="shared" si="5"/>
        <v>656986</v>
      </c>
      <c r="S25" s="793">
        <f t="shared" ref="S25:AB25" si="6">SUM(S14:S24)+S5+S6+S9+S10+S11</f>
        <v>657000</v>
      </c>
      <c r="T25" s="793">
        <f t="shared" si="6"/>
        <v>863900</v>
      </c>
      <c r="U25" s="793">
        <f t="shared" si="6"/>
        <v>576000</v>
      </c>
      <c r="V25" s="793">
        <f t="shared" si="6"/>
        <v>389000</v>
      </c>
      <c r="W25" s="793">
        <f t="shared" si="6"/>
        <v>587000</v>
      </c>
      <c r="X25" s="793">
        <f t="shared" si="6"/>
        <v>550000</v>
      </c>
      <c r="Y25" s="793">
        <f t="shared" si="6"/>
        <v>505000</v>
      </c>
      <c r="Z25" s="793">
        <f t="shared" si="6"/>
        <v>599000</v>
      </c>
      <c r="AA25" s="793">
        <f t="shared" si="6"/>
        <v>683000</v>
      </c>
      <c r="AB25" s="793">
        <f t="shared" si="6"/>
        <v>1000000</v>
      </c>
    </row>
    <row r="26" spans="1:28" s="776" customFormat="1">
      <c r="A26" s="242"/>
      <c r="B26" s="242" t="s">
        <v>301</v>
      </c>
      <c r="C26" s="242"/>
      <c r="D26" s="242"/>
      <c r="E26" s="242"/>
      <c r="F26" s="793">
        <v>0</v>
      </c>
      <c r="G26" s="793">
        <v>0</v>
      </c>
      <c r="H26" s="793">
        <v>0</v>
      </c>
      <c r="I26" s="793">
        <v>0</v>
      </c>
      <c r="J26" s="793">
        <v>0</v>
      </c>
      <c r="K26" s="793">
        <v>0</v>
      </c>
      <c r="L26" s="793">
        <v>0</v>
      </c>
      <c r="M26" s="793">
        <v>0</v>
      </c>
      <c r="N26" s="793">
        <v>0</v>
      </c>
      <c r="O26" s="793">
        <v>0</v>
      </c>
      <c r="P26" s="793">
        <v>0</v>
      </c>
      <c r="Q26" s="793">
        <v>4984</v>
      </c>
      <c r="R26" s="793">
        <v>4895</v>
      </c>
      <c r="S26" s="793">
        <v>0</v>
      </c>
      <c r="T26" s="793">
        <v>600</v>
      </c>
      <c r="U26" s="793">
        <v>0</v>
      </c>
      <c r="V26" s="793">
        <v>0</v>
      </c>
      <c r="W26" s="793">
        <v>0</v>
      </c>
      <c r="X26" s="793">
        <v>0</v>
      </c>
      <c r="Y26" s="793">
        <v>0</v>
      </c>
      <c r="Z26" s="793">
        <v>0</v>
      </c>
      <c r="AA26" s="793">
        <v>0</v>
      </c>
      <c r="AB26" s="793">
        <v>8000</v>
      </c>
    </row>
    <row r="27" spans="1:28" s="776" customFormat="1">
      <c r="A27" s="242"/>
      <c r="B27" s="242" t="s">
        <v>311</v>
      </c>
      <c r="C27" s="242"/>
      <c r="D27" s="242"/>
      <c r="E27" s="242"/>
      <c r="F27" s="793">
        <v>0</v>
      </c>
      <c r="G27" s="793">
        <v>0</v>
      </c>
      <c r="H27" s="793">
        <v>0</v>
      </c>
      <c r="I27" s="793">
        <v>0</v>
      </c>
      <c r="J27" s="793">
        <v>0</v>
      </c>
      <c r="K27" s="793">
        <v>0</v>
      </c>
      <c r="L27" s="793">
        <v>0</v>
      </c>
      <c r="M27" s="793">
        <v>0</v>
      </c>
      <c r="N27" s="793">
        <v>16567</v>
      </c>
      <c r="O27" s="793">
        <v>11780</v>
      </c>
      <c r="P27" s="793">
        <v>6993</v>
      </c>
      <c r="Q27" s="793">
        <v>6077</v>
      </c>
      <c r="R27" s="793">
        <v>6065</v>
      </c>
      <c r="S27" s="793">
        <v>3600</v>
      </c>
      <c r="T27" s="793">
        <v>0</v>
      </c>
      <c r="U27" s="793">
        <v>0</v>
      </c>
      <c r="V27" s="793">
        <v>0</v>
      </c>
      <c r="W27" s="793">
        <v>0</v>
      </c>
      <c r="X27" s="793">
        <v>0</v>
      </c>
      <c r="Y27" s="793">
        <v>0</v>
      </c>
      <c r="Z27" s="793">
        <v>0</v>
      </c>
      <c r="AA27" s="793">
        <v>0</v>
      </c>
      <c r="AB27" s="793"/>
    </row>
    <row r="28" spans="1:28" s="776" customFormat="1">
      <c r="A28" s="242"/>
      <c r="B28" s="242" t="s">
        <v>312</v>
      </c>
      <c r="C28" s="242"/>
      <c r="D28" s="242"/>
      <c r="E28" s="242"/>
      <c r="F28" s="793">
        <v>0</v>
      </c>
      <c r="G28" s="793">
        <v>0</v>
      </c>
      <c r="H28" s="793">
        <v>0</v>
      </c>
      <c r="I28" s="793">
        <v>0</v>
      </c>
      <c r="J28" s="793">
        <v>0</v>
      </c>
      <c r="K28" s="793">
        <v>0</v>
      </c>
      <c r="L28" s="793">
        <v>0</v>
      </c>
      <c r="M28" s="793">
        <v>0</v>
      </c>
      <c r="N28" s="793">
        <v>0</v>
      </c>
      <c r="O28" s="793">
        <v>2811</v>
      </c>
      <c r="P28" s="793">
        <v>2211</v>
      </c>
      <c r="Q28" s="793">
        <v>294</v>
      </c>
      <c r="R28" s="793">
        <v>4402</v>
      </c>
      <c r="S28" s="793">
        <v>3800</v>
      </c>
      <c r="T28" s="793">
        <v>0</v>
      </c>
      <c r="U28" s="793">
        <v>0</v>
      </c>
      <c r="V28" s="793">
        <v>0</v>
      </c>
      <c r="W28" s="793">
        <v>0</v>
      </c>
      <c r="X28" s="793">
        <v>0</v>
      </c>
      <c r="Y28" s="793">
        <v>0</v>
      </c>
      <c r="Z28" s="793">
        <v>0</v>
      </c>
      <c r="AA28" s="793">
        <v>0</v>
      </c>
      <c r="AB28" s="793"/>
    </row>
    <row r="29" spans="1:28" s="776" customFormat="1">
      <c r="A29" s="242"/>
      <c r="B29" s="242" t="s">
        <v>313</v>
      </c>
      <c r="C29" s="242"/>
      <c r="D29" s="242"/>
      <c r="E29" s="242"/>
      <c r="F29" s="793">
        <f>'3_Fin-Stat'!F315</f>
        <v>0</v>
      </c>
      <c r="G29" s="793">
        <f>'3_Fin-Stat'!G315</f>
        <v>0</v>
      </c>
      <c r="H29" s="793">
        <f>'3_Fin-Stat'!H315</f>
        <v>0</v>
      </c>
      <c r="I29" s="793">
        <f>'3_Fin-Stat'!I315</f>
        <v>0</v>
      </c>
      <c r="J29" s="793">
        <f>'3_Fin-Stat'!J315</f>
        <v>0</v>
      </c>
      <c r="K29" s="793">
        <f>'3_Fin-Stat'!K315</f>
        <v>0</v>
      </c>
      <c r="L29" s="793">
        <f>'3_Fin-Stat'!L315</f>
        <v>0</v>
      </c>
      <c r="M29" s="793">
        <v>0</v>
      </c>
      <c r="N29" s="793">
        <f>'3_Fin-Stat'!N315</f>
        <v>26948</v>
      </c>
      <c r="O29" s="793">
        <f>'3_Fin-Stat'!O315</f>
        <v>38856</v>
      </c>
      <c r="P29" s="793">
        <f>'3_Fin-Stat'!P315</f>
        <v>110690</v>
      </c>
      <c r="Q29" s="793">
        <f>'3_Fin-Stat'!Q315</f>
        <v>83639</v>
      </c>
      <c r="R29" s="793">
        <f>'3_Fin-Stat'!R315</f>
        <v>11941</v>
      </c>
      <c r="S29" s="793">
        <f>'3_Fin-Stat'!S315</f>
        <v>29600</v>
      </c>
      <c r="T29" s="793">
        <f>'3_Fin-Stat'!T315</f>
        <v>36400</v>
      </c>
      <c r="U29" s="793">
        <f>'3_Fin-Stat'!U315</f>
        <v>10000</v>
      </c>
      <c r="V29" s="793">
        <f>'3_Fin-Stat'!V315</f>
        <v>-1000</v>
      </c>
      <c r="W29" s="793">
        <f>'3_Fin-Stat'!W315</f>
        <v>92000</v>
      </c>
      <c r="X29" s="793">
        <f>'3_Fin-Stat'!X315</f>
        <v>52000</v>
      </c>
      <c r="Y29" s="793">
        <f>'3_Fin-Stat'!Y315</f>
        <v>61000</v>
      </c>
      <c r="Z29" s="793">
        <f>'3_Fin-Stat'!Z315</f>
        <v>114000</v>
      </c>
      <c r="AA29" s="793">
        <f>'3_Fin-Stat'!AA315</f>
        <v>223000</v>
      </c>
      <c r="AB29" s="793">
        <f>'3_Fin-Stat'!AB315</f>
        <v>106000</v>
      </c>
    </row>
    <row r="30" spans="1:28" s="776" customFormat="1">
      <c r="A30" s="242"/>
      <c r="B30" s="242" t="s">
        <v>399</v>
      </c>
      <c r="C30" s="242"/>
      <c r="D30" s="242"/>
      <c r="E30" s="242"/>
      <c r="F30" s="1284">
        <v>17079</v>
      </c>
      <c r="G30" s="1284">
        <v>24826</v>
      </c>
      <c r="H30" s="1284">
        <v>22846</v>
      </c>
      <c r="I30" s="1284">
        <v>52417</v>
      </c>
      <c r="J30" s="1284">
        <v>240509</v>
      </c>
      <c r="K30" s="1284">
        <v>217195</v>
      </c>
      <c r="L30" s="1284">
        <v>180746</v>
      </c>
      <c r="M30" s="1284">
        <v>26594</v>
      </c>
      <c r="N30" s="1284">
        <v>49592</v>
      </c>
      <c r="O30" s="1284">
        <v>42358</v>
      </c>
      <c r="P30" s="1284">
        <v>43633</v>
      </c>
      <c r="Q30" s="1284">
        <v>50053</v>
      </c>
      <c r="R30" s="1284">
        <v>46930</v>
      </c>
      <c r="S30" s="1284">
        <v>26800</v>
      </c>
      <c r="T30" s="1284">
        <v>54800</v>
      </c>
      <c r="U30" s="1284">
        <v>54000</v>
      </c>
      <c r="V30" s="1284">
        <v>47000</v>
      </c>
      <c r="W30" s="1284">
        <v>47000</v>
      </c>
      <c r="X30" s="1284">
        <v>76000</v>
      </c>
      <c r="Y30" s="1284">
        <v>79000</v>
      </c>
      <c r="Z30" s="1284">
        <v>79000</v>
      </c>
      <c r="AA30" s="1284">
        <v>89000</v>
      </c>
      <c r="AB30" s="793">
        <v>109000</v>
      </c>
    </row>
    <row r="31" spans="1:28" s="776" customFormat="1">
      <c r="A31" s="242"/>
      <c r="B31" s="242" t="s">
        <v>315</v>
      </c>
      <c r="C31" s="242"/>
      <c r="D31" s="242"/>
      <c r="E31" s="242"/>
      <c r="F31" s="793">
        <v>0</v>
      </c>
      <c r="G31" s="793">
        <v>0</v>
      </c>
      <c r="H31" s="793">
        <v>0</v>
      </c>
      <c r="I31" s="793">
        <v>0</v>
      </c>
      <c r="J31" s="793">
        <v>0</v>
      </c>
      <c r="K31" s="793">
        <v>0</v>
      </c>
      <c r="L31" s="793">
        <v>0</v>
      </c>
      <c r="M31" s="793">
        <v>132</v>
      </c>
      <c r="N31" s="793">
        <v>37</v>
      </c>
      <c r="O31" s="793">
        <v>1122</v>
      </c>
      <c r="P31" s="793">
        <v>449</v>
      </c>
      <c r="Q31" s="793">
        <v>3399</v>
      </c>
      <c r="R31" s="793">
        <v>7947</v>
      </c>
      <c r="S31" s="793">
        <v>8400</v>
      </c>
      <c r="T31" s="793">
        <v>12700</v>
      </c>
      <c r="U31" s="793">
        <v>21000</v>
      </c>
      <c r="V31" s="793">
        <v>36000</v>
      </c>
      <c r="W31" s="793">
        <v>40000</v>
      </c>
      <c r="X31" s="793">
        <v>43000</v>
      </c>
      <c r="Y31" s="793">
        <v>46000</v>
      </c>
      <c r="Z31" s="793">
        <v>40000</v>
      </c>
      <c r="AA31" s="793">
        <v>34000</v>
      </c>
      <c r="AB31" s="793">
        <v>35000</v>
      </c>
    </row>
    <row r="32" spans="1:28" s="776" customFormat="1">
      <c r="A32" s="242"/>
      <c r="B32" s="242"/>
      <c r="C32" s="242"/>
      <c r="D32" s="242"/>
      <c r="E32" s="242"/>
      <c r="F32" s="793"/>
      <c r="G32" s="793"/>
      <c r="H32" s="793"/>
      <c r="I32" s="793"/>
      <c r="J32" s="793"/>
      <c r="K32" s="793"/>
      <c r="L32" s="793"/>
      <c r="M32" s="793"/>
      <c r="N32" s="793"/>
      <c r="O32" s="793"/>
      <c r="P32" s="793"/>
      <c r="Q32" s="793"/>
      <c r="R32" s="793"/>
      <c r="S32" s="793"/>
      <c r="T32" s="793"/>
      <c r="U32" s="793"/>
      <c r="V32" s="793"/>
      <c r="W32" s="793"/>
      <c r="X32" s="793"/>
      <c r="Y32" s="793"/>
      <c r="Z32" s="793"/>
      <c r="AA32" s="793"/>
      <c r="AB32" s="793"/>
    </row>
    <row r="33" spans="1:28" s="776" customFormat="1">
      <c r="A33" s="242"/>
      <c r="B33" s="73" t="s">
        <v>169</v>
      </c>
      <c r="C33" s="242"/>
      <c r="D33" s="242"/>
      <c r="E33" s="242"/>
      <c r="F33" s="793">
        <f t="shared" ref="F33:AA33" si="7">F161</f>
        <v>1819132</v>
      </c>
      <c r="G33" s="793">
        <f t="shared" si="7"/>
        <v>2086591</v>
      </c>
      <c r="H33" s="793">
        <f t="shared" si="7"/>
        <v>2225866</v>
      </c>
      <c r="I33" s="793">
        <f t="shared" si="7"/>
        <v>2452025</v>
      </c>
      <c r="J33" s="793">
        <f t="shared" si="7"/>
        <v>3162959</v>
      </c>
      <c r="K33" s="793">
        <f t="shared" si="7"/>
        <v>3186769</v>
      </c>
      <c r="L33" s="793">
        <f t="shared" si="7"/>
        <v>3592168</v>
      </c>
      <c r="M33" s="793">
        <f t="shared" si="7"/>
        <v>4605643</v>
      </c>
      <c r="N33" s="793">
        <f t="shared" si="7"/>
        <v>6120462</v>
      </c>
      <c r="O33" s="793">
        <f t="shared" si="7"/>
        <v>6135215</v>
      </c>
      <c r="P33" s="793">
        <f t="shared" si="7"/>
        <v>6164614</v>
      </c>
      <c r="Q33" s="793">
        <f t="shared" si="7"/>
        <v>7749818</v>
      </c>
      <c r="R33" s="793">
        <f t="shared" si="7"/>
        <v>7297059</v>
      </c>
      <c r="S33" s="793">
        <f t="shared" si="7"/>
        <v>7304900</v>
      </c>
      <c r="T33" s="793">
        <f t="shared" si="7"/>
        <v>6467000</v>
      </c>
      <c r="U33" s="793">
        <f t="shared" si="7"/>
        <v>6766000</v>
      </c>
      <c r="V33" s="793">
        <f t="shared" si="7"/>
        <v>6896000</v>
      </c>
      <c r="W33" s="793">
        <f t="shared" si="7"/>
        <v>7566000</v>
      </c>
      <c r="X33" s="793">
        <f t="shared" si="7"/>
        <v>7774000</v>
      </c>
      <c r="Y33" s="793">
        <f t="shared" si="7"/>
        <v>8013000</v>
      </c>
      <c r="Z33" s="793">
        <f t="shared" si="7"/>
        <v>8655000</v>
      </c>
      <c r="AA33" s="793">
        <f t="shared" si="7"/>
        <v>8593000</v>
      </c>
      <c r="AB33" s="793">
        <f t="shared" ref="AB33" si="8">AB161</f>
        <v>8314000</v>
      </c>
    </row>
    <row r="34" spans="1:28" s="776" customFormat="1">
      <c r="A34" s="242"/>
      <c r="B34" s="73" t="s">
        <v>316</v>
      </c>
      <c r="C34" s="242"/>
      <c r="D34" s="242"/>
      <c r="E34" s="242"/>
      <c r="F34" s="892">
        <f t="shared" ref="F34:AA34" si="9">F162</f>
        <v>65917</v>
      </c>
      <c r="G34" s="892">
        <f t="shared" si="9"/>
        <v>56184</v>
      </c>
      <c r="H34" s="892">
        <f t="shared" si="9"/>
        <v>64137</v>
      </c>
      <c r="I34" s="892">
        <f t="shared" si="9"/>
        <v>53957</v>
      </c>
      <c r="J34" s="892">
        <f t="shared" si="9"/>
        <v>248380</v>
      </c>
      <c r="K34" s="892">
        <f t="shared" si="9"/>
        <v>291372</v>
      </c>
      <c r="L34" s="892">
        <f t="shared" si="9"/>
        <v>308873</v>
      </c>
      <c r="M34" s="892">
        <f t="shared" si="9"/>
        <v>139882</v>
      </c>
      <c r="N34" s="892">
        <f t="shared" si="9"/>
        <v>148875</v>
      </c>
      <c r="O34" s="892">
        <f t="shared" si="9"/>
        <v>171190</v>
      </c>
      <c r="P34" s="892">
        <f t="shared" si="9"/>
        <v>230416</v>
      </c>
      <c r="Q34" s="892">
        <f t="shared" si="9"/>
        <v>267990</v>
      </c>
      <c r="R34" s="892">
        <f t="shared" si="9"/>
        <v>269826</v>
      </c>
      <c r="S34" s="892">
        <f t="shared" si="9"/>
        <v>255100</v>
      </c>
      <c r="T34" s="892">
        <f t="shared" si="9"/>
        <v>150000</v>
      </c>
      <c r="U34" s="892">
        <f t="shared" si="9"/>
        <v>184000</v>
      </c>
      <c r="V34" s="892">
        <f t="shared" si="9"/>
        <v>187000</v>
      </c>
      <c r="W34" s="892">
        <f t="shared" si="9"/>
        <v>200000</v>
      </c>
      <c r="X34" s="892">
        <f t="shared" si="9"/>
        <v>199000</v>
      </c>
      <c r="Y34" s="892">
        <f t="shared" si="9"/>
        <v>191000</v>
      </c>
      <c r="Z34" s="892">
        <f t="shared" si="9"/>
        <v>180000</v>
      </c>
      <c r="AA34" s="892">
        <f t="shared" si="9"/>
        <v>261000</v>
      </c>
      <c r="AB34" s="892">
        <f t="shared" ref="AB34" si="10">AB162</f>
        <v>273000</v>
      </c>
    </row>
    <row r="35" spans="1:28" s="776" customFormat="1">
      <c r="A35" s="242"/>
      <c r="B35" s="242" t="s">
        <v>317</v>
      </c>
      <c r="C35" s="242"/>
      <c r="D35" s="242"/>
      <c r="E35" s="242"/>
      <c r="F35" s="793">
        <f t="shared" ref="F35:AA35" si="11">SUM(F33:F34)</f>
        <v>1885049</v>
      </c>
      <c r="G35" s="793">
        <f t="shared" si="11"/>
        <v>2142775</v>
      </c>
      <c r="H35" s="793">
        <f t="shared" si="11"/>
        <v>2290003</v>
      </c>
      <c r="I35" s="793">
        <f t="shared" si="11"/>
        <v>2505982</v>
      </c>
      <c r="J35" s="793">
        <f t="shared" si="11"/>
        <v>3411339</v>
      </c>
      <c r="K35" s="793">
        <f t="shared" si="11"/>
        <v>3478141</v>
      </c>
      <c r="L35" s="793">
        <f t="shared" si="11"/>
        <v>3901041</v>
      </c>
      <c r="M35" s="793">
        <f t="shared" si="11"/>
        <v>4745525</v>
      </c>
      <c r="N35" s="793">
        <f t="shared" si="11"/>
        <v>6269337</v>
      </c>
      <c r="O35" s="793">
        <f t="shared" si="11"/>
        <v>6306405</v>
      </c>
      <c r="P35" s="793">
        <f t="shared" si="11"/>
        <v>6395030</v>
      </c>
      <c r="Q35" s="793">
        <f t="shared" si="11"/>
        <v>8017808</v>
      </c>
      <c r="R35" s="793">
        <f t="shared" si="11"/>
        <v>7566885</v>
      </c>
      <c r="S35" s="793">
        <f t="shared" si="11"/>
        <v>7560000</v>
      </c>
      <c r="T35" s="793">
        <f t="shared" si="11"/>
        <v>6617000</v>
      </c>
      <c r="U35" s="793">
        <f t="shared" si="11"/>
        <v>6950000</v>
      </c>
      <c r="V35" s="793">
        <f t="shared" si="11"/>
        <v>7083000</v>
      </c>
      <c r="W35" s="793">
        <f t="shared" si="11"/>
        <v>7766000</v>
      </c>
      <c r="X35" s="793">
        <f t="shared" si="11"/>
        <v>7973000</v>
      </c>
      <c r="Y35" s="793">
        <f t="shared" si="11"/>
        <v>8204000</v>
      </c>
      <c r="Z35" s="793">
        <f t="shared" si="11"/>
        <v>8835000</v>
      </c>
      <c r="AA35" s="793">
        <f t="shared" si="11"/>
        <v>8854000</v>
      </c>
      <c r="AB35" s="793">
        <f t="shared" ref="AB35" si="12">SUM(AB33:AB34)</f>
        <v>8587000</v>
      </c>
    </row>
    <row r="36" spans="1:28" s="776" customFormat="1">
      <c r="A36" s="242"/>
      <c r="B36" s="242" t="s">
        <v>318</v>
      </c>
      <c r="C36" s="242"/>
      <c r="D36" s="242"/>
      <c r="E36" s="242"/>
      <c r="F36" s="892">
        <f>'3_Fin-Stat'!F167</f>
        <v>204946</v>
      </c>
      <c r="G36" s="892">
        <f>'3_Fin-Stat'!G167</f>
        <v>119014</v>
      </c>
      <c r="H36" s="892">
        <f>'3_Fin-Stat'!H167</f>
        <v>212544</v>
      </c>
      <c r="I36" s="892">
        <f>'3_Fin-Stat'!I167</f>
        <v>52823</v>
      </c>
      <c r="J36" s="892">
        <f>'3_Fin-Stat'!J167</f>
        <v>118126</v>
      </c>
      <c r="K36" s="892">
        <f>'3_Fin-Stat'!K167</f>
        <v>215374</v>
      </c>
      <c r="L36" s="892">
        <f>'3_Fin-Stat'!L167</f>
        <v>93643</v>
      </c>
      <c r="M36" s="892">
        <f>'3_Fin-Stat'!M167</f>
        <v>94869</v>
      </c>
      <c r="N36" s="892">
        <f>'3_Fin-Stat'!N167</f>
        <v>94932</v>
      </c>
      <c r="O36" s="892">
        <f>'3_Fin-Stat'!O167</f>
        <v>309589</v>
      </c>
      <c r="P36" s="892">
        <f>'3_Fin-Stat'!P167</f>
        <v>677980</v>
      </c>
      <c r="Q36" s="892">
        <f>'3_Fin-Stat'!Q167</f>
        <v>283522</v>
      </c>
      <c r="R36" s="892">
        <f>'3_Fin-Stat'!R167</f>
        <v>276263</v>
      </c>
      <c r="S36" s="892">
        <f>'3_Fin-Stat'!S167</f>
        <v>726900</v>
      </c>
      <c r="T36" s="892">
        <f>'3_Fin-Stat'!T167</f>
        <v>245000</v>
      </c>
      <c r="U36" s="892">
        <f>'3_Fin-Stat'!U167</f>
        <v>242000</v>
      </c>
      <c r="V36" s="892">
        <f>'3_Fin-Stat'!V167</f>
        <v>86000</v>
      </c>
      <c r="W36" s="892">
        <f>'3_Fin-Stat'!W167</f>
        <v>91000</v>
      </c>
      <c r="X36" s="892">
        <f>'3_Fin-Stat'!X167</f>
        <v>77000</v>
      </c>
      <c r="Y36" s="892">
        <f>'3_Fin-Stat'!Y167</f>
        <v>71000</v>
      </c>
      <c r="Z36" s="892">
        <f>'3_Fin-Stat'!Z167</f>
        <v>96000</v>
      </c>
      <c r="AA36" s="892">
        <f>'3_Fin-Stat'!AA167</f>
        <v>105000</v>
      </c>
      <c r="AB36" s="892">
        <f>'3_Fin-Stat'!AB167</f>
        <v>162000</v>
      </c>
    </row>
    <row r="37" spans="1:28" s="776" customFormat="1">
      <c r="A37" s="242"/>
      <c r="B37" s="242" t="s">
        <v>319</v>
      </c>
      <c r="C37" s="242"/>
      <c r="D37" s="242"/>
      <c r="E37" s="242"/>
      <c r="F37" s="793">
        <f t="shared" ref="F37:AA37" si="13">SUM(F35:F36)</f>
        <v>2089995</v>
      </c>
      <c r="G37" s="793">
        <f t="shared" si="13"/>
        <v>2261789</v>
      </c>
      <c r="H37" s="793">
        <f t="shared" si="13"/>
        <v>2502547</v>
      </c>
      <c r="I37" s="793">
        <f t="shared" si="13"/>
        <v>2558805</v>
      </c>
      <c r="J37" s="793">
        <f t="shared" si="13"/>
        <v>3529465</v>
      </c>
      <c r="K37" s="793">
        <f t="shared" si="13"/>
        <v>3693515</v>
      </c>
      <c r="L37" s="793">
        <f t="shared" si="13"/>
        <v>3994684</v>
      </c>
      <c r="M37" s="793">
        <f t="shared" si="13"/>
        <v>4840394</v>
      </c>
      <c r="N37" s="793">
        <f t="shared" si="13"/>
        <v>6364269</v>
      </c>
      <c r="O37" s="793">
        <f t="shared" si="13"/>
        <v>6615994</v>
      </c>
      <c r="P37" s="793">
        <f t="shared" si="13"/>
        <v>7073010</v>
      </c>
      <c r="Q37" s="793">
        <f t="shared" si="13"/>
        <v>8301330</v>
      </c>
      <c r="R37" s="793">
        <f t="shared" si="13"/>
        <v>7843148</v>
      </c>
      <c r="S37" s="793">
        <f t="shared" si="13"/>
        <v>8286900</v>
      </c>
      <c r="T37" s="793">
        <f t="shared" si="13"/>
        <v>6862000</v>
      </c>
      <c r="U37" s="793">
        <f t="shared" si="13"/>
        <v>7192000</v>
      </c>
      <c r="V37" s="793">
        <f t="shared" si="13"/>
        <v>7169000</v>
      </c>
      <c r="W37" s="793">
        <f t="shared" si="13"/>
        <v>7857000</v>
      </c>
      <c r="X37" s="793">
        <f t="shared" si="13"/>
        <v>8050000</v>
      </c>
      <c r="Y37" s="793">
        <f t="shared" si="13"/>
        <v>8275000</v>
      </c>
      <c r="Z37" s="793">
        <f t="shared" si="13"/>
        <v>8931000</v>
      </c>
      <c r="AA37" s="793">
        <f t="shared" si="13"/>
        <v>8959000</v>
      </c>
      <c r="AB37" s="793">
        <f t="shared" ref="AB37" si="14">SUM(AB35:AB36)</f>
        <v>8749000</v>
      </c>
    </row>
    <row r="38" spans="1:28" s="776" customFormat="1">
      <c r="A38" s="242"/>
      <c r="B38" s="242"/>
      <c r="C38" s="242"/>
      <c r="D38" s="242"/>
      <c r="E38" s="242"/>
      <c r="F38" s="793"/>
      <c r="G38" s="793"/>
      <c r="H38" s="793"/>
      <c r="I38" s="793"/>
      <c r="J38" s="793"/>
      <c r="K38" s="793"/>
      <c r="L38" s="793"/>
      <c r="M38" s="793"/>
      <c r="N38" s="793"/>
      <c r="O38" s="793"/>
      <c r="P38" s="793"/>
      <c r="Q38" s="793"/>
      <c r="R38" s="793"/>
      <c r="S38" s="793"/>
      <c r="T38" s="793"/>
      <c r="U38" s="793"/>
      <c r="V38" s="793"/>
      <c r="W38" s="793"/>
      <c r="X38" s="793"/>
      <c r="Y38" s="793"/>
      <c r="Z38" s="793"/>
      <c r="AA38" s="793"/>
      <c r="AB38" s="793"/>
    </row>
    <row r="39" spans="1:28" s="776" customFormat="1">
      <c r="A39" s="242"/>
      <c r="B39" s="242" t="s">
        <v>320</v>
      </c>
      <c r="C39" s="242"/>
      <c r="D39" s="242"/>
      <c r="E39" s="242"/>
      <c r="F39" s="793">
        <f>'3_Fin-Stat'!F170</f>
        <v>-13424</v>
      </c>
      <c r="G39" s="793">
        <f>'3_Fin-Stat'!G170</f>
        <v>-57731</v>
      </c>
      <c r="H39" s="793">
        <f>'3_Fin-Stat'!H170</f>
        <v>-118744</v>
      </c>
      <c r="I39" s="793">
        <f>'3_Fin-Stat'!I170</f>
        <v>-154202</v>
      </c>
      <c r="J39" s="793">
        <f>'3_Fin-Stat'!J170</f>
        <v>-8228</v>
      </c>
      <c r="K39" s="793">
        <f>'3_Fin-Stat'!K170</f>
        <v>-72988</v>
      </c>
      <c r="L39" s="793">
        <f>'3_Fin-Stat'!L170</f>
        <v>-148127</v>
      </c>
      <c r="M39" s="793">
        <f>'3_Fin-Stat'!M170</f>
        <v>0</v>
      </c>
      <c r="N39" s="793">
        <f>'3_Fin-Stat'!N170</f>
        <v>0</v>
      </c>
      <c r="O39" s="793">
        <f>'3_Fin-Stat'!O170</f>
        <v>-129256</v>
      </c>
      <c r="P39" s="793">
        <f>'3_Fin-Stat'!P170</f>
        <v>-260394</v>
      </c>
      <c r="Q39" s="793">
        <f>'3_Fin-Stat'!Q170</f>
        <v>-2302</v>
      </c>
      <c r="R39" s="793">
        <f>'3_Fin-Stat'!R170</f>
        <v>-15287</v>
      </c>
      <c r="S39" s="793">
        <f>'3_Fin-Stat'!S170</f>
        <v>-224300</v>
      </c>
      <c r="T39" s="793">
        <f>'3_Fin-Stat'!T170</f>
        <v>-4000</v>
      </c>
      <c r="U39" s="793">
        <f>'3_Fin-Stat'!U170</f>
        <v>-184000</v>
      </c>
      <c r="V39" s="793">
        <f>'3_Fin-Stat'!V170</f>
        <v>0</v>
      </c>
      <c r="W39" s="793">
        <f>'3_Fin-Stat'!W170</f>
        <v>0</v>
      </c>
      <c r="X39" s="793">
        <f>'3_Fin-Stat'!X170</f>
        <v>-2000</v>
      </c>
      <c r="Y39" s="793">
        <f>'3_Fin-Stat'!Y170</f>
        <v>-238000</v>
      </c>
      <c r="Z39" s="793">
        <f>'3_Fin-Stat'!Z170</f>
        <v>-4000</v>
      </c>
      <c r="AA39" s="793">
        <f>'3_Fin-Stat'!AA170</f>
        <v>-250000</v>
      </c>
      <c r="AB39" s="793">
        <f>'3_Fin-Stat'!AB170</f>
        <v>-20000</v>
      </c>
    </row>
    <row r="40" spans="1:28" s="776" customFormat="1">
      <c r="A40" s="242"/>
      <c r="B40" s="242" t="s">
        <v>321</v>
      </c>
      <c r="C40" s="242"/>
      <c r="D40" s="242"/>
      <c r="E40" s="242"/>
      <c r="F40" s="892">
        <f>'3_Fin-Stat'!F171</f>
        <v>-1264</v>
      </c>
      <c r="G40" s="892">
        <f>'3_Fin-Stat'!G171</f>
        <v>-4741</v>
      </c>
      <c r="H40" s="892">
        <f>'3_Fin-Stat'!H171</f>
        <v>-10435</v>
      </c>
      <c r="I40" s="892">
        <f>'3_Fin-Stat'!I171</f>
        <v>-18127</v>
      </c>
      <c r="J40" s="892">
        <f>'3_Fin-Stat'!J171</f>
        <v>-26868</v>
      </c>
      <c r="K40" s="892">
        <f>'3_Fin-Stat'!K171</f>
        <v>-39225</v>
      </c>
      <c r="L40" s="892">
        <f>'3_Fin-Stat'!L171</f>
        <v>-50345</v>
      </c>
      <c r="M40" s="892">
        <f>'3_Fin-Stat'!M171</f>
        <v>-48418</v>
      </c>
      <c r="N40" s="892">
        <f>'3_Fin-Stat'!N171</f>
        <v>-49196</v>
      </c>
      <c r="O40" s="892">
        <f>'3_Fin-Stat'!O171</f>
        <v>-54148</v>
      </c>
      <c r="P40" s="892">
        <f>'3_Fin-Stat'!P171</f>
        <v>-69501</v>
      </c>
      <c r="Q40" s="892">
        <f>'3_Fin-Stat'!Q171</f>
        <v>-91701</v>
      </c>
      <c r="R40" s="892">
        <f>'3_Fin-Stat'!R171</f>
        <v>-107054</v>
      </c>
      <c r="S40" s="892">
        <f>'3_Fin-Stat'!S171</f>
        <v>-99000</v>
      </c>
      <c r="T40" s="892">
        <f>'3_Fin-Stat'!T171</f>
        <v>-89000</v>
      </c>
      <c r="U40" s="892">
        <f>'3_Fin-Stat'!U171</f>
        <v>-79000</v>
      </c>
      <c r="V40" s="892">
        <f>'3_Fin-Stat'!V171</f>
        <v>-72000</v>
      </c>
      <c r="W40" s="892">
        <f>'3_Fin-Stat'!W171</f>
        <v>-86000</v>
      </c>
      <c r="X40" s="892">
        <f>'3_Fin-Stat'!X171</f>
        <v>-87000</v>
      </c>
      <c r="Y40" s="892">
        <f>'3_Fin-Stat'!Y171</f>
        <v>-96000</v>
      </c>
      <c r="Z40" s="892">
        <f>'3_Fin-Stat'!Z171</f>
        <v>-102000</v>
      </c>
      <c r="AA40" s="892">
        <f>'3_Fin-Stat'!AA171</f>
        <v>-115000</v>
      </c>
      <c r="AB40" s="892">
        <f>'3_Fin-Stat'!AB171</f>
        <v>-131000</v>
      </c>
    </row>
    <row r="41" spans="1:28" s="776" customFormat="1">
      <c r="A41" s="242"/>
      <c r="B41" s="242" t="s">
        <v>322</v>
      </c>
      <c r="C41" s="242"/>
      <c r="D41" s="242"/>
      <c r="E41" s="242"/>
      <c r="F41" s="793">
        <f t="shared" ref="F41:AA41" si="15">SUM(F39:F40)</f>
        <v>-14688</v>
      </c>
      <c r="G41" s="793">
        <f t="shared" si="15"/>
        <v>-62472</v>
      </c>
      <c r="H41" s="793">
        <f t="shared" si="15"/>
        <v>-129179</v>
      </c>
      <c r="I41" s="793">
        <f t="shared" si="15"/>
        <v>-172329</v>
      </c>
      <c r="J41" s="793">
        <f t="shared" si="15"/>
        <v>-35096</v>
      </c>
      <c r="K41" s="793">
        <f t="shared" si="15"/>
        <v>-112213</v>
      </c>
      <c r="L41" s="793">
        <f t="shared" si="15"/>
        <v>-198472</v>
      </c>
      <c r="M41" s="793">
        <f t="shared" si="15"/>
        <v>-48418</v>
      </c>
      <c r="N41" s="793">
        <f t="shared" si="15"/>
        <v>-49196</v>
      </c>
      <c r="O41" s="793">
        <f t="shared" si="15"/>
        <v>-183404</v>
      </c>
      <c r="P41" s="793">
        <f t="shared" si="15"/>
        <v>-329895</v>
      </c>
      <c r="Q41" s="793">
        <f t="shared" si="15"/>
        <v>-94003</v>
      </c>
      <c r="R41" s="793">
        <f t="shared" si="15"/>
        <v>-122341</v>
      </c>
      <c r="S41" s="793">
        <f t="shared" si="15"/>
        <v>-323300</v>
      </c>
      <c r="T41" s="793">
        <f t="shared" si="15"/>
        <v>-93000</v>
      </c>
      <c r="U41" s="793">
        <f t="shared" si="15"/>
        <v>-263000</v>
      </c>
      <c r="V41" s="793">
        <f t="shared" si="15"/>
        <v>-72000</v>
      </c>
      <c r="W41" s="793">
        <f t="shared" si="15"/>
        <v>-86000</v>
      </c>
      <c r="X41" s="793">
        <f t="shared" si="15"/>
        <v>-89000</v>
      </c>
      <c r="Y41" s="793">
        <f t="shared" si="15"/>
        <v>-334000</v>
      </c>
      <c r="Z41" s="793">
        <f t="shared" si="15"/>
        <v>-106000</v>
      </c>
      <c r="AA41" s="793">
        <f t="shared" si="15"/>
        <v>-365000</v>
      </c>
      <c r="AB41" s="793">
        <f t="shared" ref="AB41" si="16">SUM(AB39:AB40)</f>
        <v>-151000</v>
      </c>
    </row>
    <row r="42" spans="1:28" s="776" customFormat="1">
      <c r="A42" s="242"/>
      <c r="B42" s="242"/>
      <c r="C42" s="242"/>
      <c r="D42" s="242"/>
      <c r="E42" s="242"/>
      <c r="F42" s="793"/>
      <c r="G42" s="793"/>
      <c r="H42" s="793"/>
      <c r="I42" s="793"/>
      <c r="J42" s="793"/>
      <c r="K42" s="793"/>
      <c r="L42" s="793"/>
      <c r="M42" s="793"/>
      <c r="N42" s="793"/>
      <c r="O42" s="793"/>
      <c r="P42" s="793"/>
      <c r="Q42" s="793"/>
      <c r="R42" s="793"/>
      <c r="S42" s="793"/>
      <c r="T42" s="793"/>
      <c r="U42" s="793"/>
      <c r="V42" s="793"/>
      <c r="W42" s="793"/>
      <c r="X42" s="793"/>
      <c r="Y42" s="793"/>
      <c r="Z42" s="793"/>
      <c r="AA42" s="793"/>
      <c r="AB42" s="793"/>
    </row>
    <row r="43" spans="1:28" s="776" customFormat="1">
      <c r="A43" s="242"/>
      <c r="B43" s="242" t="s">
        <v>8</v>
      </c>
      <c r="C43" s="242"/>
      <c r="D43" s="242"/>
      <c r="E43" s="242"/>
      <c r="F43" s="892">
        <f t="shared" ref="F43:AA43" si="17">F37+F41</f>
        <v>2075307</v>
      </c>
      <c r="G43" s="892">
        <f t="shared" si="17"/>
        <v>2199317</v>
      </c>
      <c r="H43" s="892">
        <f t="shared" si="17"/>
        <v>2373368</v>
      </c>
      <c r="I43" s="892">
        <f t="shared" si="17"/>
        <v>2386476</v>
      </c>
      <c r="J43" s="892">
        <f t="shared" si="17"/>
        <v>3494369</v>
      </c>
      <c r="K43" s="892">
        <f t="shared" si="17"/>
        <v>3581302</v>
      </c>
      <c r="L43" s="892">
        <f t="shared" si="17"/>
        <v>3796212</v>
      </c>
      <c r="M43" s="892">
        <f t="shared" si="17"/>
        <v>4791976</v>
      </c>
      <c r="N43" s="892">
        <f t="shared" si="17"/>
        <v>6315073</v>
      </c>
      <c r="O43" s="892">
        <f t="shared" si="17"/>
        <v>6432590</v>
      </c>
      <c r="P43" s="892">
        <f t="shared" si="17"/>
        <v>6743115</v>
      </c>
      <c r="Q43" s="892">
        <f t="shared" si="17"/>
        <v>8207327</v>
      </c>
      <c r="R43" s="892">
        <f t="shared" si="17"/>
        <v>7720807</v>
      </c>
      <c r="S43" s="892">
        <f t="shared" si="17"/>
        <v>7963600</v>
      </c>
      <c r="T43" s="892">
        <f t="shared" si="17"/>
        <v>6769000</v>
      </c>
      <c r="U43" s="892">
        <f t="shared" si="17"/>
        <v>6929000</v>
      </c>
      <c r="V43" s="892">
        <f t="shared" si="17"/>
        <v>7097000</v>
      </c>
      <c r="W43" s="892">
        <f t="shared" si="17"/>
        <v>7771000</v>
      </c>
      <c r="X43" s="892">
        <f t="shared" si="17"/>
        <v>7961000</v>
      </c>
      <c r="Y43" s="892">
        <f t="shared" si="17"/>
        <v>7941000</v>
      </c>
      <c r="Z43" s="892">
        <f t="shared" si="17"/>
        <v>8825000</v>
      </c>
      <c r="AA43" s="892">
        <f t="shared" si="17"/>
        <v>8594000</v>
      </c>
      <c r="AB43" s="892">
        <f t="shared" ref="AB43" si="18">AB37+AB41</f>
        <v>8598000</v>
      </c>
    </row>
    <row r="44" spans="1:28" s="776" customFormat="1">
      <c r="A44" s="242"/>
      <c r="B44" s="242"/>
      <c r="C44" s="242"/>
      <c r="D44" s="242"/>
      <c r="E44" s="242"/>
      <c r="F44" s="793"/>
      <c r="G44" s="793"/>
      <c r="H44" s="793"/>
      <c r="I44" s="793"/>
      <c r="J44" s="793"/>
      <c r="K44" s="793"/>
      <c r="L44" s="793"/>
      <c r="M44" s="793"/>
      <c r="N44" s="793"/>
      <c r="O44" s="793"/>
      <c r="P44" s="793"/>
      <c r="Q44" s="793"/>
      <c r="R44" s="793"/>
      <c r="S44" s="793"/>
      <c r="T44" s="793"/>
      <c r="U44" s="793"/>
      <c r="V44" s="793"/>
      <c r="W44" s="793"/>
      <c r="X44" s="793"/>
      <c r="Y44" s="793"/>
      <c r="Z44" s="793"/>
      <c r="AA44" s="793"/>
      <c r="AB44" s="793"/>
    </row>
    <row r="45" spans="1:28" s="776" customFormat="1" ht="13.5" thickBot="1">
      <c r="A45" s="242"/>
      <c r="B45" s="791" t="s">
        <v>323</v>
      </c>
      <c r="C45" s="242"/>
      <c r="D45" s="242"/>
      <c r="E45" s="242"/>
      <c r="F45" s="925">
        <f t="shared" ref="F45:AA45" si="19">F25+SUM(F26:F31)+F43</f>
        <v>2271673</v>
      </c>
      <c r="G45" s="925">
        <f t="shared" si="19"/>
        <v>2358852</v>
      </c>
      <c r="H45" s="925">
        <f t="shared" si="19"/>
        <v>2650055</v>
      </c>
      <c r="I45" s="925">
        <f t="shared" si="19"/>
        <v>2632495</v>
      </c>
      <c r="J45" s="925">
        <f t="shared" si="19"/>
        <v>4026903</v>
      </c>
      <c r="K45" s="925">
        <f t="shared" si="19"/>
        <v>4145727</v>
      </c>
      <c r="L45" s="925">
        <f t="shared" si="19"/>
        <v>4348625</v>
      </c>
      <c r="M45" s="925">
        <f t="shared" si="19"/>
        <v>5385442</v>
      </c>
      <c r="N45" s="925">
        <f t="shared" si="19"/>
        <v>6708791</v>
      </c>
      <c r="O45" s="925">
        <f t="shared" si="19"/>
        <v>7197688</v>
      </c>
      <c r="P45" s="925">
        <f t="shared" si="19"/>
        <v>7177268</v>
      </c>
      <c r="Q45" s="925">
        <f t="shared" si="19"/>
        <v>8715599</v>
      </c>
      <c r="R45" s="925">
        <f t="shared" si="19"/>
        <v>8459973</v>
      </c>
      <c r="S45" s="925">
        <f t="shared" si="19"/>
        <v>8692800</v>
      </c>
      <c r="T45" s="925">
        <f t="shared" si="19"/>
        <v>7737400</v>
      </c>
      <c r="U45" s="925">
        <f t="shared" si="19"/>
        <v>7590000</v>
      </c>
      <c r="V45" s="925">
        <f t="shared" si="19"/>
        <v>7568000</v>
      </c>
      <c r="W45" s="925">
        <f t="shared" si="19"/>
        <v>8537000</v>
      </c>
      <c r="X45" s="925">
        <f t="shared" si="19"/>
        <v>8682000</v>
      </c>
      <c r="Y45" s="925">
        <f t="shared" si="19"/>
        <v>8632000</v>
      </c>
      <c r="Z45" s="925">
        <f t="shared" si="19"/>
        <v>9657000</v>
      </c>
      <c r="AA45" s="925">
        <f t="shared" si="19"/>
        <v>9623000</v>
      </c>
      <c r="AB45" s="898">
        <f t="shared" ref="AB45" si="20">AB25+SUM(AB26:AB31)+AB43</f>
        <v>9856000</v>
      </c>
    </row>
    <row r="46" spans="1:28" s="776" customFormat="1" ht="18.75" thickTop="1">
      <c r="A46" s="904" t="str">
        <f>A1</f>
        <v>Meridian Energy</v>
      </c>
      <c r="B46" s="904"/>
      <c r="C46" s="904"/>
      <c r="D46" s="1267"/>
      <c r="E46" s="1439" t="s">
        <v>1407</v>
      </c>
      <c r="F46" s="1440"/>
      <c r="G46" s="1440"/>
      <c r="H46" s="1440"/>
      <c r="I46" s="1462"/>
      <c r="J46" s="1462"/>
      <c r="K46" s="1462"/>
      <c r="L46" s="1461"/>
      <c r="M46" s="1461"/>
      <c r="N46" s="1461"/>
      <c r="O46" s="965"/>
      <c r="P46" s="966"/>
      <c r="Q46" s="967"/>
      <c r="R46" s="868"/>
      <c r="S46" s="967"/>
      <c r="T46" s="967"/>
      <c r="U46" s="967"/>
      <c r="V46" s="967"/>
      <c r="W46" s="1451" t="s">
        <v>324</v>
      </c>
      <c r="X46" s="1452"/>
      <c r="Y46" s="1452"/>
      <c r="Z46" s="1452"/>
      <c r="AA46" s="1452"/>
      <c r="AB46" s="1380">
        <v>3.2</v>
      </c>
    </row>
    <row r="47" spans="1:28" s="776" customFormat="1" ht="15.75">
      <c r="A47" s="1194"/>
      <c r="B47" s="1194"/>
      <c r="C47" s="1194"/>
      <c r="D47" s="1195"/>
      <c r="E47" s="1265"/>
      <c r="F47" s="69">
        <v>0</v>
      </c>
      <c r="G47" s="69">
        <f t="shared" ref="G47:AB47" si="21">F47+1</f>
        <v>1</v>
      </c>
      <c r="H47" s="69">
        <f t="shared" si="21"/>
        <v>2</v>
      </c>
      <c r="I47" s="69">
        <f t="shared" si="21"/>
        <v>3</v>
      </c>
      <c r="J47" s="69">
        <f t="shared" si="21"/>
        <v>4</v>
      </c>
      <c r="K47" s="69">
        <f t="shared" si="21"/>
        <v>5</v>
      </c>
      <c r="L47" s="69">
        <f t="shared" si="21"/>
        <v>6</v>
      </c>
      <c r="M47" s="69">
        <f t="shared" si="21"/>
        <v>7</v>
      </c>
      <c r="N47" s="649">
        <f t="shared" si="21"/>
        <v>8</v>
      </c>
      <c r="O47" s="73">
        <f t="shared" si="21"/>
        <v>9</v>
      </c>
      <c r="P47" s="73">
        <f t="shared" si="21"/>
        <v>10</v>
      </c>
      <c r="Q47" s="73">
        <f t="shared" si="21"/>
        <v>11</v>
      </c>
      <c r="R47" s="73">
        <f t="shared" si="21"/>
        <v>12</v>
      </c>
      <c r="S47" s="73">
        <f t="shared" si="21"/>
        <v>13</v>
      </c>
      <c r="T47" s="73">
        <f t="shared" si="21"/>
        <v>14</v>
      </c>
      <c r="U47" s="73">
        <f t="shared" si="21"/>
        <v>15</v>
      </c>
      <c r="V47" s="73">
        <f t="shared" si="21"/>
        <v>16</v>
      </c>
      <c r="W47" s="73">
        <f t="shared" si="21"/>
        <v>17</v>
      </c>
      <c r="X47" s="73">
        <f t="shared" si="21"/>
        <v>18</v>
      </c>
      <c r="Y47" s="73">
        <f t="shared" si="21"/>
        <v>19</v>
      </c>
      <c r="Z47" s="73">
        <f t="shared" si="21"/>
        <v>20</v>
      </c>
      <c r="AA47" s="73">
        <f t="shared" si="21"/>
        <v>21</v>
      </c>
      <c r="AB47" s="793">
        <f t="shared" si="21"/>
        <v>22</v>
      </c>
    </row>
    <row r="48" spans="1:28" s="776" customFormat="1">
      <c r="E48" s="1237"/>
      <c r="F48" s="953">
        <v>1999</v>
      </c>
      <c r="G48" s="953">
        <f t="shared" ref="G48:M48" si="22">F48+1</f>
        <v>2000</v>
      </c>
      <c r="H48" s="953">
        <f t="shared" si="22"/>
        <v>2001</v>
      </c>
      <c r="I48" s="953">
        <f t="shared" si="22"/>
        <v>2002</v>
      </c>
      <c r="J48" s="953">
        <f t="shared" si="22"/>
        <v>2003</v>
      </c>
      <c r="K48" s="953">
        <f t="shared" si="22"/>
        <v>2004</v>
      </c>
      <c r="L48" s="953">
        <f t="shared" si="22"/>
        <v>2005</v>
      </c>
      <c r="M48" s="953">
        <f t="shared" si="22"/>
        <v>2006</v>
      </c>
      <c r="N48" s="953">
        <v>2007</v>
      </c>
      <c r="O48" s="953">
        <f t="shared" ref="O48:AB48" si="23">N48+1</f>
        <v>2008</v>
      </c>
      <c r="P48" s="953">
        <f t="shared" si="23"/>
        <v>2009</v>
      </c>
      <c r="Q48" s="953">
        <f t="shared" si="23"/>
        <v>2010</v>
      </c>
      <c r="R48" s="953">
        <f t="shared" si="23"/>
        <v>2011</v>
      </c>
      <c r="S48" s="953">
        <f t="shared" si="23"/>
        <v>2012</v>
      </c>
      <c r="T48" s="953">
        <f t="shared" si="23"/>
        <v>2013</v>
      </c>
      <c r="U48" s="953">
        <f t="shared" si="23"/>
        <v>2014</v>
      </c>
      <c r="V48" s="953">
        <f t="shared" si="23"/>
        <v>2015</v>
      </c>
      <c r="W48" s="953">
        <f t="shared" si="23"/>
        <v>2016</v>
      </c>
      <c r="X48" s="953">
        <f t="shared" si="23"/>
        <v>2017</v>
      </c>
      <c r="Y48" s="953">
        <f t="shared" si="23"/>
        <v>2018</v>
      </c>
      <c r="Z48" s="953">
        <f t="shared" si="23"/>
        <v>2019</v>
      </c>
      <c r="AA48" s="953">
        <f t="shared" si="23"/>
        <v>2020</v>
      </c>
      <c r="AB48" s="953">
        <f t="shared" si="23"/>
        <v>2021</v>
      </c>
    </row>
    <row r="49" spans="1:28" s="776" customFormat="1">
      <c r="A49" s="973" t="s">
        <v>325</v>
      </c>
      <c r="B49" s="974"/>
      <c r="C49" s="975"/>
      <c r="D49" s="975"/>
      <c r="E49" s="1237"/>
      <c r="F49" s="909"/>
      <c r="G49" s="909"/>
      <c r="H49" s="909"/>
      <c r="I49" s="909"/>
      <c r="J49" s="909"/>
      <c r="K49" s="909"/>
      <c r="L49" s="909"/>
      <c r="M49" s="909"/>
      <c r="N49" s="909"/>
      <c r="O49" s="909"/>
      <c r="P49" s="909"/>
      <c r="Q49" s="909"/>
      <c r="R49" s="909"/>
      <c r="S49" s="909"/>
      <c r="T49" s="909"/>
      <c r="U49" s="909"/>
      <c r="V49" s="909"/>
      <c r="W49" s="909"/>
      <c r="X49" s="909"/>
      <c r="Y49" s="909"/>
      <c r="Z49" s="909"/>
      <c r="AA49" s="909"/>
      <c r="AB49" s="793"/>
    </row>
    <row r="50" spans="1:28" s="776" customFormat="1">
      <c r="A50" s="242"/>
      <c r="B50" s="242" t="s">
        <v>326</v>
      </c>
      <c r="C50" s="242"/>
      <c r="D50" s="242"/>
      <c r="E50" s="242"/>
      <c r="F50" s="793">
        <v>41728</v>
      </c>
      <c r="G50" s="793">
        <v>64139</v>
      </c>
      <c r="H50" s="793">
        <v>102775</v>
      </c>
      <c r="I50" s="793">
        <v>7394</v>
      </c>
      <c r="J50" s="793">
        <v>22807</v>
      </c>
      <c r="K50" s="793">
        <v>38973</v>
      </c>
      <c r="L50" s="793">
        <v>37722</v>
      </c>
      <c r="M50" s="793">
        <v>9347</v>
      </c>
      <c r="N50" s="793">
        <v>193707</v>
      </c>
      <c r="O50" s="793">
        <v>6228</v>
      </c>
      <c r="P50" s="971">
        <v>6218</v>
      </c>
      <c r="Q50" s="793">
        <v>11065</v>
      </c>
      <c r="R50" s="793">
        <v>16629</v>
      </c>
      <c r="S50" s="793">
        <v>12500</v>
      </c>
      <c r="T50" s="793">
        <v>10600</v>
      </c>
      <c r="U50" s="971">
        <v>221000</v>
      </c>
      <c r="V50" s="971">
        <v>192000</v>
      </c>
      <c r="W50" s="971">
        <v>205000</v>
      </c>
      <c r="X50" s="971">
        <v>288000</v>
      </c>
      <c r="Y50" s="971">
        <v>267000</v>
      </c>
      <c r="Z50" s="971">
        <v>303000</v>
      </c>
      <c r="AA50" s="971">
        <v>364000</v>
      </c>
      <c r="AB50" s="793">
        <v>577000</v>
      </c>
    </row>
    <row r="51" spans="1:28" s="776" customFormat="1">
      <c r="A51" s="242"/>
      <c r="B51" s="242" t="s">
        <v>327</v>
      </c>
      <c r="C51" s="242"/>
      <c r="D51" s="242"/>
      <c r="E51" s="242"/>
      <c r="F51" s="793">
        <v>1286</v>
      </c>
      <c r="G51" s="793">
        <v>2363</v>
      </c>
      <c r="H51" s="793">
        <v>3050</v>
      </c>
      <c r="I51" s="793">
        <v>2820</v>
      </c>
      <c r="J51" s="793">
        <v>6642</v>
      </c>
      <c r="K51" s="793">
        <v>5067</v>
      </c>
      <c r="L51" s="793">
        <v>6609</v>
      </c>
      <c r="M51" s="793">
        <v>6510</v>
      </c>
      <c r="N51" s="793">
        <v>8592</v>
      </c>
      <c r="O51" s="793">
        <v>7116</v>
      </c>
      <c r="P51" s="793">
        <v>10595</v>
      </c>
      <c r="Q51" s="793">
        <v>14582</v>
      </c>
      <c r="R51" s="793">
        <v>16018</v>
      </c>
      <c r="S51" s="793">
        <v>7100</v>
      </c>
      <c r="T51" s="793">
        <v>14900</v>
      </c>
      <c r="U51" s="972">
        <v>15000</v>
      </c>
      <c r="V51" s="971">
        <v>16000</v>
      </c>
      <c r="W51" s="971">
        <v>15000</v>
      </c>
      <c r="X51" s="971">
        <v>15000</v>
      </c>
      <c r="Y51" s="971">
        <v>16000</v>
      </c>
      <c r="Z51" s="971">
        <v>17000</v>
      </c>
      <c r="AA51" s="971">
        <v>24000</v>
      </c>
      <c r="AB51" s="793">
        <v>25000</v>
      </c>
    </row>
    <row r="52" spans="1:28" s="776" customFormat="1">
      <c r="A52" s="242"/>
      <c r="B52" s="242" t="s">
        <v>328</v>
      </c>
      <c r="C52" s="242"/>
      <c r="D52" s="242"/>
      <c r="E52" s="242"/>
      <c r="F52" s="793">
        <v>9352</v>
      </c>
      <c r="G52" s="793">
        <v>12420</v>
      </c>
      <c r="H52" s="793">
        <v>3900</v>
      </c>
      <c r="I52" s="793">
        <v>940</v>
      </c>
      <c r="J52" s="793">
        <v>22334</v>
      </c>
      <c r="K52" s="793">
        <v>47167</v>
      </c>
      <c r="L52" s="793">
        <v>57713</v>
      </c>
      <c r="M52" s="793">
        <v>5596</v>
      </c>
      <c r="N52" s="793">
        <v>5603</v>
      </c>
      <c r="O52" s="793">
        <v>6038</v>
      </c>
      <c r="P52" s="793">
        <v>5163</v>
      </c>
      <c r="Q52" s="793">
        <v>4873</v>
      </c>
      <c r="R52" s="793">
        <v>4140</v>
      </c>
      <c r="S52" s="793">
        <v>5100</v>
      </c>
      <c r="T52" s="793">
        <v>8300</v>
      </c>
      <c r="U52" s="972">
        <v>0</v>
      </c>
      <c r="V52" s="971">
        <v>0</v>
      </c>
      <c r="W52" s="971">
        <v>0</v>
      </c>
      <c r="X52" s="971">
        <v>0</v>
      </c>
      <c r="Y52" s="971">
        <v>0</v>
      </c>
      <c r="Z52" s="971">
        <v>0</v>
      </c>
      <c r="AA52" s="971">
        <v>0</v>
      </c>
      <c r="AB52" s="793"/>
    </row>
    <row r="53" spans="1:28" s="776" customFormat="1">
      <c r="A53" s="242"/>
      <c r="B53" s="242" t="s">
        <v>329</v>
      </c>
      <c r="C53" s="242"/>
      <c r="D53" s="242"/>
      <c r="E53" s="242"/>
      <c r="F53" s="793">
        <v>0</v>
      </c>
      <c r="G53" s="793">
        <v>0</v>
      </c>
      <c r="H53" s="793">
        <v>0</v>
      </c>
      <c r="I53" s="793">
        <v>0</v>
      </c>
      <c r="J53" s="793">
        <v>0</v>
      </c>
      <c r="K53" s="793">
        <v>0</v>
      </c>
      <c r="L53" s="793">
        <v>0</v>
      </c>
      <c r="M53" s="793">
        <v>0</v>
      </c>
      <c r="N53" s="793">
        <v>0</v>
      </c>
      <c r="O53" s="793">
        <v>0</v>
      </c>
      <c r="P53" s="793">
        <v>4353</v>
      </c>
      <c r="Q53" s="793">
        <v>4727</v>
      </c>
      <c r="R53" s="793">
        <v>0</v>
      </c>
      <c r="S53" s="793">
        <v>0</v>
      </c>
      <c r="T53" s="793">
        <v>0</v>
      </c>
      <c r="U53" s="793">
        <v>0</v>
      </c>
      <c r="V53" s="793">
        <v>0</v>
      </c>
      <c r="W53" s="793">
        <v>0</v>
      </c>
      <c r="X53" s="793">
        <v>0</v>
      </c>
      <c r="Y53" s="793">
        <v>0</v>
      </c>
      <c r="Z53" s="793">
        <v>0</v>
      </c>
      <c r="AA53" s="793">
        <v>0</v>
      </c>
      <c r="AB53" s="793"/>
    </row>
    <row r="54" spans="1:28" s="776" customFormat="1">
      <c r="A54" s="242"/>
      <c r="B54" s="242" t="s">
        <v>330</v>
      </c>
      <c r="C54" s="242"/>
      <c r="D54" s="242"/>
      <c r="E54" s="242"/>
      <c r="F54" s="793">
        <v>0</v>
      </c>
      <c r="G54" s="793">
        <v>0</v>
      </c>
      <c r="H54" s="793">
        <v>0</v>
      </c>
      <c r="I54" s="793">
        <v>0</v>
      </c>
      <c r="J54" s="793">
        <v>0</v>
      </c>
      <c r="K54" s="793">
        <v>0</v>
      </c>
      <c r="L54" s="793">
        <v>0</v>
      </c>
      <c r="M54" s="793">
        <v>0</v>
      </c>
      <c r="N54" s="793">
        <v>0</v>
      </c>
      <c r="O54" s="793">
        <v>0</v>
      </c>
      <c r="P54" s="793">
        <v>0</v>
      </c>
      <c r="Q54" s="793">
        <v>0</v>
      </c>
      <c r="R54" s="793">
        <v>0</v>
      </c>
      <c r="S54" s="793">
        <v>0</v>
      </c>
      <c r="T54" s="793">
        <v>0</v>
      </c>
      <c r="U54" s="793">
        <v>0</v>
      </c>
      <c r="V54" s="793">
        <v>0</v>
      </c>
      <c r="W54" s="793">
        <v>0</v>
      </c>
      <c r="X54" s="971">
        <v>8000</v>
      </c>
      <c r="Y54" s="971">
        <v>14000</v>
      </c>
      <c r="Z54" s="971">
        <v>16000</v>
      </c>
      <c r="AA54" s="971">
        <v>23000</v>
      </c>
      <c r="AB54" s="793">
        <v>23000</v>
      </c>
    </row>
    <row r="55" spans="1:28" s="776" customFormat="1">
      <c r="A55" s="242"/>
      <c r="B55" s="242" t="s">
        <v>331</v>
      </c>
      <c r="C55" s="242"/>
      <c r="D55" s="242"/>
      <c r="E55" s="242"/>
      <c r="F55" s="793">
        <v>20877</v>
      </c>
      <c r="G55" s="793">
        <v>66726</v>
      </c>
      <c r="H55" s="793">
        <v>148717</v>
      </c>
      <c r="I55" s="793">
        <v>89198</v>
      </c>
      <c r="J55" s="793">
        <v>153040</v>
      </c>
      <c r="K55" s="793">
        <v>166865</v>
      </c>
      <c r="L55" s="793">
        <v>191539</v>
      </c>
      <c r="M55" s="793">
        <f>165161-1</f>
        <v>165160</v>
      </c>
      <c r="N55" s="793">
        <v>0</v>
      </c>
      <c r="O55" s="793">
        <v>522672</v>
      </c>
      <c r="P55" s="793">
        <v>134421</v>
      </c>
      <c r="Q55" s="793">
        <v>155636</v>
      </c>
      <c r="R55" s="793">
        <v>166937</v>
      </c>
      <c r="S55" s="793">
        <v>250400</v>
      </c>
      <c r="T55" s="793">
        <v>230300</v>
      </c>
      <c r="U55" s="971">
        <v>0</v>
      </c>
      <c r="V55" s="971">
        <v>0</v>
      </c>
      <c r="W55" s="971">
        <v>0</v>
      </c>
      <c r="X55" s="971">
        <v>0</v>
      </c>
      <c r="Y55" s="971">
        <v>0</v>
      </c>
      <c r="Z55" s="971">
        <v>0</v>
      </c>
      <c r="AA55" s="971">
        <v>0</v>
      </c>
      <c r="AB55" s="793"/>
    </row>
    <row r="56" spans="1:28" s="776" customFormat="1">
      <c r="A56" s="242"/>
      <c r="B56" s="242" t="s">
        <v>332</v>
      </c>
      <c r="C56" s="242"/>
      <c r="D56" s="242"/>
      <c r="E56" s="242"/>
      <c r="F56" s="793">
        <v>0</v>
      </c>
      <c r="G56" s="793">
        <v>0</v>
      </c>
      <c r="H56" s="793">
        <v>0</v>
      </c>
      <c r="I56" s="793">
        <v>0</v>
      </c>
      <c r="J56" s="793">
        <v>0</v>
      </c>
      <c r="K56" s="793">
        <v>0</v>
      </c>
      <c r="L56" s="793">
        <v>0</v>
      </c>
      <c r="M56" s="793">
        <v>0</v>
      </c>
      <c r="N56" s="793"/>
      <c r="O56" s="793"/>
      <c r="P56" s="242"/>
      <c r="Q56" s="793"/>
      <c r="R56" s="793"/>
      <c r="S56" s="793"/>
      <c r="T56" s="793"/>
      <c r="U56" s="971">
        <v>1000</v>
      </c>
      <c r="V56" s="971">
        <v>1000</v>
      </c>
      <c r="W56" s="971">
        <v>1000</v>
      </c>
      <c r="X56" s="971">
        <v>1000</v>
      </c>
      <c r="Y56" s="971">
        <v>1000</v>
      </c>
      <c r="Z56" s="971">
        <v>1000</v>
      </c>
      <c r="AA56" s="971">
        <v>7000</v>
      </c>
      <c r="AB56" s="793">
        <v>7000</v>
      </c>
    </row>
    <row r="57" spans="1:28" s="776" customFormat="1">
      <c r="A57" s="242"/>
      <c r="B57" s="242" t="s">
        <v>333</v>
      </c>
      <c r="C57" s="242"/>
      <c r="D57" s="242"/>
      <c r="E57" s="242"/>
      <c r="F57" s="793">
        <v>4209</v>
      </c>
      <c r="G57" s="793">
        <v>1788</v>
      </c>
      <c r="H57" s="793">
        <v>5759</v>
      </c>
      <c r="I57" s="793">
        <v>1636</v>
      </c>
      <c r="J57" s="793">
        <v>886</v>
      </c>
      <c r="K57" s="793">
        <v>-3381</v>
      </c>
      <c r="L57" s="793">
        <v>5378</v>
      </c>
      <c r="M57" s="793">
        <v>6523</v>
      </c>
      <c r="N57" s="793">
        <v>6478</v>
      </c>
      <c r="O57" s="793">
        <v>5510</v>
      </c>
      <c r="P57" s="793">
        <v>9722</v>
      </c>
      <c r="Q57" s="793">
        <v>10731</v>
      </c>
      <c r="R57" s="793">
        <v>13280</v>
      </c>
      <c r="S57" s="793">
        <v>11000</v>
      </c>
      <c r="T57" s="793">
        <v>10600</v>
      </c>
      <c r="U57" s="972">
        <v>0</v>
      </c>
      <c r="V57" s="972">
        <v>0</v>
      </c>
      <c r="W57" s="972">
        <v>0</v>
      </c>
      <c r="X57" s="972">
        <v>0</v>
      </c>
      <c r="Y57" s="972">
        <v>0</v>
      </c>
      <c r="Z57" s="972">
        <v>0</v>
      </c>
      <c r="AA57" s="972">
        <v>0</v>
      </c>
      <c r="AB57" s="793"/>
    </row>
    <row r="58" spans="1:28" s="776" customFormat="1">
      <c r="A58" s="242"/>
      <c r="B58" s="242" t="s">
        <v>334</v>
      </c>
      <c r="C58" s="242"/>
      <c r="D58" s="242"/>
      <c r="E58" s="242"/>
      <c r="F58" s="793">
        <v>0</v>
      </c>
      <c r="G58" s="793">
        <v>0</v>
      </c>
      <c r="H58" s="793">
        <v>0</v>
      </c>
      <c r="I58" s="793">
        <v>0</v>
      </c>
      <c r="J58" s="793">
        <v>0</v>
      </c>
      <c r="K58" s="793">
        <v>0</v>
      </c>
      <c r="L58" s="793">
        <v>0</v>
      </c>
      <c r="M58" s="793">
        <v>0</v>
      </c>
      <c r="N58" s="793">
        <v>3440</v>
      </c>
      <c r="O58" s="793">
        <f>1940</f>
        <v>1940</v>
      </c>
      <c r="P58" s="971">
        <f>1372</f>
        <v>1372</v>
      </c>
      <c r="Q58" s="793">
        <v>736</v>
      </c>
      <c r="R58" s="793">
        <v>94</v>
      </c>
      <c r="S58" s="793"/>
      <c r="T58" s="793">
        <v>100</v>
      </c>
      <c r="U58" s="972">
        <v>0</v>
      </c>
      <c r="V58" s="972">
        <v>0</v>
      </c>
      <c r="W58" s="972">
        <v>0</v>
      </c>
      <c r="X58" s="972">
        <v>0</v>
      </c>
      <c r="Y58" s="972">
        <v>0</v>
      </c>
      <c r="Z58" s="972">
        <v>0</v>
      </c>
      <c r="AA58" s="972">
        <v>0</v>
      </c>
      <c r="AB58" s="793"/>
    </row>
    <row r="59" spans="1:28" s="776" customFormat="1">
      <c r="A59" s="242"/>
      <c r="B59" s="242" t="s">
        <v>309</v>
      </c>
      <c r="C59" s="242"/>
      <c r="D59" s="242"/>
      <c r="E59" s="242"/>
      <c r="F59" s="793">
        <f>'3_Fin-Stat'!F320</f>
        <v>0</v>
      </c>
      <c r="G59" s="793">
        <f>'3_Fin-Stat'!G320</f>
        <v>0</v>
      </c>
      <c r="H59" s="793">
        <f>'3_Fin-Stat'!H320</f>
        <v>0</v>
      </c>
      <c r="I59" s="793">
        <f>'3_Fin-Stat'!I320</f>
        <v>0</v>
      </c>
      <c r="J59" s="793">
        <f>'3_Fin-Stat'!J320</f>
        <v>0</v>
      </c>
      <c r="K59" s="793">
        <f>'3_Fin-Stat'!K320</f>
        <v>0</v>
      </c>
      <c r="L59" s="793">
        <f>'3_Fin-Stat'!L320</f>
        <v>0</v>
      </c>
      <c r="M59" s="793">
        <f>'3_Fin-Stat'!M320</f>
        <v>0</v>
      </c>
      <c r="N59" s="793">
        <f>'3_Fin-Stat'!N320</f>
        <v>3033</v>
      </c>
      <c r="O59" s="793">
        <f>'3_Fin-Stat'!O320</f>
        <v>114454</v>
      </c>
      <c r="P59" s="793">
        <f>'3_Fin-Stat'!P320</f>
        <v>87915</v>
      </c>
      <c r="Q59" s="793">
        <f>'3_Fin-Stat'!Q320</f>
        <v>106229</v>
      </c>
      <c r="R59" s="793">
        <f>'3_Fin-Stat'!R320</f>
        <v>142449</v>
      </c>
      <c r="S59" s="793">
        <f>'3_Fin-Stat'!S320</f>
        <v>78200</v>
      </c>
      <c r="T59" s="793">
        <f>'3_Fin-Stat'!T320</f>
        <v>70500</v>
      </c>
      <c r="U59" s="793">
        <f>'3_Fin-Stat'!U320</f>
        <v>50000</v>
      </c>
      <c r="V59" s="793">
        <f>'3_Fin-Stat'!V320</f>
        <v>42000</v>
      </c>
      <c r="W59" s="793">
        <f>'3_Fin-Stat'!W320</f>
        <v>85000</v>
      </c>
      <c r="X59" s="793">
        <f>'3_Fin-Stat'!X320</f>
        <v>77000</v>
      </c>
      <c r="Y59" s="793">
        <f>'3_Fin-Stat'!Y320</f>
        <v>67000</v>
      </c>
      <c r="Z59" s="793">
        <f>'3_Fin-Stat'!Z320</f>
        <v>61000</v>
      </c>
      <c r="AA59" s="793">
        <f>'3_Fin-Stat'!AA320</f>
        <v>104000</v>
      </c>
      <c r="AB59" s="793">
        <f>'3_Fin-Stat'!AB320</f>
        <v>49000</v>
      </c>
    </row>
    <row r="60" spans="1:28" s="776" customFormat="1">
      <c r="A60" s="242"/>
      <c r="B60" s="242" t="s">
        <v>335</v>
      </c>
      <c r="C60" s="242"/>
      <c r="D60" s="242"/>
      <c r="E60" s="242"/>
      <c r="F60" s="793">
        <v>489</v>
      </c>
      <c r="G60" s="793">
        <v>-7608</v>
      </c>
      <c r="H60" s="793">
        <v>0</v>
      </c>
      <c r="I60" s="793">
        <v>0</v>
      </c>
      <c r="J60" s="793">
        <v>0</v>
      </c>
      <c r="K60" s="793">
        <v>2545</v>
      </c>
      <c r="L60" s="793">
        <v>2257</v>
      </c>
      <c r="M60" s="793">
        <v>2085</v>
      </c>
      <c r="N60" s="793">
        <v>0</v>
      </c>
      <c r="O60" s="793">
        <v>0</v>
      </c>
      <c r="P60" s="793">
        <v>28041</v>
      </c>
      <c r="Q60" s="793">
        <v>31633</v>
      </c>
      <c r="R60" s="793">
        <v>36608</v>
      </c>
      <c r="S60" s="793">
        <v>6000</v>
      </c>
      <c r="T60" s="793">
        <v>51300</v>
      </c>
      <c r="U60" s="972">
        <v>57000</v>
      </c>
      <c r="V60" s="971">
        <v>22000</v>
      </c>
      <c r="W60" s="971">
        <v>30000</v>
      </c>
      <c r="X60" s="971">
        <v>30000</v>
      </c>
      <c r="Y60" s="971">
        <v>43000</v>
      </c>
      <c r="Z60" s="971">
        <v>80000</v>
      </c>
      <c r="AA60" s="971">
        <v>79000</v>
      </c>
      <c r="AB60" s="793">
        <v>37000</v>
      </c>
    </row>
    <row r="61" spans="1:28" s="776" customFormat="1">
      <c r="A61" s="242"/>
      <c r="B61" s="242" t="s">
        <v>336</v>
      </c>
      <c r="C61" s="242"/>
      <c r="D61" s="242"/>
      <c r="E61" s="242"/>
      <c r="F61" s="793">
        <v>0</v>
      </c>
      <c r="G61" s="793">
        <v>0</v>
      </c>
      <c r="H61" s="793">
        <v>0</v>
      </c>
      <c r="I61" s="793">
        <v>0</v>
      </c>
      <c r="J61" s="793">
        <v>0</v>
      </c>
      <c r="K61" s="793">
        <v>0</v>
      </c>
      <c r="L61" s="793">
        <v>0</v>
      </c>
      <c r="M61" s="793">
        <v>0</v>
      </c>
      <c r="N61" s="793">
        <v>0</v>
      </c>
      <c r="O61" s="793">
        <v>138</v>
      </c>
      <c r="P61" s="793">
        <v>194</v>
      </c>
      <c r="Q61" s="793">
        <v>15</v>
      </c>
      <c r="R61" s="793">
        <v>0</v>
      </c>
      <c r="S61" s="793">
        <v>800</v>
      </c>
      <c r="T61" s="793">
        <v>2700</v>
      </c>
      <c r="U61" s="972">
        <v>1000</v>
      </c>
      <c r="V61" s="971">
        <v>0</v>
      </c>
      <c r="W61" s="971">
        <v>0</v>
      </c>
      <c r="X61" s="971">
        <v>0</v>
      </c>
      <c r="Y61" s="971">
        <v>0</v>
      </c>
      <c r="Z61" s="971">
        <v>0</v>
      </c>
      <c r="AA61" s="971">
        <v>0</v>
      </c>
      <c r="AB61" s="793"/>
    </row>
    <row r="62" spans="1:28" s="776" customFormat="1">
      <c r="A62" s="242"/>
      <c r="B62" s="242" t="s">
        <v>337</v>
      </c>
      <c r="C62" s="242"/>
      <c r="D62" s="242"/>
      <c r="E62" s="242"/>
      <c r="F62" s="793">
        <v>99952</v>
      </c>
      <c r="G62" s="793">
        <v>29393</v>
      </c>
      <c r="H62" s="793">
        <v>142479</v>
      </c>
      <c r="I62" s="793">
        <v>0</v>
      </c>
      <c r="J62" s="793">
        <v>0</v>
      </c>
      <c r="K62" s="793">
        <v>0</v>
      </c>
      <c r="L62" s="793">
        <v>0</v>
      </c>
      <c r="M62" s="793">
        <v>0</v>
      </c>
      <c r="N62" s="793">
        <v>0</v>
      </c>
      <c r="O62" s="793">
        <v>0</v>
      </c>
      <c r="P62" s="793">
        <v>0</v>
      </c>
      <c r="Q62" s="793">
        <v>0</v>
      </c>
      <c r="R62" s="793">
        <v>0</v>
      </c>
      <c r="S62" s="793">
        <v>0</v>
      </c>
      <c r="T62" s="793">
        <v>0</v>
      </c>
      <c r="U62" s="793">
        <v>0</v>
      </c>
      <c r="V62" s="793">
        <v>0</v>
      </c>
      <c r="W62" s="793">
        <v>0</v>
      </c>
      <c r="X62" s="793">
        <v>0</v>
      </c>
      <c r="Y62" s="793">
        <v>0</v>
      </c>
      <c r="Z62" s="793">
        <v>0</v>
      </c>
      <c r="AA62" s="793">
        <v>0</v>
      </c>
      <c r="AB62" s="793"/>
    </row>
    <row r="63" spans="1:28" s="776" customFormat="1">
      <c r="A63" s="242"/>
      <c r="B63" s="242" t="s">
        <v>338</v>
      </c>
      <c r="C63" s="242"/>
      <c r="D63" s="242"/>
      <c r="E63" s="242"/>
      <c r="F63" s="892">
        <v>49500</v>
      </c>
      <c r="G63" s="892">
        <v>23198</v>
      </c>
      <c r="H63" s="892">
        <v>378371</v>
      </c>
      <c r="I63" s="892">
        <v>184731</v>
      </c>
      <c r="J63" s="892">
        <v>723098</v>
      </c>
      <c r="K63" s="892">
        <v>158310</v>
      </c>
      <c r="L63" s="892">
        <v>370141</v>
      </c>
      <c r="M63" s="892">
        <v>0</v>
      </c>
      <c r="N63" s="892">
        <v>0</v>
      </c>
      <c r="O63" s="892">
        <v>149808</v>
      </c>
      <c r="P63" s="892">
        <v>123166</v>
      </c>
      <c r="Q63" s="892">
        <v>284417</v>
      </c>
      <c r="R63" s="892">
        <v>298167</v>
      </c>
      <c r="S63" s="892">
        <v>247900</v>
      </c>
      <c r="T63" s="892">
        <v>146700</v>
      </c>
      <c r="U63" s="976">
        <v>133000</v>
      </c>
      <c r="V63" s="976">
        <v>213000</v>
      </c>
      <c r="W63" s="976">
        <v>214000</v>
      </c>
      <c r="X63" s="976">
        <v>170000</v>
      </c>
      <c r="Y63" s="976">
        <v>450000</v>
      </c>
      <c r="Z63" s="976">
        <v>167000</v>
      </c>
      <c r="AA63" s="976">
        <v>88000</v>
      </c>
      <c r="AB63" s="892">
        <v>378000</v>
      </c>
    </row>
    <row r="64" spans="1:28" s="776" customFormat="1">
      <c r="A64" s="242"/>
      <c r="B64" s="242"/>
      <c r="C64" s="242"/>
      <c r="D64" s="242"/>
      <c r="E64" s="242"/>
      <c r="F64" s="793">
        <f t="shared" ref="F64:AB64" si="24">SUM(F50:F63)</f>
        <v>227393</v>
      </c>
      <c r="G64" s="793">
        <f t="shared" si="24"/>
        <v>192419</v>
      </c>
      <c r="H64" s="793">
        <f t="shared" si="24"/>
        <v>785051</v>
      </c>
      <c r="I64" s="793">
        <f t="shared" si="24"/>
        <v>286719</v>
      </c>
      <c r="J64" s="793">
        <f t="shared" si="24"/>
        <v>928807</v>
      </c>
      <c r="K64" s="793">
        <f t="shared" si="24"/>
        <v>415546</v>
      </c>
      <c r="L64" s="793">
        <f t="shared" si="24"/>
        <v>671359</v>
      </c>
      <c r="M64" s="793">
        <f t="shared" si="24"/>
        <v>195221</v>
      </c>
      <c r="N64" s="793">
        <f t="shared" si="24"/>
        <v>220853</v>
      </c>
      <c r="O64" s="793">
        <f t="shared" si="24"/>
        <v>813904</v>
      </c>
      <c r="P64" s="793">
        <f t="shared" si="24"/>
        <v>411160</v>
      </c>
      <c r="Q64" s="793">
        <f t="shared" si="24"/>
        <v>624644</v>
      </c>
      <c r="R64" s="793">
        <f t="shared" si="24"/>
        <v>694322</v>
      </c>
      <c r="S64" s="793">
        <f t="shared" si="24"/>
        <v>619000</v>
      </c>
      <c r="T64" s="793">
        <f t="shared" si="24"/>
        <v>546000</v>
      </c>
      <c r="U64" s="793">
        <f t="shared" si="24"/>
        <v>478000</v>
      </c>
      <c r="V64" s="793">
        <f t="shared" si="24"/>
        <v>486000</v>
      </c>
      <c r="W64" s="793">
        <f t="shared" si="24"/>
        <v>550000</v>
      </c>
      <c r="X64" s="793">
        <f t="shared" si="24"/>
        <v>589000</v>
      </c>
      <c r="Y64" s="793">
        <f t="shared" si="24"/>
        <v>858000</v>
      </c>
      <c r="Z64" s="971">
        <f t="shared" si="24"/>
        <v>645000</v>
      </c>
      <c r="AA64" s="971">
        <f t="shared" si="24"/>
        <v>689000</v>
      </c>
      <c r="AB64" s="793">
        <f t="shared" si="24"/>
        <v>1096000</v>
      </c>
    </row>
    <row r="65" spans="1:28" s="776" customFormat="1">
      <c r="A65" s="242"/>
      <c r="B65" s="242"/>
      <c r="C65" s="242"/>
      <c r="D65" s="242"/>
      <c r="E65" s="242"/>
      <c r="F65" s="793"/>
      <c r="G65" s="793"/>
      <c r="H65" s="793"/>
      <c r="I65" s="793"/>
      <c r="J65" s="793"/>
      <c r="K65" s="793"/>
      <c r="L65" s="793"/>
      <c r="M65" s="793"/>
      <c r="N65" s="793"/>
      <c r="O65" s="793"/>
      <c r="P65" s="793"/>
      <c r="Q65" s="793"/>
      <c r="R65" s="793"/>
      <c r="S65" s="793"/>
      <c r="T65" s="793"/>
      <c r="U65" s="793"/>
      <c r="V65" s="793"/>
      <c r="W65" s="793"/>
      <c r="X65" s="793"/>
      <c r="Y65" s="793"/>
      <c r="Z65" s="971"/>
      <c r="AA65" s="971"/>
      <c r="AB65" s="793"/>
    </row>
    <row r="66" spans="1:28" s="776" customFormat="1">
      <c r="A66" s="242"/>
      <c r="B66" s="242" t="s">
        <v>10</v>
      </c>
      <c r="C66" s="242"/>
      <c r="D66" s="242"/>
      <c r="E66" s="242"/>
      <c r="F66" s="793">
        <v>5014</v>
      </c>
      <c r="G66" s="793">
        <v>28728</v>
      </c>
      <c r="H66" s="793">
        <v>66401</v>
      </c>
      <c r="I66" s="793">
        <v>92031</v>
      </c>
      <c r="J66" s="793">
        <v>138871</v>
      </c>
      <c r="K66" s="793">
        <v>145260</v>
      </c>
      <c r="L66" s="793">
        <v>179168</v>
      </c>
      <c r="M66" s="793">
        <f>152089+818870</f>
        <v>970959</v>
      </c>
      <c r="N66" s="793">
        <v>1331772</v>
      </c>
      <c r="O66" s="793">
        <v>1329478</v>
      </c>
      <c r="P66" s="793">
        <v>1301231</v>
      </c>
      <c r="Q66" s="793">
        <v>1559507</v>
      </c>
      <c r="R66" s="793">
        <v>1412330</v>
      </c>
      <c r="S66" s="793">
        <v>1444200</v>
      </c>
      <c r="T66" s="793">
        <v>1364200</v>
      </c>
      <c r="U66" s="971">
        <v>1350000</v>
      </c>
      <c r="V66" s="971">
        <v>1400000</v>
      </c>
      <c r="W66" s="971">
        <v>1617000</v>
      </c>
      <c r="X66" s="971">
        <v>1715000</v>
      </c>
      <c r="Y66" s="971">
        <v>1683000</v>
      </c>
      <c r="Z66" s="971">
        <v>1968000</v>
      </c>
      <c r="AA66" s="971">
        <v>1850000</v>
      </c>
      <c r="AB66" s="793">
        <v>1940000</v>
      </c>
    </row>
    <row r="67" spans="1:28" s="776" customFormat="1">
      <c r="A67" s="242"/>
      <c r="B67" s="242" t="s">
        <v>334</v>
      </c>
      <c r="C67" s="242"/>
      <c r="D67" s="242"/>
      <c r="E67" s="242"/>
      <c r="F67" s="793">
        <v>0</v>
      </c>
      <c r="G67" s="793">
        <v>0</v>
      </c>
      <c r="H67" s="793">
        <v>0</v>
      </c>
      <c r="I67" s="793">
        <v>0</v>
      </c>
      <c r="J67" s="793">
        <v>0</v>
      </c>
      <c r="K67" s="793">
        <v>0</v>
      </c>
      <c r="L67" s="793">
        <v>0</v>
      </c>
      <c r="M67" s="793">
        <v>0</v>
      </c>
      <c r="N67" s="793">
        <v>0</v>
      </c>
      <c r="O67" s="793">
        <v>0</v>
      </c>
      <c r="P67" s="793">
        <v>0</v>
      </c>
      <c r="Q67" s="793">
        <v>0</v>
      </c>
      <c r="R67" s="793">
        <v>0</v>
      </c>
      <c r="S67" s="793">
        <v>0</v>
      </c>
      <c r="T67" s="793">
        <v>0</v>
      </c>
      <c r="U67" s="971">
        <v>7000</v>
      </c>
      <c r="V67" s="971">
        <v>8000</v>
      </c>
      <c r="W67" s="971">
        <v>8000</v>
      </c>
      <c r="X67" s="971">
        <v>9000</v>
      </c>
      <c r="Y67" s="971">
        <v>9000</v>
      </c>
      <c r="Z67" s="971">
        <v>9000</v>
      </c>
      <c r="AA67" s="971">
        <v>17000</v>
      </c>
      <c r="AB67" s="793">
        <v>23000</v>
      </c>
    </row>
    <row r="68" spans="1:28" s="776" customFormat="1">
      <c r="A68" s="242"/>
      <c r="B68" s="242" t="s">
        <v>313</v>
      </c>
      <c r="C68" s="242"/>
      <c r="D68" s="242"/>
      <c r="E68" s="242"/>
      <c r="F68" s="793">
        <f>'3_Fin-Stat'!F319</f>
        <v>0</v>
      </c>
      <c r="G68" s="793">
        <f>'3_Fin-Stat'!G319</f>
        <v>0</v>
      </c>
      <c r="H68" s="793">
        <f>'3_Fin-Stat'!H319</f>
        <v>0</v>
      </c>
      <c r="I68" s="793">
        <f>'3_Fin-Stat'!I319</f>
        <v>0</v>
      </c>
      <c r="J68" s="793">
        <f>'3_Fin-Stat'!J319</f>
        <v>0</v>
      </c>
      <c r="K68" s="793">
        <f>'3_Fin-Stat'!K319</f>
        <v>0</v>
      </c>
      <c r="L68" s="793">
        <f>'3_Fin-Stat'!L319</f>
        <v>0</v>
      </c>
      <c r="M68" s="943">
        <f>'3_Working IFRS'!L205</f>
        <v>21004</v>
      </c>
      <c r="N68" s="793">
        <f>'3_Fin-Stat'!N319</f>
        <v>124669</v>
      </c>
      <c r="O68" s="793">
        <f>'3_Fin-Stat'!O319</f>
        <v>56448</v>
      </c>
      <c r="P68" s="793">
        <f>'3_Fin-Stat'!P319</f>
        <v>52054</v>
      </c>
      <c r="Q68" s="793">
        <f>'3_Fin-Stat'!Q319</f>
        <v>84752</v>
      </c>
      <c r="R68" s="793">
        <f>'3_Fin-Stat'!R319</f>
        <v>111076</v>
      </c>
      <c r="S68" s="793">
        <f>'3_Fin-Stat'!S319</f>
        <v>203400</v>
      </c>
      <c r="T68" s="793">
        <f>'3_Fin-Stat'!T319</f>
        <v>99000</v>
      </c>
      <c r="U68" s="793">
        <f>'3_Fin-Stat'!U319</f>
        <v>113000</v>
      </c>
      <c r="V68" s="793">
        <f>'3_Fin-Stat'!V319-1000</f>
        <v>0</v>
      </c>
      <c r="W68" s="793">
        <f>'3_Fin-Stat'!W319-1000</f>
        <v>165000</v>
      </c>
      <c r="X68" s="793">
        <f>'3_Fin-Stat'!X319-1000</f>
        <v>113000</v>
      </c>
      <c r="Y68" s="793">
        <f>'3_Fin-Stat'!Y319</f>
        <v>114000</v>
      </c>
      <c r="Z68" s="793">
        <f>'3_Fin-Stat'!Z319</f>
        <v>184000</v>
      </c>
      <c r="AA68" s="793">
        <f>'3_Fin-Stat'!AA319</f>
        <v>238000</v>
      </c>
      <c r="AB68" s="793">
        <f>'3_Fin-Stat'!AB319</f>
        <v>145000</v>
      </c>
    </row>
    <row r="69" spans="1:28" s="776" customFormat="1">
      <c r="A69" s="242"/>
      <c r="B69" s="242" t="s">
        <v>339</v>
      </c>
      <c r="C69" s="242"/>
      <c r="D69" s="242"/>
      <c r="E69" s="242"/>
      <c r="F69" s="793">
        <v>0</v>
      </c>
      <c r="G69" s="793">
        <v>0</v>
      </c>
      <c r="H69" s="793">
        <v>0</v>
      </c>
      <c r="I69" s="793">
        <v>0</v>
      </c>
      <c r="J69" s="793">
        <v>0</v>
      </c>
      <c r="K69" s="793">
        <v>0</v>
      </c>
      <c r="L69" s="793">
        <v>0</v>
      </c>
      <c r="M69" s="793">
        <v>0</v>
      </c>
      <c r="N69" s="793">
        <v>0</v>
      </c>
      <c r="O69" s="793">
        <v>0</v>
      </c>
      <c r="P69" s="793">
        <v>0</v>
      </c>
      <c r="Q69" s="793">
        <v>52954</v>
      </c>
      <c r="R69" s="793">
        <v>35564</v>
      </c>
      <c r="S69" s="793">
        <v>22800</v>
      </c>
      <c r="T69" s="793">
        <v>6700</v>
      </c>
      <c r="U69" s="971">
        <v>1000</v>
      </c>
      <c r="V69" s="971">
        <v>12000</v>
      </c>
      <c r="W69" s="971">
        <v>100000</v>
      </c>
      <c r="X69" s="971">
        <v>93000</v>
      </c>
      <c r="Y69" s="971">
        <v>75000</v>
      </c>
      <c r="Z69" s="971">
        <v>60000</v>
      </c>
      <c r="AA69" s="971">
        <v>49000</v>
      </c>
      <c r="AB69" s="793">
        <v>40000</v>
      </c>
    </row>
    <row r="70" spans="1:28" s="776" customFormat="1">
      <c r="A70" s="242"/>
      <c r="B70" s="242" t="s">
        <v>340</v>
      </c>
      <c r="C70" s="242"/>
      <c r="D70" s="242"/>
      <c r="E70" s="242"/>
      <c r="F70" s="793">
        <v>0</v>
      </c>
      <c r="G70" s="793">
        <v>0</v>
      </c>
      <c r="H70" s="793">
        <v>0</v>
      </c>
      <c r="I70" s="793">
        <v>0</v>
      </c>
      <c r="J70" s="793">
        <v>6245</v>
      </c>
      <c r="K70" s="793">
        <v>6576</v>
      </c>
      <c r="L70" s="793">
        <v>7193</v>
      </c>
      <c r="M70" s="793">
        <v>0</v>
      </c>
      <c r="N70" s="793">
        <v>0</v>
      </c>
      <c r="O70" s="793">
        <v>0</v>
      </c>
      <c r="P70" s="793">
        <v>0</v>
      </c>
      <c r="Q70" s="793">
        <v>0</v>
      </c>
      <c r="R70" s="793">
        <v>0</v>
      </c>
      <c r="S70" s="793">
        <v>0</v>
      </c>
      <c r="T70" s="793">
        <v>0</v>
      </c>
      <c r="U70" s="971">
        <v>48000</v>
      </c>
      <c r="V70" s="971">
        <v>51000</v>
      </c>
      <c r="W70" s="971">
        <v>47000</v>
      </c>
      <c r="X70" s="971">
        <v>46000</v>
      </c>
      <c r="Y70" s="971">
        <v>47000</v>
      </c>
      <c r="Z70" s="971">
        <v>31000</v>
      </c>
      <c r="AA70" s="971">
        <v>97000</v>
      </c>
      <c r="AB70" s="793">
        <v>90000</v>
      </c>
    </row>
    <row r="71" spans="1:28" s="776" customFormat="1">
      <c r="A71" s="242"/>
      <c r="B71" s="242" t="s">
        <v>341</v>
      </c>
      <c r="C71" s="242"/>
      <c r="D71" s="242"/>
      <c r="E71" s="242"/>
      <c r="F71" s="892">
        <v>477911</v>
      </c>
      <c r="G71" s="892">
        <v>464554</v>
      </c>
      <c r="H71" s="892">
        <v>180444</v>
      </c>
      <c r="I71" s="892">
        <v>591498</v>
      </c>
      <c r="J71" s="892">
        <v>653178</v>
      </c>
      <c r="K71" s="892">
        <v>1176566</v>
      </c>
      <c r="L71" s="892">
        <f>1021825</f>
        <v>1021825</v>
      </c>
      <c r="M71" s="944">
        <f>754649+'3_Working IFRS'!L208</f>
        <v>760194</v>
      </c>
      <c r="N71" s="892">
        <v>629707</v>
      </c>
      <c r="O71" s="892">
        <v>793226</v>
      </c>
      <c r="P71" s="892">
        <v>1128695</v>
      </c>
      <c r="Q71" s="892">
        <v>1323058</v>
      </c>
      <c r="R71" s="892">
        <v>1275379</v>
      </c>
      <c r="S71" s="892">
        <v>1577700</v>
      </c>
      <c r="T71" s="892">
        <v>1033500</v>
      </c>
      <c r="U71" s="976">
        <v>959000</v>
      </c>
      <c r="V71" s="976">
        <v>863000</v>
      </c>
      <c r="W71" s="976">
        <v>1000000</v>
      </c>
      <c r="X71" s="976">
        <v>1022000</v>
      </c>
      <c r="Y71" s="976">
        <v>1023000</v>
      </c>
      <c r="Z71" s="976">
        <v>1303000</v>
      </c>
      <c r="AA71" s="976">
        <v>1600000</v>
      </c>
      <c r="AB71" s="892">
        <v>1298000</v>
      </c>
    </row>
    <row r="72" spans="1:28" s="776" customFormat="1">
      <c r="A72" s="242"/>
      <c r="B72" s="242"/>
      <c r="C72" s="242"/>
      <c r="D72" s="242"/>
      <c r="E72" s="242"/>
      <c r="F72" s="793">
        <f t="shared" ref="F72:AB72" si="25">SUM(F66:F71)</f>
        <v>482925</v>
      </c>
      <c r="G72" s="793">
        <f t="shared" si="25"/>
        <v>493282</v>
      </c>
      <c r="H72" s="793">
        <f t="shared" si="25"/>
        <v>246845</v>
      </c>
      <c r="I72" s="793">
        <f t="shared" si="25"/>
        <v>683529</v>
      </c>
      <c r="J72" s="793">
        <f t="shared" si="25"/>
        <v>798294</v>
      </c>
      <c r="K72" s="793">
        <f t="shared" si="25"/>
        <v>1328402</v>
      </c>
      <c r="L72" s="793">
        <f t="shared" si="25"/>
        <v>1208186</v>
      </c>
      <c r="M72" s="793">
        <f t="shared" si="25"/>
        <v>1752157</v>
      </c>
      <c r="N72" s="793">
        <f t="shared" si="25"/>
        <v>2086148</v>
      </c>
      <c r="O72" s="793">
        <f t="shared" si="25"/>
        <v>2179152</v>
      </c>
      <c r="P72" s="793">
        <f t="shared" si="25"/>
        <v>2481980</v>
      </c>
      <c r="Q72" s="793">
        <f t="shared" si="25"/>
        <v>3020271</v>
      </c>
      <c r="R72" s="793">
        <f t="shared" si="25"/>
        <v>2834349</v>
      </c>
      <c r="S72" s="793">
        <f t="shared" si="25"/>
        <v>3248100</v>
      </c>
      <c r="T72" s="793">
        <f t="shared" si="25"/>
        <v>2503400</v>
      </c>
      <c r="U72" s="793">
        <f t="shared" si="25"/>
        <v>2478000</v>
      </c>
      <c r="V72" s="793">
        <f t="shared" si="25"/>
        <v>2334000</v>
      </c>
      <c r="W72" s="793">
        <f t="shared" si="25"/>
        <v>2937000</v>
      </c>
      <c r="X72" s="793">
        <f t="shared" si="25"/>
        <v>2998000</v>
      </c>
      <c r="Y72" s="793">
        <f t="shared" si="25"/>
        <v>2951000</v>
      </c>
      <c r="Z72" s="971">
        <f t="shared" si="25"/>
        <v>3555000</v>
      </c>
      <c r="AA72" s="971">
        <f t="shared" si="25"/>
        <v>3851000</v>
      </c>
      <c r="AB72" s="793">
        <f t="shared" si="25"/>
        <v>3536000</v>
      </c>
    </row>
    <row r="73" spans="1:28" s="776" customFormat="1">
      <c r="A73" s="242"/>
      <c r="B73" s="242"/>
      <c r="C73" s="242"/>
      <c r="D73" s="242"/>
      <c r="E73" s="242"/>
      <c r="F73" s="793"/>
      <c r="G73" s="793"/>
      <c r="H73" s="793"/>
      <c r="I73" s="793"/>
      <c r="J73" s="793"/>
      <c r="K73" s="793"/>
      <c r="L73" s="793"/>
      <c r="M73" s="793"/>
      <c r="N73" s="793"/>
      <c r="O73" s="793"/>
      <c r="P73" s="793"/>
      <c r="Q73" s="793"/>
      <c r="R73" s="793"/>
      <c r="S73" s="793"/>
      <c r="T73" s="793"/>
      <c r="U73" s="793"/>
      <c r="V73" s="793"/>
      <c r="W73" s="793"/>
      <c r="X73" s="793"/>
      <c r="Y73" s="793"/>
      <c r="Z73" s="971"/>
      <c r="AA73" s="971"/>
      <c r="AB73" s="793"/>
    </row>
    <row r="74" spans="1:28" s="776" customFormat="1">
      <c r="A74" s="242"/>
      <c r="B74" s="242" t="s">
        <v>342</v>
      </c>
      <c r="C74" s="242"/>
      <c r="D74" s="242"/>
      <c r="E74" s="242"/>
      <c r="F74" s="793">
        <v>1600000</v>
      </c>
      <c r="G74" s="793">
        <v>1600000</v>
      </c>
      <c r="H74" s="793">
        <v>1600000</v>
      </c>
      <c r="I74" s="793">
        <f>H74</f>
        <v>1600000</v>
      </c>
      <c r="J74" s="793">
        <v>1600000</v>
      </c>
      <c r="K74" s="793">
        <v>1600000</v>
      </c>
      <c r="L74" s="793">
        <v>1600000</v>
      </c>
      <c r="M74" s="793">
        <v>1600000</v>
      </c>
      <c r="N74" s="793">
        <v>1600000</v>
      </c>
      <c r="O74" s="793">
        <v>1600000</v>
      </c>
      <c r="P74" s="793">
        <v>1600000</v>
      </c>
      <c r="Q74" s="793">
        <v>1600000</v>
      </c>
      <c r="R74" s="793">
        <v>1600000</v>
      </c>
      <c r="S74" s="793">
        <v>1600000</v>
      </c>
      <c r="T74" s="793">
        <v>1600000</v>
      </c>
      <c r="U74" s="793">
        <v>1599000</v>
      </c>
      <c r="V74" s="793">
        <v>1597000</v>
      </c>
      <c r="W74" s="793">
        <v>1597000</v>
      </c>
      <c r="X74" s="793">
        <v>1598000</v>
      </c>
      <c r="Y74" s="793">
        <v>1598000</v>
      </c>
      <c r="Z74" s="971">
        <v>1599000</v>
      </c>
      <c r="AA74" s="971">
        <v>1598000</v>
      </c>
      <c r="AB74" s="971">
        <v>1595000</v>
      </c>
    </row>
    <row r="75" spans="1:28" s="776" customFormat="1">
      <c r="A75" s="242"/>
      <c r="B75" s="242" t="s">
        <v>343</v>
      </c>
      <c r="C75" s="242"/>
      <c r="D75" s="242"/>
      <c r="E75" s="242"/>
      <c r="F75" s="793">
        <v>0</v>
      </c>
      <c r="G75" s="793">
        <v>77813</v>
      </c>
      <c r="H75" s="793">
        <v>77813</v>
      </c>
      <c r="I75" s="793">
        <v>77802</v>
      </c>
      <c r="J75" s="793">
        <v>677802</v>
      </c>
      <c r="K75" s="793">
        <v>677802</v>
      </c>
      <c r="L75" s="793">
        <v>677802</v>
      </c>
      <c r="M75" s="793">
        <f>2476890-824177</f>
        <v>1652713</v>
      </c>
      <c r="N75" s="793">
        <v>2746509</v>
      </c>
      <c r="O75" s="793">
        <v>2737795</v>
      </c>
      <c r="P75" s="793">
        <v>2737092</v>
      </c>
      <c r="Q75" s="793">
        <v>3686651</v>
      </c>
      <c r="R75" s="793">
        <v>3392516</v>
      </c>
      <c r="S75" s="793">
        <v>3418000</v>
      </c>
      <c r="T75" s="793">
        <v>3073900</v>
      </c>
      <c r="U75" s="793">
        <v>3074000</v>
      </c>
      <c r="V75" s="793">
        <v>3311000</v>
      </c>
      <c r="W75" s="793">
        <v>3941000</v>
      </c>
      <c r="X75" s="793">
        <v>4249000</v>
      </c>
      <c r="Y75" s="793">
        <v>4249000</v>
      </c>
      <c r="Z75" s="971">
        <v>5068000</v>
      </c>
      <c r="AA75" s="971">
        <v>5053000</v>
      </c>
      <c r="AB75" s="971">
        <v>5198000</v>
      </c>
    </row>
    <row r="76" spans="1:28" s="776" customFormat="1">
      <c r="A76" s="242"/>
      <c r="B76" s="242" t="s">
        <v>344</v>
      </c>
      <c r="C76" s="242"/>
      <c r="D76" s="242"/>
      <c r="E76" s="242"/>
      <c r="F76" s="793">
        <v>0</v>
      </c>
      <c r="G76" s="793">
        <v>0</v>
      </c>
      <c r="H76" s="793">
        <v>0</v>
      </c>
      <c r="I76" s="793">
        <v>0</v>
      </c>
      <c r="J76" s="793">
        <v>0</v>
      </c>
      <c r="K76" s="793">
        <v>0</v>
      </c>
      <c r="L76" s="793">
        <v>0</v>
      </c>
      <c r="M76" s="793">
        <v>0</v>
      </c>
      <c r="N76" s="793">
        <v>0</v>
      </c>
      <c r="O76" s="793">
        <v>0</v>
      </c>
      <c r="P76" s="793">
        <v>0</v>
      </c>
      <c r="Q76" s="793">
        <v>0</v>
      </c>
      <c r="R76" s="793">
        <v>0</v>
      </c>
      <c r="S76" s="793">
        <v>0</v>
      </c>
      <c r="T76" s="793">
        <v>0</v>
      </c>
      <c r="U76" s="793">
        <v>0</v>
      </c>
      <c r="V76" s="793">
        <v>1000</v>
      </c>
      <c r="W76" s="793">
        <v>1000</v>
      </c>
      <c r="X76" s="793">
        <v>1000</v>
      </c>
      <c r="Y76" s="793">
        <v>1000</v>
      </c>
      <c r="Z76" s="793">
        <v>1000</v>
      </c>
      <c r="AA76" s="971">
        <v>1000</v>
      </c>
      <c r="AB76" s="971">
        <v>1000</v>
      </c>
    </row>
    <row r="77" spans="1:28" s="776" customFormat="1">
      <c r="A77" s="242"/>
      <c r="B77" s="242" t="s">
        <v>345</v>
      </c>
      <c r="C77" s="242"/>
      <c r="D77" s="242"/>
      <c r="E77" s="242"/>
      <c r="F77" s="793">
        <v>0</v>
      </c>
      <c r="G77" s="793">
        <v>0</v>
      </c>
      <c r="H77" s="793">
        <v>1387</v>
      </c>
      <c r="I77" s="793">
        <f>-8957+H77</f>
        <v>-7570</v>
      </c>
      <c r="J77" s="793">
        <f>5471+I77</f>
        <v>-2099</v>
      </c>
      <c r="K77" s="793">
        <v>-15627</v>
      </c>
      <c r="L77" s="793">
        <v>-17724</v>
      </c>
      <c r="M77" s="793">
        <v>6</v>
      </c>
      <c r="N77" s="793">
        <v>4</v>
      </c>
      <c r="O77" s="793">
        <v>85</v>
      </c>
      <c r="P77" s="793">
        <v>340</v>
      </c>
      <c r="Q77" s="793">
        <v>-2720</v>
      </c>
      <c r="R77" s="793">
        <v>-655</v>
      </c>
      <c r="S77" s="793">
        <v>-1700</v>
      </c>
      <c r="T77" s="793">
        <v>-13200</v>
      </c>
      <c r="U77" s="793">
        <v>-23000</v>
      </c>
      <c r="V77" s="793">
        <v>-5000</v>
      </c>
      <c r="W77" s="793">
        <v>-28000</v>
      </c>
      <c r="X77" s="793">
        <v>-27000</v>
      </c>
      <c r="Y77" s="793">
        <v>-16000</v>
      </c>
      <c r="Z77" s="793">
        <v>-37000</v>
      </c>
      <c r="AA77" s="793">
        <v>-26000</v>
      </c>
      <c r="AB77" s="793">
        <v>-24000</v>
      </c>
    </row>
    <row r="78" spans="1:28" s="776" customFormat="1">
      <c r="A78" s="242"/>
      <c r="B78" s="242" t="s">
        <v>346</v>
      </c>
      <c r="C78" s="242"/>
      <c r="D78" s="242"/>
      <c r="E78" s="242"/>
      <c r="F78" s="793">
        <v>0</v>
      </c>
      <c r="G78" s="793">
        <v>0</v>
      </c>
      <c r="H78" s="793">
        <v>0</v>
      </c>
      <c r="I78" s="793">
        <v>0</v>
      </c>
      <c r="J78" s="793">
        <v>0</v>
      </c>
      <c r="K78" s="793">
        <v>0</v>
      </c>
      <c r="L78" s="793">
        <v>0</v>
      </c>
      <c r="M78" s="793">
        <v>14891</v>
      </c>
      <c r="N78" s="793">
        <v>2316</v>
      </c>
      <c r="O78" s="793">
        <v>-24352</v>
      </c>
      <c r="P78" s="793">
        <v>-5525</v>
      </c>
      <c r="Q78" s="793">
        <v>659</v>
      </c>
      <c r="R78" s="793">
        <v>-217</v>
      </c>
      <c r="S78" s="793">
        <v>-41800</v>
      </c>
      <c r="T78" s="793">
        <v>8900</v>
      </c>
      <c r="U78" s="793">
        <v>-1000</v>
      </c>
      <c r="V78" s="793">
        <v>-3000</v>
      </c>
      <c r="W78" s="793">
        <v>-3000</v>
      </c>
      <c r="X78" s="793">
        <v>-1000</v>
      </c>
      <c r="Y78" s="793">
        <v>1000</v>
      </c>
      <c r="Z78" s="793">
        <v>-3000</v>
      </c>
      <c r="AA78" s="793">
        <v>-2000</v>
      </c>
      <c r="AB78" s="793">
        <v>2000</v>
      </c>
    </row>
    <row r="79" spans="1:28" s="776" customFormat="1">
      <c r="A79" s="242"/>
      <c r="B79" s="242" t="s">
        <v>347</v>
      </c>
      <c r="C79" s="242"/>
      <c r="D79" s="242"/>
      <c r="E79" s="242"/>
      <c r="F79" s="793">
        <v>0</v>
      </c>
      <c r="G79" s="793">
        <v>0</v>
      </c>
      <c r="H79" s="793">
        <v>0</v>
      </c>
      <c r="I79" s="793">
        <v>0</v>
      </c>
      <c r="J79" s="793">
        <v>0</v>
      </c>
      <c r="K79" s="793">
        <v>0</v>
      </c>
      <c r="L79" s="793">
        <v>0</v>
      </c>
      <c r="M79" s="793">
        <v>1065</v>
      </c>
      <c r="N79" s="793">
        <v>1544</v>
      </c>
      <c r="O79" s="793">
        <v>-673</v>
      </c>
      <c r="P79" s="793">
        <v>380</v>
      </c>
      <c r="Q79" s="793">
        <v>387</v>
      </c>
      <c r="R79" s="793">
        <v>162</v>
      </c>
      <c r="S79" s="793">
        <v>0</v>
      </c>
      <c r="T79" s="793">
        <v>1600</v>
      </c>
      <c r="U79" s="793">
        <v>0</v>
      </c>
      <c r="V79" s="793">
        <v>0</v>
      </c>
      <c r="W79" s="793">
        <v>0</v>
      </c>
      <c r="X79" s="793">
        <v>0</v>
      </c>
      <c r="Y79" s="793">
        <v>0</v>
      </c>
      <c r="Z79" s="793">
        <v>0</v>
      </c>
      <c r="AA79" s="793">
        <v>0</v>
      </c>
      <c r="AB79" s="793">
        <v>0</v>
      </c>
    </row>
    <row r="80" spans="1:28" s="776" customFormat="1">
      <c r="A80" s="242"/>
      <c r="B80" s="242" t="s">
        <v>348</v>
      </c>
      <c r="C80" s="242"/>
      <c r="D80" s="242"/>
      <c r="E80" s="242"/>
      <c r="F80" s="892">
        <v>-38645</v>
      </c>
      <c r="G80" s="892">
        <v>-4662</v>
      </c>
      <c r="H80" s="892">
        <v>-61041</v>
      </c>
      <c r="I80" s="892">
        <v>-7985</v>
      </c>
      <c r="J80" s="892">
        <v>24099</v>
      </c>
      <c r="K80" s="892">
        <v>139604</v>
      </c>
      <c r="L80" s="892">
        <v>209002</v>
      </c>
      <c r="M80" s="892">
        <v>169389</v>
      </c>
      <c r="N80" s="892">
        <v>39807</v>
      </c>
      <c r="O80" s="892">
        <v>-111560</v>
      </c>
      <c r="P80" s="892">
        <v>-50648</v>
      </c>
      <c r="Q80" s="892">
        <v>-215998</v>
      </c>
      <c r="R80" s="892">
        <v>-61402</v>
      </c>
      <c r="S80" s="892">
        <v>-148800</v>
      </c>
      <c r="T80" s="892">
        <v>16800</v>
      </c>
      <c r="U80" s="892">
        <v>-15000</v>
      </c>
      <c r="V80" s="892">
        <v>-153000</v>
      </c>
      <c r="W80" s="892">
        <v>-458000</v>
      </c>
      <c r="X80" s="892">
        <v>-725000</v>
      </c>
      <c r="Y80" s="892">
        <v>-1010000</v>
      </c>
      <c r="Z80" s="892">
        <v>-1171000</v>
      </c>
      <c r="AA80" s="892">
        <v>-1541000</v>
      </c>
      <c r="AB80" s="892">
        <v>-1548000</v>
      </c>
    </row>
    <row r="81" spans="1:28" s="776" customFormat="1">
      <c r="A81" s="242"/>
      <c r="B81" s="242" t="s">
        <v>349</v>
      </c>
      <c r="C81" s="242"/>
      <c r="D81" s="242"/>
      <c r="E81" s="242"/>
      <c r="F81" s="793">
        <f t="shared" ref="F81:AA81" si="26">SUM(F74:F80)</f>
        <v>1561355</v>
      </c>
      <c r="G81" s="793">
        <f t="shared" si="26"/>
        <v>1673151</v>
      </c>
      <c r="H81" s="793">
        <f t="shared" si="26"/>
        <v>1618159</v>
      </c>
      <c r="I81" s="793">
        <f t="shared" si="26"/>
        <v>1662247</v>
      </c>
      <c r="J81" s="793">
        <f t="shared" si="26"/>
        <v>2299802</v>
      </c>
      <c r="K81" s="793">
        <f t="shared" si="26"/>
        <v>2401779</v>
      </c>
      <c r="L81" s="793">
        <f t="shared" si="26"/>
        <v>2469080</v>
      </c>
      <c r="M81" s="793">
        <f t="shared" si="26"/>
        <v>3438064</v>
      </c>
      <c r="N81" s="793">
        <f t="shared" si="26"/>
        <v>4390180</v>
      </c>
      <c r="O81" s="793">
        <f t="shared" si="26"/>
        <v>4201295</v>
      </c>
      <c r="P81" s="793">
        <f t="shared" si="26"/>
        <v>4281639</v>
      </c>
      <c r="Q81" s="793">
        <f t="shared" si="26"/>
        <v>5068979</v>
      </c>
      <c r="R81" s="793">
        <f t="shared" si="26"/>
        <v>4930404</v>
      </c>
      <c r="S81" s="793">
        <f t="shared" si="26"/>
        <v>4825700</v>
      </c>
      <c r="T81" s="793">
        <f t="shared" si="26"/>
        <v>4688000</v>
      </c>
      <c r="U81" s="972">
        <f t="shared" si="26"/>
        <v>4634000</v>
      </c>
      <c r="V81" s="972">
        <f t="shared" si="26"/>
        <v>4748000</v>
      </c>
      <c r="W81" s="972">
        <f t="shared" si="26"/>
        <v>5050000</v>
      </c>
      <c r="X81" s="793">
        <f t="shared" si="26"/>
        <v>5095000</v>
      </c>
      <c r="Y81" s="793">
        <f t="shared" si="26"/>
        <v>4823000</v>
      </c>
      <c r="Z81" s="793">
        <f t="shared" si="26"/>
        <v>5457000</v>
      </c>
      <c r="AA81" s="793">
        <f t="shared" si="26"/>
        <v>5083000</v>
      </c>
      <c r="AB81" s="793">
        <f t="shared" ref="AB81" si="27">SUM(AB74:AB80)</f>
        <v>5224000</v>
      </c>
    </row>
    <row r="82" spans="1:28" s="776" customFormat="1">
      <c r="A82" s="242"/>
      <c r="B82" s="242" t="s">
        <v>350</v>
      </c>
      <c r="C82" s="242"/>
      <c r="D82" s="242"/>
      <c r="E82" s="242"/>
      <c r="F82" s="793">
        <v>0</v>
      </c>
      <c r="G82" s="793">
        <v>0</v>
      </c>
      <c r="H82" s="793">
        <v>0</v>
      </c>
      <c r="I82" s="793">
        <v>0</v>
      </c>
      <c r="J82" s="793">
        <v>0</v>
      </c>
      <c r="K82" s="793">
        <v>0</v>
      </c>
      <c r="L82" s="793">
        <v>0</v>
      </c>
      <c r="M82" s="793">
        <v>0</v>
      </c>
      <c r="N82" s="793">
        <v>11610</v>
      </c>
      <c r="O82" s="793">
        <f>981+2356</f>
        <v>3337</v>
      </c>
      <c r="P82" s="793">
        <v>1410</v>
      </c>
      <c r="Q82" s="793">
        <v>607</v>
      </c>
      <c r="R82" s="793">
        <v>-99</v>
      </c>
      <c r="S82" s="793">
        <v>0</v>
      </c>
      <c r="T82" s="793">
        <v>0</v>
      </c>
      <c r="U82" s="793">
        <v>0</v>
      </c>
      <c r="V82" s="793">
        <v>0</v>
      </c>
      <c r="W82" s="793">
        <v>0</v>
      </c>
      <c r="X82" s="793">
        <v>0</v>
      </c>
      <c r="Y82" s="793">
        <v>0</v>
      </c>
      <c r="Z82" s="793">
        <v>0</v>
      </c>
      <c r="AA82" s="793">
        <v>0</v>
      </c>
      <c r="AB82" s="793">
        <v>0</v>
      </c>
    </row>
    <row r="83" spans="1:28" s="776" customFormat="1">
      <c r="A83" s="242"/>
      <c r="B83" s="242" t="s">
        <v>351</v>
      </c>
      <c r="C83" s="242"/>
      <c r="D83" s="242"/>
      <c r="E83" s="242"/>
      <c r="F83" s="892">
        <v>0</v>
      </c>
      <c r="G83" s="892">
        <v>0</v>
      </c>
      <c r="H83" s="892">
        <v>0</v>
      </c>
      <c r="I83" s="892">
        <v>0</v>
      </c>
      <c r="J83" s="892">
        <v>0</v>
      </c>
      <c r="K83" s="892">
        <v>0</v>
      </c>
      <c r="L83" s="892">
        <v>0</v>
      </c>
      <c r="M83" s="892">
        <v>0</v>
      </c>
      <c r="N83" s="892">
        <v>0</v>
      </c>
      <c r="O83" s="892">
        <v>0</v>
      </c>
      <c r="P83" s="892">
        <v>1079</v>
      </c>
      <c r="Q83" s="892">
        <v>1098</v>
      </c>
      <c r="R83" s="892">
        <v>997</v>
      </c>
      <c r="S83" s="892">
        <v>0</v>
      </c>
      <c r="T83" s="892">
        <v>0</v>
      </c>
      <c r="U83" s="892">
        <v>0</v>
      </c>
      <c r="V83" s="892">
        <v>0</v>
      </c>
      <c r="W83" s="892">
        <v>0</v>
      </c>
      <c r="X83" s="892">
        <v>0</v>
      </c>
      <c r="Y83" s="892">
        <v>0</v>
      </c>
      <c r="Z83" s="892">
        <v>0</v>
      </c>
      <c r="AA83" s="892">
        <v>0</v>
      </c>
      <c r="AB83" s="892">
        <v>0</v>
      </c>
    </row>
    <row r="84" spans="1:28" s="776" customFormat="1">
      <c r="A84" s="242"/>
      <c r="B84" s="242" t="s">
        <v>352</v>
      </c>
      <c r="C84" s="242"/>
      <c r="D84" s="242"/>
      <c r="E84" s="242"/>
      <c r="F84" s="793">
        <f t="shared" ref="F84:AA84" si="28">SUM(F81:F83)</f>
        <v>1561355</v>
      </c>
      <c r="G84" s="793">
        <f t="shared" si="28"/>
        <v>1673151</v>
      </c>
      <c r="H84" s="793">
        <f t="shared" si="28"/>
        <v>1618159</v>
      </c>
      <c r="I84" s="793">
        <f t="shared" si="28"/>
        <v>1662247</v>
      </c>
      <c r="J84" s="793">
        <f t="shared" si="28"/>
        <v>2299802</v>
      </c>
      <c r="K84" s="793">
        <f t="shared" si="28"/>
        <v>2401779</v>
      </c>
      <c r="L84" s="793">
        <f t="shared" si="28"/>
        <v>2469080</v>
      </c>
      <c r="M84" s="793">
        <f t="shared" si="28"/>
        <v>3438064</v>
      </c>
      <c r="N84" s="793">
        <f t="shared" si="28"/>
        <v>4401790</v>
      </c>
      <c r="O84" s="793">
        <f t="shared" si="28"/>
        <v>4204632</v>
      </c>
      <c r="P84" s="793">
        <f t="shared" si="28"/>
        <v>4284128</v>
      </c>
      <c r="Q84" s="793">
        <f t="shared" si="28"/>
        <v>5070684</v>
      </c>
      <c r="R84" s="793">
        <f t="shared" si="28"/>
        <v>4931302</v>
      </c>
      <c r="S84" s="793">
        <f t="shared" si="28"/>
        <v>4825700</v>
      </c>
      <c r="T84" s="793">
        <f t="shared" si="28"/>
        <v>4688000</v>
      </c>
      <c r="U84" s="793">
        <f t="shared" si="28"/>
        <v>4634000</v>
      </c>
      <c r="V84" s="793">
        <f t="shared" si="28"/>
        <v>4748000</v>
      </c>
      <c r="W84" s="793">
        <f t="shared" si="28"/>
        <v>5050000</v>
      </c>
      <c r="X84" s="793">
        <f t="shared" si="28"/>
        <v>5095000</v>
      </c>
      <c r="Y84" s="793">
        <f t="shared" si="28"/>
        <v>4823000</v>
      </c>
      <c r="Z84" s="793">
        <f t="shared" si="28"/>
        <v>5457000</v>
      </c>
      <c r="AA84" s="793">
        <f t="shared" si="28"/>
        <v>5083000</v>
      </c>
      <c r="AB84" s="793">
        <f t="shared" ref="AB84" si="29">SUM(AB81:AB83)</f>
        <v>5224000</v>
      </c>
    </row>
    <row r="85" spans="1:28" s="776" customFormat="1">
      <c r="A85" s="242"/>
      <c r="B85" s="242"/>
      <c r="C85" s="242"/>
      <c r="D85" s="242"/>
      <c r="E85" s="242"/>
      <c r="F85" s="793"/>
      <c r="G85" s="793"/>
      <c r="H85" s="793"/>
      <c r="I85" s="793"/>
      <c r="J85" s="793"/>
      <c r="K85" s="793"/>
      <c r="L85" s="793"/>
      <c r="M85" s="793"/>
      <c r="N85" s="793"/>
      <c r="O85" s="793"/>
      <c r="P85" s="793"/>
      <c r="Q85" s="793"/>
      <c r="R85" s="793"/>
      <c r="S85" s="793"/>
      <c r="T85" s="793"/>
      <c r="U85" s="793"/>
      <c r="V85" s="793"/>
      <c r="W85" s="793"/>
      <c r="X85" s="793"/>
      <c r="Y85" s="793"/>
      <c r="Z85" s="793"/>
      <c r="AA85" s="793"/>
      <c r="AB85" s="793"/>
    </row>
    <row r="86" spans="1:28" s="776" customFormat="1" ht="13.5" thickBot="1">
      <c r="A86" s="242"/>
      <c r="B86" s="791" t="s">
        <v>323</v>
      </c>
      <c r="C86" s="242"/>
      <c r="D86" s="242"/>
      <c r="E86" s="242"/>
      <c r="F86" s="925">
        <f t="shared" ref="F86:AA86" si="30">F64+F72+F81+F82+F83</f>
        <v>2271673</v>
      </c>
      <c r="G86" s="925">
        <f t="shared" si="30"/>
        <v>2358852</v>
      </c>
      <c r="H86" s="925">
        <f t="shared" si="30"/>
        <v>2650055</v>
      </c>
      <c r="I86" s="925">
        <f t="shared" si="30"/>
        <v>2632495</v>
      </c>
      <c r="J86" s="925">
        <f t="shared" si="30"/>
        <v>4026903</v>
      </c>
      <c r="K86" s="925">
        <f t="shared" si="30"/>
        <v>4145727</v>
      </c>
      <c r="L86" s="925">
        <f t="shared" si="30"/>
        <v>4348625</v>
      </c>
      <c r="M86" s="925">
        <f>M64+M72+M81+M82+M83</f>
        <v>5385442</v>
      </c>
      <c r="N86" s="925">
        <f t="shared" si="30"/>
        <v>6708791</v>
      </c>
      <c r="O86" s="925">
        <f t="shared" si="30"/>
        <v>7197688</v>
      </c>
      <c r="P86" s="925">
        <f t="shared" si="30"/>
        <v>7177268</v>
      </c>
      <c r="Q86" s="925">
        <f t="shared" si="30"/>
        <v>8715599</v>
      </c>
      <c r="R86" s="925">
        <f t="shared" si="30"/>
        <v>8459973</v>
      </c>
      <c r="S86" s="925">
        <f t="shared" si="30"/>
        <v>8692800</v>
      </c>
      <c r="T86" s="925">
        <f t="shared" si="30"/>
        <v>7737400</v>
      </c>
      <c r="U86" s="925">
        <f t="shared" si="30"/>
        <v>7590000</v>
      </c>
      <c r="V86" s="925">
        <f t="shared" si="30"/>
        <v>7568000</v>
      </c>
      <c r="W86" s="925">
        <f t="shared" si="30"/>
        <v>8537000</v>
      </c>
      <c r="X86" s="925">
        <f t="shared" si="30"/>
        <v>8682000</v>
      </c>
      <c r="Y86" s="925">
        <f t="shared" si="30"/>
        <v>8632000</v>
      </c>
      <c r="Z86" s="925">
        <f t="shared" si="30"/>
        <v>9657000</v>
      </c>
      <c r="AA86" s="925">
        <f t="shared" si="30"/>
        <v>9623000</v>
      </c>
      <c r="AB86" s="925">
        <f t="shared" ref="AB86" si="31">AB64+AB72+AB81+AB82+AB83</f>
        <v>9856000</v>
      </c>
    </row>
    <row r="87" spans="1:28" s="776" customFormat="1" ht="13.5" thickTop="1">
      <c r="A87" s="74"/>
      <c r="B87" s="16"/>
      <c r="C87" s="4"/>
      <c r="D87" s="1277"/>
      <c r="E87" s="1278" t="s">
        <v>5</v>
      </c>
      <c r="F87" s="1279">
        <f t="shared" ref="F87:AA87" si="32">F45-F86</f>
        <v>0</v>
      </c>
      <c r="G87" s="1279">
        <f t="shared" si="32"/>
        <v>0</v>
      </c>
      <c r="H87" s="1279">
        <f t="shared" si="32"/>
        <v>0</v>
      </c>
      <c r="I87" s="1279">
        <f t="shared" si="32"/>
        <v>0</v>
      </c>
      <c r="J87" s="1279">
        <f t="shared" si="32"/>
        <v>0</v>
      </c>
      <c r="K87" s="1279">
        <f t="shared" si="32"/>
        <v>0</v>
      </c>
      <c r="L87" s="1279">
        <f t="shared" si="32"/>
        <v>0</v>
      </c>
      <c r="M87" s="1279">
        <f t="shared" si="32"/>
        <v>0</v>
      </c>
      <c r="N87" s="1279">
        <f t="shared" si="32"/>
        <v>0</v>
      </c>
      <c r="O87" s="1279">
        <f t="shared" si="32"/>
        <v>0</v>
      </c>
      <c r="P87" s="1279">
        <f t="shared" si="32"/>
        <v>0</v>
      </c>
      <c r="Q87" s="1279">
        <f t="shared" si="32"/>
        <v>0</v>
      </c>
      <c r="R87" s="1279">
        <f t="shared" si="32"/>
        <v>0</v>
      </c>
      <c r="S87" s="1279">
        <f t="shared" si="32"/>
        <v>0</v>
      </c>
      <c r="T87" s="1279">
        <f t="shared" si="32"/>
        <v>0</v>
      </c>
      <c r="U87" s="1279">
        <f t="shared" si="32"/>
        <v>0</v>
      </c>
      <c r="V87" s="1279">
        <f t="shared" si="32"/>
        <v>0</v>
      </c>
      <c r="W87" s="1279">
        <f t="shared" si="32"/>
        <v>0</v>
      </c>
      <c r="X87" s="1279">
        <f t="shared" si="32"/>
        <v>0</v>
      </c>
      <c r="Y87" s="1279">
        <f t="shared" si="32"/>
        <v>0</v>
      </c>
      <c r="Z87" s="1279">
        <f t="shared" si="32"/>
        <v>0</v>
      </c>
      <c r="AA87" s="1279">
        <f t="shared" si="32"/>
        <v>0</v>
      </c>
      <c r="AB87" s="899">
        <f t="shared" ref="AB87" si="33">AB45-AB86</f>
        <v>0</v>
      </c>
    </row>
    <row r="88" spans="1:28" s="776" customFormat="1" ht="18" customHeight="1">
      <c r="A88" s="1272" t="s">
        <v>0</v>
      </c>
      <c r="B88" s="904"/>
      <c r="C88" s="904"/>
      <c r="D88" s="904"/>
      <c r="E88" s="1439" t="s">
        <v>1407</v>
      </c>
      <c r="F88" s="1440"/>
      <c r="G88" s="1440"/>
      <c r="H88" s="1440"/>
      <c r="I88" s="899"/>
      <c r="J88" s="899"/>
      <c r="N88" s="899"/>
      <c r="O88" s="899"/>
      <c r="P88" s="899"/>
      <c r="Q88" s="899"/>
      <c r="R88" s="899"/>
      <c r="S88" s="899"/>
      <c r="T88" s="899"/>
      <c r="U88" s="899"/>
      <c r="V88" s="1466" t="s">
        <v>1326</v>
      </c>
      <c r="W88" s="1467"/>
      <c r="X88" s="1467"/>
      <c r="Y88" s="1467"/>
      <c r="Z88" s="1467"/>
      <c r="AA88" s="1467"/>
      <c r="AB88" s="1380">
        <v>3.3</v>
      </c>
    </row>
    <row r="89" spans="1:28" s="776" customFormat="1">
      <c r="A89" s="806" t="s">
        <v>457</v>
      </c>
      <c r="B89" s="961"/>
      <c r="C89" s="962"/>
      <c r="D89" s="975"/>
      <c r="E89" s="952"/>
      <c r="F89" s="899"/>
      <c r="G89" s="899"/>
      <c r="H89" s="899"/>
      <c r="I89" s="899"/>
      <c r="J89" s="899"/>
      <c r="N89" s="899"/>
      <c r="O89" s="899"/>
      <c r="P89" s="899"/>
      <c r="Q89" s="899"/>
      <c r="R89" s="899"/>
      <c r="S89" s="899"/>
      <c r="T89" s="899"/>
      <c r="U89" s="899"/>
      <c r="V89" s="899"/>
      <c r="W89" s="899"/>
      <c r="X89" s="899"/>
      <c r="Y89" s="899"/>
      <c r="Z89" s="899"/>
      <c r="AA89" s="899"/>
      <c r="AB89" s="793"/>
    </row>
    <row r="90" spans="1:28" s="776" customFormat="1">
      <c r="A90" s="52" t="s">
        <v>1307</v>
      </c>
      <c r="D90" s="1271"/>
      <c r="E90" s="952"/>
      <c r="F90" s="899"/>
      <c r="G90" s="899"/>
      <c r="H90" s="899"/>
      <c r="I90" s="899"/>
      <c r="J90" s="899"/>
      <c r="N90" s="899"/>
      <c r="O90" s="899"/>
      <c r="P90" s="899"/>
      <c r="Q90" s="899"/>
      <c r="R90" s="899"/>
      <c r="S90" s="899"/>
      <c r="T90" s="899"/>
      <c r="U90" s="899"/>
      <c r="V90" s="899"/>
      <c r="W90" s="899"/>
      <c r="X90" s="899"/>
      <c r="Y90" s="899"/>
      <c r="Z90" s="899"/>
      <c r="AA90" s="899"/>
      <c r="AB90" s="793"/>
    </row>
    <row r="91" spans="1:28" s="776" customFormat="1">
      <c r="A91" s="10"/>
      <c r="B91" s="10"/>
      <c r="C91" s="10"/>
      <c r="D91" s="879"/>
      <c r="E91" s="879"/>
      <c r="J91" s="1255"/>
      <c r="K91" s="1012">
        <v>2006</v>
      </c>
      <c r="L91" s="1012"/>
      <c r="M91" s="1012">
        <v>2006</v>
      </c>
      <c r="O91" s="1255"/>
      <c r="P91" s="1012">
        <v>2007</v>
      </c>
      <c r="Q91" s="1012"/>
      <c r="R91" s="1012">
        <v>2007</v>
      </c>
      <c r="X91" s="746"/>
      <c r="Y91" s="746"/>
      <c r="Z91" s="746"/>
      <c r="AA91" s="746"/>
      <c r="AB91" s="793"/>
    </row>
    <row r="92" spans="1:28" s="776" customFormat="1">
      <c r="A92" s="74" t="s">
        <v>1337</v>
      </c>
      <c r="B92" s="43"/>
      <c r="C92" s="43"/>
      <c r="D92" s="43"/>
      <c r="E92" s="22"/>
      <c r="J92" s="4" t="s">
        <v>1290</v>
      </c>
      <c r="K92" s="4"/>
      <c r="L92" s="4"/>
      <c r="M92" s="4"/>
      <c r="O92" s="4" t="s">
        <v>1289</v>
      </c>
      <c r="P92" s="4"/>
      <c r="Q92" s="4"/>
      <c r="R92" s="4"/>
      <c r="X92" s="746"/>
      <c r="Y92" s="746"/>
      <c r="Z92" s="746"/>
      <c r="AA92" s="746"/>
      <c r="AB92" s="793"/>
    </row>
    <row r="93" spans="1:28" s="776" customFormat="1">
      <c r="K93" s="3" t="s">
        <v>512</v>
      </c>
      <c r="P93" s="3" t="s">
        <v>512</v>
      </c>
      <c r="X93" s="746"/>
      <c r="Y93" s="746"/>
      <c r="Z93" s="746"/>
      <c r="AA93" s="746"/>
      <c r="AB93" s="793"/>
    </row>
    <row r="94" spans="1:28" s="776" customFormat="1">
      <c r="D94" s="45"/>
      <c r="E94" s="45"/>
      <c r="J94" s="1013">
        <v>38899</v>
      </c>
      <c r="K94" s="1014" t="s">
        <v>289</v>
      </c>
      <c r="L94" s="1015" t="s">
        <v>513</v>
      </c>
      <c r="M94" s="1015" t="s">
        <v>290</v>
      </c>
      <c r="O94" s="1013">
        <v>39263</v>
      </c>
      <c r="P94" s="1014" t="s">
        <v>289</v>
      </c>
      <c r="Q94" s="1015" t="s">
        <v>513</v>
      </c>
      <c r="R94" s="1015" t="s">
        <v>290</v>
      </c>
      <c r="S94" s="899"/>
      <c r="X94" s="746"/>
      <c r="Y94" s="746"/>
      <c r="Z94" s="746"/>
      <c r="AA94" s="746"/>
      <c r="AB94" s="793"/>
    </row>
    <row r="95" spans="1:28" s="776" customFormat="1">
      <c r="A95" s="922" t="s">
        <v>515</v>
      </c>
      <c r="D95" s="899"/>
      <c r="E95" s="899"/>
      <c r="J95" s="899"/>
      <c r="K95" s="793"/>
      <c r="L95" s="793"/>
      <c r="M95" s="793"/>
      <c r="O95" s="793"/>
      <c r="P95" s="793"/>
      <c r="Q95" s="793"/>
      <c r="R95" s="793"/>
      <c r="S95" s="793"/>
      <c r="X95" s="746"/>
      <c r="Y95" s="746"/>
      <c r="Z95" s="746"/>
      <c r="AA95" s="746"/>
      <c r="AB95" s="793"/>
    </row>
    <row r="96" spans="1:28" s="776" customFormat="1">
      <c r="A96" s="875" t="s">
        <v>342</v>
      </c>
      <c r="D96" s="899"/>
      <c r="E96" s="899"/>
      <c r="J96" s="899"/>
      <c r="K96" s="793">
        <v>1600000</v>
      </c>
      <c r="L96" s="793"/>
      <c r="M96" s="793">
        <f t="shared" ref="M96:M101" si="34">SUM(K96:L96)</f>
        <v>1600000</v>
      </c>
      <c r="O96" s="793"/>
      <c r="P96" s="793">
        <v>1600000</v>
      </c>
      <c r="Q96" s="793"/>
      <c r="R96" s="793">
        <f t="shared" ref="R96:R103" si="35">SUM(P96:Q96)</f>
        <v>1600000</v>
      </c>
      <c r="S96" s="793"/>
      <c r="X96" s="746"/>
      <c r="Y96" s="746"/>
      <c r="Z96" s="746"/>
      <c r="AA96" s="746"/>
      <c r="AB96" s="793"/>
    </row>
    <row r="97" spans="1:28" s="776" customFormat="1">
      <c r="A97" s="875" t="s">
        <v>343</v>
      </c>
      <c r="D97" s="899"/>
      <c r="E97" s="899"/>
      <c r="J97" s="899"/>
      <c r="K97" s="793">
        <v>2476890</v>
      </c>
      <c r="L97" s="793">
        <v>-824177</v>
      </c>
      <c r="M97" s="793">
        <f t="shared" si="34"/>
        <v>1652713</v>
      </c>
      <c r="N97" s="70"/>
      <c r="O97" s="188"/>
      <c r="P97" s="793">
        <v>3938895</v>
      </c>
      <c r="Q97" s="793">
        <v>-1192386</v>
      </c>
      <c r="R97" s="793">
        <f t="shared" si="35"/>
        <v>2746509</v>
      </c>
      <c r="S97" s="188"/>
      <c r="X97" s="746"/>
      <c r="Y97" s="746"/>
      <c r="Z97" s="746"/>
      <c r="AA97" s="746"/>
      <c r="AB97" s="793"/>
    </row>
    <row r="98" spans="1:28" s="776" customFormat="1">
      <c r="A98" s="875" t="s">
        <v>517</v>
      </c>
      <c r="D98" s="899"/>
      <c r="E98" s="899"/>
      <c r="J98" s="899"/>
      <c r="K98" s="793">
        <v>6</v>
      </c>
      <c r="L98" s="793"/>
      <c r="M98" s="793">
        <f t="shared" si="34"/>
        <v>6</v>
      </c>
      <c r="O98" s="793"/>
      <c r="P98" s="793">
        <v>4</v>
      </c>
      <c r="Q98" s="793"/>
      <c r="R98" s="793">
        <f t="shared" si="35"/>
        <v>4</v>
      </c>
      <c r="S98" s="793"/>
      <c r="X98" s="746"/>
      <c r="Y98" s="746"/>
      <c r="Z98" s="746"/>
      <c r="AA98" s="746"/>
      <c r="AB98" s="793"/>
    </row>
    <row r="99" spans="1:28" s="776" customFormat="1">
      <c r="A99" s="875" t="s">
        <v>404</v>
      </c>
      <c r="D99" s="899"/>
      <c r="E99" s="899"/>
      <c r="J99" s="899"/>
      <c r="K99" s="793"/>
      <c r="L99" s="793">
        <v>14891</v>
      </c>
      <c r="M99" s="793">
        <f t="shared" si="34"/>
        <v>14891</v>
      </c>
      <c r="O99" s="793"/>
      <c r="P99" s="793"/>
      <c r="Q99" s="793">
        <v>2316</v>
      </c>
      <c r="R99" s="793">
        <f t="shared" si="35"/>
        <v>2316</v>
      </c>
      <c r="S99" s="793"/>
      <c r="X99" s="746"/>
      <c r="Y99" s="746"/>
      <c r="Z99" s="746"/>
      <c r="AA99" s="746"/>
      <c r="AB99" s="793"/>
    </row>
    <row r="100" spans="1:28" s="776" customFormat="1">
      <c r="A100" s="875" t="s">
        <v>518</v>
      </c>
      <c r="D100" s="899"/>
      <c r="E100" s="899"/>
      <c r="J100" s="899"/>
      <c r="K100" s="793"/>
      <c r="L100" s="793">
        <v>1065</v>
      </c>
      <c r="M100" s="793">
        <f t="shared" si="34"/>
        <v>1065</v>
      </c>
      <c r="O100" s="793"/>
      <c r="P100" s="793"/>
      <c r="Q100" s="793">
        <v>1544</v>
      </c>
      <c r="R100" s="793">
        <f t="shared" si="35"/>
        <v>1544</v>
      </c>
      <c r="S100" s="793"/>
      <c r="X100" s="746"/>
      <c r="Y100" s="746"/>
      <c r="Z100" s="746"/>
      <c r="AA100" s="746"/>
      <c r="AB100" s="793"/>
    </row>
    <row r="101" spans="1:28" s="776" customFormat="1">
      <c r="A101" s="875" t="s">
        <v>519</v>
      </c>
      <c r="D101" s="899"/>
      <c r="E101" s="899"/>
      <c r="J101" s="899"/>
      <c r="K101" s="793">
        <v>160455</v>
      </c>
      <c r="L101" s="793">
        <v>8934</v>
      </c>
      <c r="M101" s="793">
        <f t="shared" si="34"/>
        <v>169389</v>
      </c>
      <c r="N101" s="17"/>
      <c r="O101" s="793"/>
      <c r="P101" s="793">
        <v>-8375</v>
      </c>
      <c r="Q101" s="793">
        <v>48182</v>
      </c>
      <c r="R101" s="793">
        <f t="shared" si="35"/>
        <v>39807</v>
      </c>
      <c r="S101" s="793"/>
      <c r="X101" s="746"/>
      <c r="Y101" s="746"/>
      <c r="Z101" s="746"/>
      <c r="AA101" s="746"/>
      <c r="AB101" s="793"/>
    </row>
    <row r="102" spans="1:28" s="776" customFormat="1">
      <c r="A102" s="875" t="s">
        <v>90</v>
      </c>
      <c r="D102" s="899"/>
      <c r="E102" s="899"/>
      <c r="J102" s="899"/>
      <c r="K102" s="892"/>
      <c r="L102" s="892"/>
      <c r="M102" s="892"/>
      <c r="O102" s="793"/>
      <c r="P102" s="892">
        <v>11610</v>
      </c>
      <c r="Q102" s="892"/>
      <c r="R102" s="892">
        <f t="shared" si="35"/>
        <v>11610</v>
      </c>
      <c r="S102" s="793"/>
      <c r="X102" s="746"/>
      <c r="Y102" s="746"/>
      <c r="Z102" s="746"/>
      <c r="AA102" s="746"/>
      <c r="AB102" s="793"/>
    </row>
    <row r="103" spans="1:28" s="776" customFormat="1">
      <c r="A103" s="1016" t="s">
        <v>352</v>
      </c>
      <c r="D103" s="899"/>
      <c r="E103" s="899"/>
      <c r="J103" s="899"/>
      <c r="K103" s="793">
        <f>SUM(K96:K101)</f>
        <v>4237351</v>
      </c>
      <c r="L103" s="793">
        <f>SUM(L96:L101)</f>
        <v>-799287</v>
      </c>
      <c r="M103" s="793">
        <f>SUM(K103:L103)</f>
        <v>3438064</v>
      </c>
      <c r="O103" s="793"/>
      <c r="P103" s="793">
        <f>SUM(P96:P102)</f>
        <v>5542134</v>
      </c>
      <c r="Q103" s="793">
        <f>SUM(Q96:Q102)</f>
        <v>-1140344</v>
      </c>
      <c r="R103" s="793">
        <f t="shared" si="35"/>
        <v>4401790</v>
      </c>
      <c r="S103" s="793"/>
      <c r="X103" s="746"/>
      <c r="Y103" s="746"/>
      <c r="Z103" s="746"/>
      <c r="AA103" s="746"/>
      <c r="AB103" s="793"/>
    </row>
    <row r="104" spans="1:28" s="776" customFormat="1">
      <c r="A104" s="922"/>
      <c r="D104" s="899"/>
      <c r="E104" s="899"/>
      <c r="J104" s="899"/>
      <c r="K104" s="793"/>
      <c r="L104" s="793"/>
      <c r="M104" s="793"/>
      <c r="O104" s="793"/>
      <c r="P104" s="242"/>
      <c r="Q104" s="242"/>
      <c r="R104" s="242"/>
      <c r="S104" s="793"/>
      <c r="X104" s="746"/>
      <c r="Y104" s="746"/>
      <c r="Z104" s="746"/>
      <c r="AA104" s="746"/>
      <c r="AB104" s="793"/>
    </row>
    <row r="105" spans="1:28" s="776" customFormat="1">
      <c r="A105" s="922" t="s">
        <v>142</v>
      </c>
      <c r="D105" s="899"/>
      <c r="E105" s="899"/>
      <c r="J105" s="899"/>
      <c r="K105" s="793"/>
      <c r="L105" s="793"/>
      <c r="M105" s="793"/>
      <c r="O105" s="793"/>
      <c r="P105" s="793"/>
      <c r="Q105" s="793"/>
      <c r="R105" s="793"/>
      <c r="S105" s="793"/>
      <c r="X105" s="746"/>
      <c r="Y105" s="746"/>
      <c r="Z105" s="746"/>
      <c r="AA105" s="746"/>
      <c r="AB105" s="793"/>
    </row>
    <row r="106" spans="1:28" s="776" customFormat="1">
      <c r="A106" s="73" t="s">
        <v>521</v>
      </c>
      <c r="D106" s="899"/>
      <c r="E106" s="899"/>
      <c r="J106" s="899"/>
      <c r="K106" s="793">
        <v>242416</v>
      </c>
      <c r="L106" s="793">
        <v>-7994</v>
      </c>
      <c r="M106" s="793">
        <f t="shared" ref="M106:M114" si="36">SUM(K106:L106)</f>
        <v>234422</v>
      </c>
      <c r="O106" s="793"/>
      <c r="P106" s="793">
        <v>228881</v>
      </c>
      <c r="Q106" s="793">
        <v>-6570</v>
      </c>
      <c r="R106" s="793">
        <f>SUM(P106:Q106)</f>
        <v>222311</v>
      </c>
      <c r="S106" s="793"/>
      <c r="X106" s="746"/>
      <c r="Y106" s="746"/>
      <c r="Z106" s="746"/>
      <c r="AA106" s="746"/>
      <c r="AB106" s="793"/>
    </row>
    <row r="107" spans="1:28" s="776" customFormat="1">
      <c r="A107" s="73" t="s">
        <v>514</v>
      </c>
      <c r="D107" s="899"/>
      <c r="E107" s="899"/>
      <c r="J107" s="899"/>
      <c r="K107" s="793"/>
      <c r="L107" s="793">
        <v>60553</v>
      </c>
      <c r="M107" s="793">
        <f t="shared" si="36"/>
        <v>60553</v>
      </c>
      <c r="O107" s="793"/>
      <c r="P107" s="793"/>
      <c r="Q107" s="793">
        <v>40943</v>
      </c>
      <c r="R107" s="793">
        <f>SUM(P107:Q107)</f>
        <v>40943</v>
      </c>
      <c r="S107" s="793"/>
      <c r="X107" s="746"/>
      <c r="Y107" s="746"/>
      <c r="Z107" s="746"/>
      <c r="AA107" s="746"/>
      <c r="AB107" s="793"/>
    </row>
    <row r="108" spans="1:28" s="776" customFormat="1">
      <c r="A108" s="73" t="s">
        <v>516</v>
      </c>
      <c r="D108" s="899"/>
      <c r="E108" s="899"/>
      <c r="J108" s="899"/>
      <c r="K108" s="793">
        <v>22679</v>
      </c>
      <c r="L108" s="793">
        <v>-6560</v>
      </c>
      <c r="M108" s="793">
        <f t="shared" si="36"/>
        <v>16119</v>
      </c>
      <c r="O108" s="793"/>
      <c r="P108" s="793">
        <v>14439</v>
      </c>
      <c r="Q108" s="793">
        <v>2128</v>
      </c>
      <c r="R108" s="793">
        <f>SUM(P108:Q108)</f>
        <v>16567</v>
      </c>
      <c r="S108" s="793"/>
      <c r="X108" s="746"/>
      <c r="Y108" s="746"/>
      <c r="Z108" s="746"/>
      <c r="AA108" s="746"/>
      <c r="AB108" s="793"/>
    </row>
    <row r="109" spans="1:28" s="776" customFormat="1">
      <c r="A109" s="73" t="s">
        <v>523</v>
      </c>
      <c r="D109" s="899"/>
      <c r="E109" s="899"/>
      <c r="J109" s="899"/>
      <c r="K109" s="793">
        <v>716</v>
      </c>
      <c r="L109" s="793"/>
      <c r="M109" s="793">
        <f t="shared" si="36"/>
        <v>716</v>
      </c>
      <c r="O109" s="793"/>
      <c r="P109" s="793"/>
      <c r="Q109" s="793"/>
      <c r="R109" s="793"/>
      <c r="S109" s="793"/>
      <c r="X109" s="746"/>
      <c r="Y109" s="746"/>
      <c r="Z109" s="746"/>
      <c r="AA109" s="746"/>
      <c r="AB109" s="793"/>
    </row>
    <row r="110" spans="1:28" s="776" customFormat="1">
      <c r="A110" s="73" t="s">
        <v>314</v>
      </c>
      <c r="D110" s="899"/>
      <c r="E110" s="899"/>
      <c r="J110" s="899"/>
      <c r="K110" s="793">
        <v>22980</v>
      </c>
      <c r="L110" s="793">
        <v>3614</v>
      </c>
      <c r="M110" s="793">
        <f t="shared" si="36"/>
        <v>26594</v>
      </c>
      <c r="O110" s="793"/>
      <c r="P110" s="793">
        <v>40092</v>
      </c>
      <c r="Q110" s="793">
        <v>9500</v>
      </c>
      <c r="R110" s="793">
        <f>SUM(P110:Q110)</f>
        <v>49592</v>
      </c>
      <c r="S110" s="793"/>
      <c r="X110" s="746"/>
      <c r="Y110" s="746"/>
      <c r="Z110" s="746"/>
      <c r="AA110" s="746"/>
      <c r="AB110" s="793"/>
    </row>
    <row r="111" spans="1:28" s="776" customFormat="1">
      <c r="A111" s="73" t="s">
        <v>433</v>
      </c>
      <c r="D111" s="899"/>
      <c r="E111" s="899"/>
      <c r="J111" s="899"/>
      <c r="K111" s="793"/>
      <c r="L111" s="793">
        <v>132</v>
      </c>
      <c r="M111" s="793">
        <f t="shared" si="36"/>
        <v>132</v>
      </c>
      <c r="O111" s="793"/>
      <c r="P111" s="793"/>
      <c r="Q111" s="793">
        <v>37</v>
      </c>
      <c r="R111" s="793">
        <f>SUM(P111:Q111)</f>
        <v>37</v>
      </c>
      <c r="S111" s="793"/>
      <c r="X111" s="746"/>
      <c r="Y111" s="746"/>
      <c r="Z111" s="746"/>
      <c r="AA111" s="746"/>
      <c r="AB111" s="793"/>
    </row>
    <row r="112" spans="1:28" s="776" customFormat="1">
      <c r="A112" s="73" t="s">
        <v>460</v>
      </c>
      <c r="D112" s="899"/>
      <c r="E112" s="899"/>
      <c r="J112" s="899"/>
      <c r="K112" s="793">
        <v>4795590</v>
      </c>
      <c r="L112" s="926">
        <v>-3614</v>
      </c>
      <c r="M112" s="793">
        <f t="shared" si="36"/>
        <v>4791976</v>
      </c>
      <c r="O112" s="793"/>
      <c r="P112" s="793">
        <v>6319903</v>
      </c>
      <c r="Q112" s="793">
        <v>-4830</v>
      </c>
      <c r="R112" s="793">
        <f>SUM(P112:Q112)</f>
        <v>6315073</v>
      </c>
      <c r="S112" s="793"/>
      <c r="X112" s="746"/>
      <c r="Y112" s="746"/>
      <c r="Z112" s="746"/>
      <c r="AA112" s="746"/>
      <c r="AB112" s="793"/>
    </row>
    <row r="113" spans="1:28" s="776" customFormat="1">
      <c r="A113" s="73" t="s">
        <v>301</v>
      </c>
      <c r="D113" s="899"/>
      <c r="E113" s="899"/>
      <c r="J113" s="899"/>
      <c r="K113" s="892">
        <v>254930</v>
      </c>
      <c r="L113" s="892"/>
      <c r="M113" s="892">
        <f t="shared" si="36"/>
        <v>254930</v>
      </c>
      <c r="O113" s="793"/>
      <c r="P113" s="892">
        <v>64268</v>
      </c>
      <c r="Q113" s="892"/>
      <c r="R113" s="892">
        <f>SUM(P113:Q113)</f>
        <v>64268</v>
      </c>
      <c r="S113" s="793"/>
      <c r="X113" s="746"/>
      <c r="Y113" s="746"/>
      <c r="Z113" s="746"/>
      <c r="AA113" s="746"/>
      <c r="AB113" s="793"/>
    </row>
    <row r="114" spans="1:28" s="776" customFormat="1">
      <c r="A114" s="1017" t="s">
        <v>6</v>
      </c>
      <c r="D114" s="899"/>
      <c r="E114" s="899"/>
      <c r="J114" s="899"/>
      <c r="K114" s="793">
        <f>SUM(K106:K113)</f>
        <v>5339311</v>
      </c>
      <c r="L114" s="793">
        <f>SUM(L106:L113)</f>
        <v>46131</v>
      </c>
      <c r="M114" s="793">
        <f t="shared" si="36"/>
        <v>5385442</v>
      </c>
      <c r="O114" s="793"/>
      <c r="P114" s="793">
        <f>SUM(P106:P113)</f>
        <v>6667583</v>
      </c>
      <c r="Q114" s="793">
        <f>SUM(Q106:Q113)</f>
        <v>41208</v>
      </c>
      <c r="R114" s="793">
        <f>SUM(P114:Q114)</f>
        <v>6708791</v>
      </c>
      <c r="S114" s="793"/>
      <c r="X114" s="746"/>
      <c r="Y114" s="746"/>
      <c r="Z114" s="746"/>
      <c r="AA114" s="746"/>
      <c r="AB114" s="793"/>
    </row>
    <row r="115" spans="1:28" s="776" customFormat="1">
      <c r="A115" s="73"/>
      <c r="D115" s="899"/>
      <c r="E115" s="899"/>
      <c r="J115" s="899"/>
      <c r="K115" s="793"/>
      <c r="L115" s="793"/>
      <c r="M115" s="793"/>
      <c r="O115" s="793"/>
      <c r="P115" s="793"/>
      <c r="Q115" s="793"/>
      <c r="R115" s="793"/>
      <c r="S115" s="793"/>
      <c r="X115" s="746"/>
      <c r="Y115" s="746"/>
      <c r="Z115" s="746"/>
      <c r="AA115" s="746"/>
      <c r="AB115" s="793"/>
    </row>
    <row r="116" spans="1:28" s="776" customFormat="1">
      <c r="A116" s="922" t="s">
        <v>401</v>
      </c>
      <c r="D116" s="899"/>
      <c r="E116" s="899"/>
      <c r="J116" s="899"/>
      <c r="K116" s="793"/>
      <c r="L116" s="793"/>
      <c r="M116" s="793"/>
      <c r="O116" s="793"/>
      <c r="P116" s="793"/>
      <c r="Q116" s="793"/>
      <c r="R116" s="793"/>
      <c r="S116" s="793"/>
      <c r="X116" s="746"/>
      <c r="Y116" s="746"/>
      <c r="Z116" s="746"/>
      <c r="AA116" s="746"/>
      <c r="AB116" s="793"/>
    </row>
    <row r="117" spans="1:28" s="776" customFormat="1">
      <c r="A117" s="73" t="s">
        <v>514</v>
      </c>
      <c r="D117" s="899"/>
      <c r="E117" s="899"/>
      <c r="J117" s="899"/>
      <c r="K117" s="793"/>
      <c r="L117" s="793">
        <v>21004</v>
      </c>
      <c r="M117" s="793">
        <f>SUM(K117:L117)</f>
        <v>21004</v>
      </c>
      <c r="O117" s="793"/>
      <c r="P117" s="793"/>
      <c r="Q117" s="793">
        <v>127702</v>
      </c>
      <c r="R117" s="793">
        <f>SUM(P117:Q117)</f>
        <v>127702</v>
      </c>
      <c r="S117" s="793"/>
      <c r="X117" s="746"/>
      <c r="Y117" s="746"/>
      <c r="Z117" s="746"/>
      <c r="AA117" s="746"/>
      <c r="AB117" s="793"/>
    </row>
    <row r="118" spans="1:28" s="776" customFormat="1">
      <c r="A118" s="73" t="s">
        <v>524</v>
      </c>
      <c r="D118" s="899"/>
      <c r="E118" s="899"/>
      <c r="J118" s="899"/>
      <c r="K118" s="793">
        <v>754649</v>
      </c>
      <c r="L118" s="793">
        <v>5545</v>
      </c>
      <c r="M118" s="793">
        <f>SUM(K118:L118)</f>
        <v>760194</v>
      </c>
      <c r="O118" s="793"/>
      <c r="P118" s="793">
        <v>754649</v>
      </c>
      <c r="Q118" s="793">
        <v>-124942</v>
      </c>
      <c r="R118" s="793">
        <f>SUM(P118:Q118)</f>
        <v>629707</v>
      </c>
      <c r="S118" s="793"/>
      <c r="X118" s="746"/>
      <c r="Y118" s="746"/>
      <c r="Z118" s="746"/>
      <c r="AA118" s="746"/>
      <c r="AB118" s="793"/>
    </row>
    <row r="119" spans="1:28" s="776" customFormat="1">
      <c r="A119" s="73" t="s">
        <v>469</v>
      </c>
      <c r="D119" s="899"/>
      <c r="E119" s="899"/>
      <c r="J119" s="899"/>
      <c r="K119" s="793">
        <v>152089</v>
      </c>
      <c r="L119" s="926">
        <v>818870</v>
      </c>
      <c r="M119" s="793">
        <f>SUM(K119:L119)</f>
        <v>970959</v>
      </c>
      <c r="O119" s="793"/>
      <c r="P119" s="793">
        <v>152979</v>
      </c>
      <c r="Q119" s="926">
        <v>1178793</v>
      </c>
      <c r="R119" s="793">
        <f>SUM(P119:Q119)</f>
        <v>1331772</v>
      </c>
      <c r="S119" s="926">
        <f>R119-M119</f>
        <v>360813</v>
      </c>
      <c r="X119" s="746"/>
      <c r="Y119" s="746"/>
      <c r="Z119" s="746"/>
      <c r="AA119" s="746"/>
      <c r="AB119" s="793"/>
    </row>
    <row r="120" spans="1:28" s="776" customFormat="1">
      <c r="A120" s="73" t="s">
        <v>520</v>
      </c>
      <c r="D120" s="793"/>
      <c r="E120" s="793"/>
      <c r="J120" s="899"/>
      <c r="K120" s="892">
        <v>195222</v>
      </c>
      <c r="L120" s="892">
        <v>-1</v>
      </c>
      <c r="M120" s="892">
        <f>SUM(K120:L120)</f>
        <v>195221</v>
      </c>
      <c r="O120" s="793"/>
      <c r="P120" s="892">
        <v>217821</v>
      </c>
      <c r="Q120" s="892">
        <v>-1</v>
      </c>
      <c r="R120" s="793">
        <f>SUM(P120:Q120)</f>
        <v>217820</v>
      </c>
      <c r="S120" s="793"/>
      <c r="X120" s="746"/>
      <c r="Y120" s="746"/>
      <c r="Z120" s="746"/>
      <c r="AA120" s="746"/>
      <c r="AB120" s="793"/>
    </row>
    <row r="121" spans="1:28" s="776" customFormat="1">
      <c r="A121" s="73" t="s">
        <v>7</v>
      </c>
      <c r="D121" s="1088"/>
      <c r="E121" s="1088"/>
      <c r="J121" s="899"/>
      <c r="K121" s="793">
        <f>SUM(K117:K120)</f>
        <v>1101960</v>
      </c>
      <c r="L121" s="793">
        <f>SUM(L117:L120)</f>
        <v>845418</v>
      </c>
      <c r="M121" s="793">
        <f>SUM(K121:L121)</f>
        <v>1947378</v>
      </c>
      <c r="O121" s="793"/>
      <c r="P121" s="793">
        <f>SUM(P117:P120)</f>
        <v>1125449</v>
      </c>
      <c r="Q121" s="793">
        <f>SUM(Q117:Q120)</f>
        <v>1181552</v>
      </c>
      <c r="R121" s="793">
        <f>SUM(P121:Q121)</f>
        <v>2307001</v>
      </c>
      <c r="S121" s="793"/>
      <c r="X121" s="746"/>
      <c r="Y121" s="746"/>
      <c r="Z121" s="746"/>
      <c r="AA121" s="746"/>
      <c r="AB121" s="793"/>
    </row>
    <row r="122" spans="1:28" s="776" customFormat="1">
      <c r="A122" s="73"/>
      <c r="D122" s="899"/>
      <c r="E122" s="899"/>
      <c r="J122" s="899"/>
      <c r="K122" s="793"/>
      <c r="L122" s="793"/>
      <c r="M122" s="793"/>
      <c r="O122" s="793"/>
      <c r="P122" s="793"/>
      <c r="Q122" s="793"/>
      <c r="R122" s="793"/>
      <c r="S122" s="793"/>
      <c r="X122" s="746"/>
      <c r="Y122" s="746"/>
      <c r="Z122" s="746"/>
      <c r="AA122" s="746"/>
      <c r="AB122" s="793"/>
    </row>
    <row r="123" spans="1:28" s="776" customFormat="1">
      <c r="A123" s="922" t="s">
        <v>522</v>
      </c>
      <c r="D123" s="899"/>
      <c r="E123" s="899"/>
      <c r="J123" s="899"/>
      <c r="K123" s="892">
        <f>K114-K121</f>
        <v>4237351</v>
      </c>
      <c r="L123" s="977">
        <f>L114-L121</f>
        <v>-799287</v>
      </c>
      <c r="M123" s="892">
        <f>M114-M121</f>
        <v>3438064</v>
      </c>
      <c r="O123" s="793"/>
      <c r="P123" s="892">
        <f>P114-P121</f>
        <v>5542134</v>
      </c>
      <c r="Q123" s="892">
        <f>Q114-Q121</f>
        <v>-1140344</v>
      </c>
      <c r="R123" s="892">
        <f>R114-R121</f>
        <v>4401790</v>
      </c>
      <c r="S123" s="793"/>
      <c r="X123" s="746"/>
      <c r="Y123" s="746"/>
      <c r="Z123" s="746"/>
      <c r="AA123" s="746"/>
      <c r="AB123" s="793"/>
    </row>
    <row r="124" spans="1:28" s="776" customFormat="1">
      <c r="A124" s="73" t="s">
        <v>5</v>
      </c>
      <c r="D124" s="899"/>
      <c r="E124" s="899"/>
      <c r="J124" s="899"/>
      <c r="K124" s="793">
        <f>K103-K123</f>
        <v>0</v>
      </c>
      <c r="L124" s="793">
        <f>L103-L123</f>
        <v>0</v>
      </c>
      <c r="M124" s="793">
        <f>M103-M123</f>
        <v>0</v>
      </c>
      <c r="O124" s="793"/>
      <c r="P124" s="793">
        <f>P103-P123</f>
        <v>0</v>
      </c>
      <c r="Q124" s="793">
        <f>Q103-Q123</f>
        <v>0</v>
      </c>
      <c r="R124" s="793">
        <f>R103-R123</f>
        <v>0</v>
      </c>
      <c r="S124" s="793"/>
      <c r="X124" s="746"/>
      <c r="Y124" s="746"/>
      <c r="Z124" s="746"/>
      <c r="AA124" s="746"/>
      <c r="AB124" s="793"/>
    </row>
    <row r="125" spans="1:28" s="776" customFormat="1" ht="18">
      <c r="A125" s="799" t="s">
        <v>0</v>
      </c>
      <c r="B125" s="799"/>
      <c r="C125" s="799"/>
      <c r="D125" s="1267"/>
      <c r="E125" s="1439" t="s">
        <v>1407</v>
      </c>
      <c r="F125" s="1440"/>
      <c r="G125" s="1440"/>
      <c r="H125" s="1440"/>
      <c r="I125" s="1442"/>
      <c r="J125" s="1442"/>
      <c r="K125" s="1442"/>
      <c r="L125" s="1251"/>
      <c r="M125" s="1270"/>
      <c r="N125" s="1251"/>
      <c r="O125" s="980"/>
      <c r="P125" s="966"/>
      <c r="Q125" s="967"/>
      <c r="R125" s="868"/>
      <c r="S125" s="967"/>
      <c r="T125" s="967"/>
      <c r="U125" s="967"/>
      <c r="V125" s="967"/>
      <c r="W125" s="1457" t="s">
        <v>353</v>
      </c>
      <c r="X125" s="1458"/>
      <c r="Y125" s="1458"/>
      <c r="Z125" s="1458"/>
      <c r="AA125" s="1459">
        <v>3.2</v>
      </c>
      <c r="AB125" s="1380">
        <v>3.4</v>
      </c>
    </row>
    <row r="126" spans="1:28" s="776" customFormat="1" ht="12.75" customHeight="1">
      <c r="A126" s="1243"/>
      <c r="B126" s="1243"/>
      <c r="C126" s="1243"/>
      <c r="D126" s="1243"/>
      <c r="E126" s="1244"/>
      <c r="F126" s="69">
        <v>0</v>
      </c>
      <c r="G126" s="69">
        <f t="shared" ref="G126:AB126" si="37">F126+1</f>
        <v>1</v>
      </c>
      <c r="H126" s="69">
        <f t="shared" si="37"/>
        <v>2</v>
      </c>
      <c r="I126" s="69">
        <f t="shared" si="37"/>
        <v>3</v>
      </c>
      <c r="J126" s="69">
        <f t="shared" si="37"/>
        <v>4</v>
      </c>
      <c r="K126" s="69">
        <f t="shared" si="37"/>
        <v>5</v>
      </c>
      <c r="L126" s="69">
        <f t="shared" si="37"/>
        <v>6</v>
      </c>
      <c r="M126" s="69">
        <f t="shared" si="37"/>
        <v>7</v>
      </c>
      <c r="N126" s="649">
        <f t="shared" si="37"/>
        <v>8</v>
      </c>
      <c r="O126" s="73">
        <f t="shared" si="37"/>
        <v>9</v>
      </c>
      <c r="P126" s="73">
        <f t="shared" si="37"/>
        <v>10</v>
      </c>
      <c r="Q126" s="73">
        <f t="shared" si="37"/>
        <v>11</v>
      </c>
      <c r="R126" s="73">
        <f t="shared" si="37"/>
        <v>12</v>
      </c>
      <c r="S126" s="73">
        <f t="shared" si="37"/>
        <v>13</v>
      </c>
      <c r="T126" s="73">
        <f t="shared" si="37"/>
        <v>14</v>
      </c>
      <c r="U126" s="73">
        <f t="shared" si="37"/>
        <v>15</v>
      </c>
      <c r="V126" s="73">
        <f t="shared" si="37"/>
        <v>16</v>
      </c>
      <c r="W126" s="73">
        <f t="shared" si="37"/>
        <v>17</v>
      </c>
      <c r="X126" s="73">
        <f t="shared" si="37"/>
        <v>18</v>
      </c>
      <c r="Y126" s="73">
        <f t="shared" si="37"/>
        <v>19</v>
      </c>
      <c r="Z126" s="73">
        <f t="shared" si="37"/>
        <v>20</v>
      </c>
      <c r="AA126" s="73">
        <f t="shared" si="37"/>
        <v>21</v>
      </c>
      <c r="AB126" s="73">
        <f t="shared" si="37"/>
        <v>22</v>
      </c>
    </row>
    <row r="127" spans="1:28" s="776" customFormat="1">
      <c r="A127" s="10"/>
      <c r="B127" s="10"/>
      <c r="C127" s="10"/>
      <c r="D127" s="10"/>
      <c r="E127" s="72" t="s">
        <v>3</v>
      </c>
      <c r="F127" s="953">
        <v>1999</v>
      </c>
      <c r="G127" s="953">
        <f t="shared" ref="G127:M127" si="38">F127+1</f>
        <v>2000</v>
      </c>
      <c r="H127" s="953">
        <f t="shared" si="38"/>
        <v>2001</v>
      </c>
      <c r="I127" s="953">
        <f t="shared" si="38"/>
        <v>2002</v>
      </c>
      <c r="J127" s="953">
        <f t="shared" si="38"/>
        <v>2003</v>
      </c>
      <c r="K127" s="953">
        <f t="shared" si="38"/>
        <v>2004</v>
      </c>
      <c r="L127" s="953">
        <f t="shared" si="38"/>
        <v>2005</v>
      </c>
      <c r="M127" s="953">
        <f t="shared" si="38"/>
        <v>2006</v>
      </c>
      <c r="N127" s="953">
        <v>2007</v>
      </c>
      <c r="O127" s="953">
        <f t="shared" ref="O127:AB127" si="39">N127+1</f>
        <v>2008</v>
      </c>
      <c r="P127" s="953">
        <f t="shared" si="39"/>
        <v>2009</v>
      </c>
      <c r="Q127" s="953">
        <f t="shared" si="39"/>
        <v>2010</v>
      </c>
      <c r="R127" s="953">
        <f t="shared" si="39"/>
        <v>2011</v>
      </c>
      <c r="S127" s="953">
        <f t="shared" si="39"/>
        <v>2012</v>
      </c>
      <c r="T127" s="953">
        <f t="shared" si="39"/>
        <v>2013</v>
      </c>
      <c r="U127" s="953">
        <f t="shared" si="39"/>
        <v>2014</v>
      </c>
      <c r="V127" s="953">
        <f t="shared" si="39"/>
        <v>2015</v>
      </c>
      <c r="W127" s="953">
        <f t="shared" si="39"/>
        <v>2016</v>
      </c>
      <c r="X127" s="953">
        <f t="shared" si="39"/>
        <v>2017</v>
      </c>
      <c r="Y127" s="953">
        <f t="shared" si="39"/>
        <v>2018</v>
      </c>
      <c r="Z127" s="953">
        <f t="shared" si="39"/>
        <v>2019</v>
      </c>
      <c r="AA127" s="878">
        <f t="shared" si="39"/>
        <v>2020</v>
      </c>
      <c r="AB127" s="878">
        <f t="shared" si="39"/>
        <v>2021</v>
      </c>
    </row>
    <row r="128" spans="1:28" s="776" customFormat="1">
      <c r="A128" s="917" t="s">
        <v>354</v>
      </c>
      <c r="B128" s="958"/>
      <c r="C128" s="969"/>
      <c r="D128" s="969"/>
      <c r="E128" s="593"/>
      <c r="F128" s="593" t="s">
        <v>34</v>
      </c>
      <c r="G128" s="242"/>
      <c r="H128" s="242"/>
      <c r="I128" s="809"/>
      <c r="J128" s="809"/>
      <c r="K128" s="809"/>
      <c r="L128" s="979"/>
      <c r="M128" s="809"/>
      <c r="N128" s="809"/>
      <c r="O128" s="809"/>
      <c r="P128" s="908"/>
      <c r="Q128" s="908"/>
      <c r="R128" s="908"/>
      <c r="S128" s="908"/>
      <c r="T128" s="908"/>
      <c r="U128" s="908"/>
      <c r="V128" s="908"/>
      <c r="W128" s="908"/>
      <c r="X128" s="908"/>
      <c r="Y128" s="908"/>
      <c r="Z128" s="908"/>
      <c r="AA128" s="909"/>
      <c r="AB128" s="52"/>
    </row>
    <row r="129" spans="1:28" s="776" customFormat="1">
      <c r="A129" s="793"/>
      <c r="B129" s="921" t="s">
        <v>169</v>
      </c>
      <c r="C129" s="892"/>
      <c r="D129" s="74"/>
      <c r="E129" s="242"/>
      <c r="F129" s="793">
        <v>1819132</v>
      </c>
      <c r="G129" s="793">
        <v>2086591</v>
      </c>
      <c r="H129" s="793">
        <v>2225866</v>
      </c>
      <c r="I129" s="793">
        <v>2452025</v>
      </c>
      <c r="J129" s="793">
        <v>3162959</v>
      </c>
      <c r="K129" s="793">
        <v>3186769</v>
      </c>
      <c r="L129" s="793">
        <v>3592168</v>
      </c>
      <c r="M129" s="793">
        <f>4609257-3614</f>
        <v>4605643</v>
      </c>
      <c r="N129" s="793">
        <v>6120462</v>
      </c>
      <c r="O129" s="793">
        <v>6135215</v>
      </c>
      <c r="P129" s="793">
        <v>6164614</v>
      </c>
      <c r="Q129" s="793">
        <v>7749818</v>
      </c>
      <c r="R129" s="793">
        <v>7297059</v>
      </c>
      <c r="S129" s="793">
        <v>7304900</v>
      </c>
      <c r="T129" s="793">
        <v>6467000</v>
      </c>
      <c r="U129" s="793">
        <v>6766000</v>
      </c>
      <c r="V129" s="793">
        <v>6896000</v>
      </c>
      <c r="W129" s="793">
        <v>7566000</v>
      </c>
      <c r="X129" s="793">
        <v>7774000</v>
      </c>
      <c r="Y129" s="793">
        <v>8013000</v>
      </c>
      <c r="Z129" s="793">
        <v>8655000</v>
      </c>
      <c r="AA129" s="793">
        <v>8593000</v>
      </c>
      <c r="AB129" s="979">
        <v>8314000</v>
      </c>
    </row>
    <row r="130" spans="1:28" s="776" customFormat="1">
      <c r="A130" s="793"/>
      <c r="B130" s="73" t="s">
        <v>355</v>
      </c>
      <c r="C130" s="793"/>
      <c r="D130" s="242"/>
      <c r="E130" s="242"/>
      <c r="F130" s="892">
        <v>-13424</v>
      </c>
      <c r="G130" s="892">
        <v>-57731</v>
      </c>
      <c r="H130" s="892">
        <v>-118744</v>
      </c>
      <c r="I130" s="892">
        <v>-154202</v>
      </c>
      <c r="J130" s="892">
        <v>-8228</v>
      </c>
      <c r="K130" s="892">
        <v>-72988</v>
      </c>
      <c r="L130" s="892">
        <v>-148127</v>
      </c>
      <c r="M130" s="892">
        <v>0</v>
      </c>
      <c r="N130" s="892">
        <v>0</v>
      </c>
      <c r="O130" s="892">
        <v>-129256</v>
      </c>
      <c r="P130" s="892">
        <v>-260394</v>
      </c>
      <c r="Q130" s="892">
        <v>-1102</v>
      </c>
      <c r="R130" s="892">
        <v>-12958</v>
      </c>
      <c r="S130" s="892">
        <v>-192900</v>
      </c>
      <c r="T130" s="892">
        <v>-4000</v>
      </c>
      <c r="U130" s="892">
        <v>-184000</v>
      </c>
      <c r="V130" s="892">
        <v>0</v>
      </c>
      <c r="W130" s="892">
        <v>0</v>
      </c>
      <c r="X130" s="892">
        <v>0</v>
      </c>
      <c r="Y130" s="892">
        <v>-237000</v>
      </c>
      <c r="Z130" s="892">
        <v>-1000</v>
      </c>
      <c r="AA130" s="892">
        <v>-248000</v>
      </c>
      <c r="AB130" s="888">
        <v>-17000</v>
      </c>
    </row>
    <row r="131" spans="1:28" s="776" customFormat="1">
      <c r="A131" s="793"/>
      <c r="B131" s="922" t="s">
        <v>356</v>
      </c>
      <c r="C131" s="793"/>
      <c r="D131" s="242"/>
      <c r="E131" s="242"/>
      <c r="F131" s="793">
        <f t="shared" ref="F131:M131" si="40">SUM(F129:F130)</f>
        <v>1805708</v>
      </c>
      <c r="G131" s="793">
        <f t="shared" si="40"/>
        <v>2028860</v>
      </c>
      <c r="H131" s="793">
        <f t="shared" si="40"/>
        <v>2107122</v>
      </c>
      <c r="I131" s="793">
        <f t="shared" si="40"/>
        <v>2297823</v>
      </c>
      <c r="J131" s="793">
        <f t="shared" si="40"/>
        <v>3154731</v>
      </c>
      <c r="K131" s="793">
        <f t="shared" si="40"/>
        <v>3113781</v>
      </c>
      <c r="L131" s="793">
        <f t="shared" si="40"/>
        <v>3444041</v>
      </c>
      <c r="M131" s="793">
        <f t="shared" si="40"/>
        <v>4605643</v>
      </c>
      <c r="N131" s="793">
        <f>N129-N130</f>
        <v>6120462</v>
      </c>
      <c r="O131" s="793">
        <f t="shared" ref="O131:AB131" si="41">SUM(O129:O130)</f>
        <v>6005959</v>
      </c>
      <c r="P131" s="793">
        <f t="shared" si="41"/>
        <v>5904220</v>
      </c>
      <c r="Q131" s="793">
        <f t="shared" si="41"/>
        <v>7748716</v>
      </c>
      <c r="R131" s="793">
        <f t="shared" si="41"/>
        <v>7284101</v>
      </c>
      <c r="S131" s="793">
        <f t="shared" si="41"/>
        <v>7112000</v>
      </c>
      <c r="T131" s="793">
        <f t="shared" si="41"/>
        <v>6463000</v>
      </c>
      <c r="U131" s="793">
        <f t="shared" si="41"/>
        <v>6582000</v>
      </c>
      <c r="V131" s="793">
        <f t="shared" si="41"/>
        <v>6896000</v>
      </c>
      <c r="W131" s="793">
        <f t="shared" si="41"/>
        <v>7566000</v>
      </c>
      <c r="X131" s="793">
        <f t="shared" si="41"/>
        <v>7774000</v>
      </c>
      <c r="Y131" s="793">
        <f t="shared" si="41"/>
        <v>7776000</v>
      </c>
      <c r="Z131" s="793">
        <f t="shared" si="41"/>
        <v>8654000</v>
      </c>
      <c r="AA131" s="793">
        <f t="shared" si="41"/>
        <v>8345000</v>
      </c>
      <c r="AB131" s="979">
        <f t="shared" si="41"/>
        <v>8297000</v>
      </c>
    </row>
    <row r="132" spans="1:28" s="776" customFormat="1">
      <c r="A132" s="793"/>
      <c r="B132" s="73"/>
      <c r="C132" s="793"/>
      <c r="D132" s="242"/>
      <c r="E132" s="242"/>
      <c r="F132" s="793"/>
      <c r="G132" s="793"/>
      <c r="H132" s="793"/>
      <c r="I132" s="793"/>
      <c r="J132" s="793"/>
      <c r="K132" s="793"/>
      <c r="L132" s="793"/>
      <c r="M132" s="793"/>
      <c r="N132" s="793"/>
      <c r="O132" s="793"/>
      <c r="P132" s="793"/>
      <c r="Q132" s="793"/>
      <c r="R132" s="793"/>
      <c r="S132" s="793"/>
      <c r="T132" s="793"/>
      <c r="U132" s="793"/>
      <c r="V132" s="793"/>
      <c r="W132" s="793"/>
      <c r="X132" s="793"/>
      <c r="Y132" s="793"/>
      <c r="Z132" s="793"/>
      <c r="AA132" s="793"/>
      <c r="AB132" s="979"/>
    </row>
    <row r="133" spans="1:28" s="776" customFormat="1">
      <c r="A133" s="793"/>
      <c r="B133" s="921" t="s">
        <v>316</v>
      </c>
      <c r="C133" s="921"/>
      <c r="D133" s="921"/>
      <c r="E133" s="242"/>
      <c r="F133" s="793"/>
      <c r="G133" s="793"/>
      <c r="H133" s="793"/>
      <c r="I133" s="793"/>
      <c r="J133" s="793"/>
      <c r="K133" s="793"/>
      <c r="L133" s="793"/>
      <c r="M133" s="793"/>
      <c r="N133" s="793"/>
      <c r="O133" s="793"/>
      <c r="P133" s="793"/>
      <c r="Q133" s="793"/>
      <c r="R133" s="793"/>
      <c r="S133" s="793"/>
      <c r="T133" s="793"/>
      <c r="U133" s="793"/>
      <c r="V133" s="793"/>
      <c r="W133" s="793"/>
      <c r="X133" s="793"/>
      <c r="Y133" s="793"/>
      <c r="Z133" s="793"/>
      <c r="AA133" s="793"/>
      <c r="AB133" s="979"/>
    </row>
    <row r="134" spans="1:28" s="776" customFormat="1">
      <c r="A134" s="793"/>
      <c r="B134" s="922" t="s">
        <v>357</v>
      </c>
      <c r="C134" s="793"/>
      <c r="D134" s="242"/>
      <c r="E134" s="242"/>
      <c r="F134" s="793">
        <v>36791</v>
      </c>
      <c r="G134" s="793">
        <v>26716</v>
      </c>
      <c r="H134" s="793">
        <v>26710</v>
      </c>
      <c r="I134" s="793">
        <v>9454</v>
      </c>
      <c r="J134" s="793">
        <v>8015</v>
      </c>
      <c r="K134" s="793">
        <v>39908</v>
      </c>
      <c r="L134" s="793">
        <v>44496</v>
      </c>
      <c r="M134" s="793">
        <v>35013</v>
      </c>
      <c r="N134" s="793">
        <v>36354</v>
      </c>
      <c r="O134" s="793">
        <v>33744</v>
      </c>
      <c r="P134" s="793">
        <v>35635</v>
      </c>
      <c r="Q134" s="793">
        <v>40445</v>
      </c>
      <c r="R134" s="793">
        <v>40467</v>
      </c>
      <c r="S134" s="793">
        <v>40100</v>
      </c>
      <c r="T134" s="793">
        <v>0</v>
      </c>
      <c r="U134" s="793">
        <v>0</v>
      </c>
      <c r="V134" s="793">
        <v>0</v>
      </c>
      <c r="W134" s="793">
        <v>0</v>
      </c>
      <c r="X134" s="793">
        <v>0</v>
      </c>
      <c r="Y134" s="793">
        <v>0</v>
      </c>
      <c r="Z134" s="793">
        <v>0</v>
      </c>
      <c r="AA134" s="793">
        <v>0</v>
      </c>
      <c r="AB134" s="979"/>
    </row>
    <row r="135" spans="1:28" s="776" customFormat="1">
      <c r="A135" s="793"/>
      <c r="B135" s="922"/>
      <c r="C135" s="793"/>
      <c r="D135" s="242"/>
      <c r="E135" s="242"/>
      <c r="F135" s="793"/>
      <c r="G135" s="793"/>
      <c r="H135" s="793"/>
      <c r="I135" s="793"/>
      <c r="J135" s="793"/>
      <c r="K135" s="793"/>
      <c r="L135" s="793"/>
      <c r="M135" s="793"/>
      <c r="N135" s="793"/>
      <c r="O135" s="793"/>
      <c r="P135" s="793"/>
      <c r="Q135" s="793"/>
      <c r="R135" s="793"/>
      <c r="S135" s="793"/>
      <c r="T135" s="793"/>
      <c r="U135" s="793"/>
      <c r="V135" s="793"/>
      <c r="W135" s="793"/>
      <c r="X135" s="793"/>
      <c r="Y135" s="793"/>
      <c r="Z135" s="793"/>
      <c r="AA135" s="793"/>
      <c r="AB135" s="979"/>
    </row>
    <row r="136" spans="1:28" s="776" customFormat="1">
      <c r="A136" s="793"/>
      <c r="B136" s="922" t="s">
        <v>358</v>
      </c>
      <c r="C136" s="793"/>
      <c r="D136" s="242"/>
      <c r="E136" s="242"/>
      <c r="F136" s="793">
        <v>0</v>
      </c>
      <c r="G136" s="793">
        <v>0</v>
      </c>
      <c r="H136" s="793">
        <v>0</v>
      </c>
      <c r="I136" s="793">
        <v>0</v>
      </c>
      <c r="J136" s="793">
        <v>176073</v>
      </c>
      <c r="K136" s="793">
        <v>168699</v>
      </c>
      <c r="L136" s="793">
        <v>168108</v>
      </c>
      <c r="M136" s="793">
        <v>0</v>
      </c>
      <c r="N136" s="793">
        <v>0</v>
      </c>
      <c r="O136" s="793">
        <v>0</v>
      </c>
      <c r="P136" s="793">
        <v>0</v>
      </c>
      <c r="Q136" s="793">
        <v>0</v>
      </c>
      <c r="R136" s="793">
        <v>0</v>
      </c>
      <c r="S136" s="793">
        <v>0</v>
      </c>
      <c r="T136" s="793">
        <v>0</v>
      </c>
      <c r="U136" s="793">
        <v>0</v>
      </c>
      <c r="V136" s="793">
        <v>0</v>
      </c>
      <c r="W136" s="793">
        <v>0</v>
      </c>
      <c r="X136" s="793">
        <v>0</v>
      </c>
      <c r="Y136" s="793">
        <v>0</v>
      </c>
      <c r="Z136" s="793">
        <v>0</v>
      </c>
      <c r="AA136" s="793">
        <v>0</v>
      </c>
      <c r="AB136" s="979"/>
    </row>
    <row r="137" spans="1:28" s="776" customFormat="1">
      <c r="A137" s="793"/>
      <c r="B137" s="73" t="s">
        <v>359</v>
      </c>
      <c r="C137" s="793"/>
      <c r="D137" s="242"/>
      <c r="E137" s="242"/>
      <c r="F137" s="892">
        <v>0</v>
      </c>
      <c r="G137" s="892">
        <v>0</v>
      </c>
      <c r="H137" s="892">
        <v>0</v>
      </c>
      <c r="I137" s="892">
        <v>0</v>
      </c>
      <c r="J137" s="892">
        <v>-305</v>
      </c>
      <c r="K137" s="892">
        <v>-3607</v>
      </c>
      <c r="L137" s="892">
        <v>-6732</v>
      </c>
      <c r="M137" s="892">
        <v>0</v>
      </c>
      <c r="N137" s="892">
        <v>0</v>
      </c>
      <c r="O137" s="892">
        <v>0</v>
      </c>
      <c r="P137" s="892">
        <v>0</v>
      </c>
      <c r="Q137" s="892">
        <v>0</v>
      </c>
      <c r="R137" s="892">
        <v>0</v>
      </c>
      <c r="S137" s="892">
        <v>0</v>
      </c>
      <c r="T137" s="892">
        <v>0</v>
      </c>
      <c r="U137" s="892">
        <v>0</v>
      </c>
      <c r="V137" s="892">
        <v>0</v>
      </c>
      <c r="W137" s="892">
        <v>0</v>
      </c>
      <c r="X137" s="892">
        <v>0</v>
      </c>
      <c r="Y137" s="892">
        <v>0</v>
      </c>
      <c r="Z137" s="892">
        <v>0</v>
      </c>
      <c r="AA137" s="892">
        <v>0</v>
      </c>
      <c r="AB137" s="888"/>
    </row>
    <row r="138" spans="1:28" s="776" customFormat="1">
      <c r="A138" s="793"/>
      <c r="B138" s="73" t="s">
        <v>1405</v>
      </c>
      <c r="C138" s="793"/>
      <c r="D138" s="242"/>
      <c r="E138" s="242"/>
      <c r="F138" s="793">
        <f t="shared" ref="F138:M138" si="42">SUM(F136:F137)</f>
        <v>0</v>
      </c>
      <c r="G138" s="793">
        <f t="shared" si="42"/>
        <v>0</v>
      </c>
      <c r="H138" s="793">
        <f t="shared" si="42"/>
        <v>0</v>
      </c>
      <c r="I138" s="793">
        <f t="shared" si="42"/>
        <v>0</v>
      </c>
      <c r="J138" s="793">
        <f t="shared" si="42"/>
        <v>175768</v>
      </c>
      <c r="K138" s="793">
        <f t="shared" si="42"/>
        <v>165092</v>
      </c>
      <c r="L138" s="793">
        <f t="shared" si="42"/>
        <v>161376</v>
      </c>
      <c r="M138" s="793">
        <f t="shared" si="42"/>
        <v>0</v>
      </c>
      <c r="N138" s="793">
        <f t="shared" ref="N138:AA138" si="43">N136-N137</f>
        <v>0</v>
      </c>
      <c r="O138" s="793">
        <f t="shared" si="43"/>
        <v>0</v>
      </c>
      <c r="P138" s="793">
        <f t="shared" si="43"/>
        <v>0</v>
      </c>
      <c r="Q138" s="793">
        <f t="shared" si="43"/>
        <v>0</v>
      </c>
      <c r="R138" s="793">
        <f t="shared" si="43"/>
        <v>0</v>
      </c>
      <c r="S138" s="793">
        <f t="shared" si="43"/>
        <v>0</v>
      </c>
      <c r="T138" s="793">
        <f t="shared" si="43"/>
        <v>0</v>
      </c>
      <c r="U138" s="793">
        <f t="shared" si="43"/>
        <v>0</v>
      </c>
      <c r="V138" s="793">
        <f t="shared" si="43"/>
        <v>0</v>
      </c>
      <c r="W138" s="793">
        <f t="shared" si="43"/>
        <v>0</v>
      </c>
      <c r="X138" s="793">
        <f t="shared" si="43"/>
        <v>0</v>
      </c>
      <c r="Y138" s="793">
        <f t="shared" si="43"/>
        <v>0</v>
      </c>
      <c r="Z138" s="793">
        <f t="shared" si="43"/>
        <v>0</v>
      </c>
      <c r="AA138" s="793">
        <f t="shared" si="43"/>
        <v>0</v>
      </c>
      <c r="AB138" s="979"/>
    </row>
    <row r="139" spans="1:28" s="776" customFormat="1">
      <c r="A139" s="793"/>
      <c r="B139" s="73"/>
      <c r="C139" s="793"/>
      <c r="D139" s="242"/>
      <c r="E139" s="242"/>
      <c r="F139" s="793"/>
      <c r="G139" s="793"/>
      <c r="H139" s="793"/>
      <c r="I139" s="793"/>
      <c r="J139" s="793"/>
      <c r="K139" s="793"/>
      <c r="L139" s="793"/>
      <c r="M139" s="793"/>
      <c r="N139" s="793"/>
      <c r="O139" s="793"/>
      <c r="P139" s="793"/>
      <c r="Q139" s="793"/>
      <c r="R139" s="793"/>
      <c r="S139" s="793"/>
      <c r="T139" s="793"/>
      <c r="U139" s="793"/>
      <c r="V139" s="793"/>
      <c r="W139" s="793"/>
      <c r="X139" s="793"/>
      <c r="Y139" s="793"/>
      <c r="Z139" s="793"/>
      <c r="AA139" s="793"/>
      <c r="AB139" s="979"/>
    </row>
    <row r="140" spans="1:28" s="776" customFormat="1">
      <c r="A140" s="793"/>
      <c r="B140" s="921" t="s">
        <v>360</v>
      </c>
      <c r="C140" s="892"/>
      <c r="D140" s="74"/>
      <c r="E140" s="242"/>
      <c r="F140" s="793">
        <v>6226</v>
      </c>
      <c r="G140" s="793">
        <v>6129</v>
      </c>
      <c r="H140" s="793">
        <v>6052</v>
      </c>
      <c r="I140" s="793">
        <v>6440</v>
      </c>
      <c r="J140" s="793">
        <v>6470</v>
      </c>
      <c r="K140" s="793">
        <v>14632</v>
      </c>
      <c r="L140" s="793">
        <v>15566</v>
      </c>
      <c r="M140" s="793">
        <v>9806</v>
      </c>
      <c r="N140" s="793">
        <v>10496</v>
      </c>
      <c r="O140" s="793">
        <v>10882</v>
      </c>
      <c r="P140" s="793">
        <v>11995</v>
      </c>
      <c r="Q140" s="793">
        <v>12815</v>
      </c>
      <c r="R140" s="793">
        <v>12308</v>
      </c>
      <c r="S140" s="793">
        <v>13000</v>
      </c>
      <c r="T140" s="793">
        <v>23000</v>
      </c>
      <c r="U140" s="793">
        <v>37000</v>
      </c>
      <c r="V140" s="793">
        <v>28000</v>
      </c>
      <c r="W140" s="793">
        <v>36000</v>
      </c>
      <c r="X140" s="793">
        <v>30000</v>
      </c>
      <c r="Y140" s="793">
        <v>20000</v>
      </c>
      <c r="Z140" s="793">
        <v>20000</v>
      </c>
      <c r="AA140" s="793">
        <v>20000</v>
      </c>
      <c r="AB140" s="979">
        <v>21000</v>
      </c>
    </row>
    <row r="141" spans="1:28" s="776" customFormat="1">
      <c r="A141" s="793"/>
      <c r="B141" s="73" t="s">
        <v>355</v>
      </c>
      <c r="C141" s="793"/>
      <c r="D141" s="242"/>
      <c r="E141" s="242"/>
      <c r="F141" s="892">
        <v>-48</v>
      </c>
      <c r="G141" s="892">
        <v>-240</v>
      </c>
      <c r="H141" s="892">
        <v>-433</v>
      </c>
      <c r="I141" s="892">
        <v>-706</v>
      </c>
      <c r="J141" s="892">
        <v>-926</v>
      </c>
      <c r="K141" s="892">
        <v>-1299</v>
      </c>
      <c r="L141" s="892">
        <v>-1694</v>
      </c>
      <c r="M141" s="892">
        <v>-1229</v>
      </c>
      <c r="N141" s="892">
        <v>-1484</v>
      </c>
      <c r="O141" s="892">
        <v>-1600</v>
      </c>
      <c r="P141" s="892">
        <v>-1893</v>
      </c>
      <c r="Q141" s="892">
        <v>-2321</v>
      </c>
      <c r="R141" s="892">
        <v>-2399</v>
      </c>
      <c r="S141" s="892">
        <v>-2800</v>
      </c>
      <c r="T141" s="892">
        <v>-2000</v>
      </c>
      <c r="U141" s="892">
        <v>-2000</v>
      </c>
      <c r="V141" s="892">
        <v>-3000</v>
      </c>
      <c r="W141" s="892">
        <v>-4000</v>
      </c>
      <c r="X141" s="892">
        <v>-5000</v>
      </c>
      <c r="Y141" s="892">
        <v>-5000</v>
      </c>
      <c r="Z141" s="892">
        <v>-5000</v>
      </c>
      <c r="AA141" s="892">
        <v>-5000</v>
      </c>
      <c r="AB141" s="888">
        <v>-6000</v>
      </c>
    </row>
    <row r="142" spans="1:28" s="776" customFormat="1">
      <c r="A142" s="793"/>
      <c r="B142" s="73" t="s">
        <v>361</v>
      </c>
      <c r="C142" s="793"/>
      <c r="D142" s="242"/>
      <c r="E142" s="242"/>
      <c r="F142" s="793">
        <f t="shared" ref="F142:AB142" si="44">SUM(F140:F141)</f>
        <v>6178</v>
      </c>
      <c r="G142" s="793">
        <f t="shared" si="44"/>
        <v>5889</v>
      </c>
      <c r="H142" s="793">
        <f t="shared" si="44"/>
        <v>5619</v>
      </c>
      <c r="I142" s="793">
        <f t="shared" si="44"/>
        <v>5734</v>
      </c>
      <c r="J142" s="793">
        <f t="shared" si="44"/>
        <v>5544</v>
      </c>
      <c r="K142" s="793">
        <f t="shared" si="44"/>
        <v>13333</v>
      </c>
      <c r="L142" s="793">
        <f t="shared" si="44"/>
        <v>13872</v>
      </c>
      <c r="M142" s="793">
        <f t="shared" si="44"/>
        <v>8577</v>
      </c>
      <c r="N142" s="793">
        <f t="shared" si="44"/>
        <v>9012</v>
      </c>
      <c r="O142" s="793">
        <f t="shared" si="44"/>
        <v>9282</v>
      </c>
      <c r="P142" s="793">
        <f t="shared" si="44"/>
        <v>10102</v>
      </c>
      <c r="Q142" s="793">
        <f t="shared" si="44"/>
        <v>10494</v>
      </c>
      <c r="R142" s="793">
        <f t="shared" si="44"/>
        <v>9909</v>
      </c>
      <c r="S142" s="793">
        <f t="shared" si="44"/>
        <v>10200</v>
      </c>
      <c r="T142" s="793">
        <f t="shared" si="44"/>
        <v>21000</v>
      </c>
      <c r="U142" s="793">
        <f t="shared" si="44"/>
        <v>35000</v>
      </c>
      <c r="V142" s="793">
        <f t="shared" si="44"/>
        <v>25000</v>
      </c>
      <c r="W142" s="793">
        <f t="shared" si="44"/>
        <v>32000</v>
      </c>
      <c r="X142" s="793">
        <f t="shared" si="44"/>
        <v>25000</v>
      </c>
      <c r="Y142" s="793">
        <f t="shared" si="44"/>
        <v>15000</v>
      </c>
      <c r="Z142" s="793">
        <f t="shared" si="44"/>
        <v>15000</v>
      </c>
      <c r="AA142" s="793">
        <f t="shared" si="44"/>
        <v>15000</v>
      </c>
      <c r="AB142" s="979">
        <f t="shared" si="44"/>
        <v>15000</v>
      </c>
    </row>
    <row r="143" spans="1:28" s="776" customFormat="1">
      <c r="A143" s="793"/>
      <c r="C143" s="793"/>
      <c r="D143" s="242"/>
      <c r="E143" s="242"/>
      <c r="F143" s="793"/>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979"/>
    </row>
    <row r="144" spans="1:28" s="776" customFormat="1">
      <c r="A144" s="793"/>
      <c r="B144" s="921" t="s">
        <v>171</v>
      </c>
      <c r="C144" s="892"/>
      <c r="D144" s="74"/>
      <c r="E144" s="242"/>
      <c r="F144" s="793">
        <v>15412</v>
      </c>
      <c r="G144" s="793">
        <v>15857</v>
      </c>
      <c r="H144" s="793">
        <v>23893</v>
      </c>
      <c r="I144" s="793">
        <v>29792</v>
      </c>
      <c r="J144" s="793">
        <v>50340</v>
      </c>
      <c r="K144" s="793">
        <v>60651</v>
      </c>
      <c r="L144" s="793">
        <v>72852</v>
      </c>
      <c r="M144" s="793">
        <v>87212</v>
      </c>
      <c r="N144" s="793">
        <v>93439</v>
      </c>
      <c r="O144" s="793">
        <v>117978</v>
      </c>
      <c r="P144" s="793">
        <v>174200</v>
      </c>
      <c r="Q144" s="793">
        <v>206144</v>
      </c>
      <c r="R144" s="793">
        <v>202376</v>
      </c>
      <c r="S144" s="793">
        <v>177100</v>
      </c>
      <c r="T144" s="793">
        <v>127000</v>
      </c>
      <c r="U144" s="793">
        <v>147000</v>
      </c>
      <c r="V144" s="793">
        <v>159000</v>
      </c>
      <c r="W144" s="793">
        <v>164000</v>
      </c>
      <c r="X144" s="793">
        <v>169000</v>
      </c>
      <c r="Y144" s="793">
        <v>171000</v>
      </c>
      <c r="Z144" s="793">
        <v>160000</v>
      </c>
      <c r="AA144" s="793">
        <v>130000</v>
      </c>
      <c r="AB144" s="979">
        <v>143000</v>
      </c>
    </row>
    <row r="145" spans="1:28" s="776" customFormat="1">
      <c r="A145" s="793"/>
      <c r="B145" s="73" t="s">
        <v>355</v>
      </c>
      <c r="C145" s="793"/>
      <c r="D145" s="242"/>
      <c r="E145" s="242"/>
      <c r="F145" s="892">
        <v>-1160</v>
      </c>
      <c r="G145" s="892">
        <v>-4309</v>
      </c>
      <c r="H145" s="892">
        <v>-9656</v>
      </c>
      <c r="I145" s="892">
        <v>-16921</v>
      </c>
      <c r="J145" s="892">
        <v>-24984</v>
      </c>
      <c r="K145" s="892">
        <v>-33513</v>
      </c>
      <c r="L145" s="892">
        <v>-40938</v>
      </c>
      <c r="M145" s="892">
        <v>-46038</v>
      </c>
      <c r="N145" s="892">
        <v>-46391</v>
      </c>
      <c r="O145" s="892">
        <v>-51047</v>
      </c>
      <c r="P145" s="892">
        <v>-65928</v>
      </c>
      <c r="Q145" s="892">
        <v>-87525</v>
      </c>
      <c r="R145" s="892">
        <v>-102521</v>
      </c>
      <c r="S145" s="892">
        <v>-93500</v>
      </c>
      <c r="T145" s="892">
        <v>-87000</v>
      </c>
      <c r="U145" s="892">
        <v>-77000</v>
      </c>
      <c r="V145" s="892">
        <v>-69000</v>
      </c>
      <c r="W145" s="892">
        <v>-82000</v>
      </c>
      <c r="X145" s="892">
        <v>-82000</v>
      </c>
      <c r="Y145" s="892">
        <v>-91000</v>
      </c>
      <c r="Z145" s="892">
        <v>-97000</v>
      </c>
      <c r="AA145" s="892">
        <v>-95000</v>
      </c>
      <c r="AB145" s="888">
        <v>-104000</v>
      </c>
    </row>
    <row r="146" spans="1:28" s="776" customFormat="1">
      <c r="A146" s="793"/>
      <c r="B146" s="73" t="s">
        <v>8</v>
      </c>
      <c r="C146" s="793"/>
      <c r="D146" s="242"/>
      <c r="E146" s="242"/>
      <c r="F146" s="793">
        <f t="shared" ref="F146:AB146" si="45">SUM(F144:F145)</f>
        <v>14252</v>
      </c>
      <c r="G146" s="793">
        <f t="shared" si="45"/>
        <v>11548</v>
      </c>
      <c r="H146" s="793">
        <f t="shared" si="45"/>
        <v>14237</v>
      </c>
      <c r="I146" s="793">
        <f t="shared" si="45"/>
        <v>12871</v>
      </c>
      <c r="J146" s="793">
        <f t="shared" si="45"/>
        <v>25356</v>
      </c>
      <c r="K146" s="793">
        <f t="shared" si="45"/>
        <v>27138</v>
      </c>
      <c r="L146" s="793">
        <f t="shared" si="45"/>
        <v>31914</v>
      </c>
      <c r="M146" s="793">
        <f t="shared" si="45"/>
        <v>41174</v>
      </c>
      <c r="N146" s="793">
        <f t="shared" si="45"/>
        <v>47048</v>
      </c>
      <c r="O146" s="793">
        <f t="shared" si="45"/>
        <v>66931</v>
      </c>
      <c r="P146" s="793">
        <f t="shared" si="45"/>
        <v>108272</v>
      </c>
      <c r="Q146" s="793">
        <f t="shared" si="45"/>
        <v>118619</v>
      </c>
      <c r="R146" s="793">
        <f t="shared" si="45"/>
        <v>99855</v>
      </c>
      <c r="S146" s="793">
        <f t="shared" si="45"/>
        <v>83600</v>
      </c>
      <c r="T146" s="793">
        <f t="shared" si="45"/>
        <v>40000</v>
      </c>
      <c r="U146" s="793">
        <f t="shared" si="45"/>
        <v>70000</v>
      </c>
      <c r="V146" s="793">
        <f t="shared" si="45"/>
        <v>90000</v>
      </c>
      <c r="W146" s="793">
        <f t="shared" si="45"/>
        <v>82000</v>
      </c>
      <c r="X146" s="793">
        <f t="shared" si="45"/>
        <v>87000</v>
      </c>
      <c r="Y146" s="793">
        <f t="shared" si="45"/>
        <v>80000</v>
      </c>
      <c r="Z146" s="793">
        <f t="shared" si="45"/>
        <v>63000</v>
      </c>
      <c r="AA146" s="793">
        <f t="shared" si="45"/>
        <v>35000</v>
      </c>
      <c r="AB146" s="979">
        <f t="shared" si="45"/>
        <v>39000</v>
      </c>
    </row>
    <row r="147" spans="1:28" s="776" customFormat="1">
      <c r="A147" s="793"/>
      <c r="B147" s="73"/>
      <c r="C147" s="793"/>
      <c r="D147" s="242"/>
      <c r="E147" s="242"/>
      <c r="F147" s="793"/>
      <c r="G147" s="793"/>
      <c r="H147" s="793"/>
      <c r="I147" s="793"/>
      <c r="J147" s="793"/>
      <c r="K147" s="793"/>
      <c r="L147" s="793"/>
      <c r="M147" s="793"/>
      <c r="N147" s="793"/>
      <c r="O147" s="793"/>
      <c r="P147" s="793"/>
      <c r="Q147" s="793"/>
      <c r="R147" s="793"/>
      <c r="S147" s="793"/>
      <c r="T147" s="793"/>
      <c r="U147" s="793"/>
      <c r="V147" s="793"/>
      <c r="W147" s="793"/>
      <c r="X147" s="793"/>
      <c r="Y147" s="793"/>
      <c r="Z147" s="793"/>
      <c r="AA147" s="793"/>
      <c r="AB147" s="979"/>
    </row>
    <row r="148" spans="1:28" s="776" customFormat="1">
      <c r="A148" s="793"/>
      <c r="B148" s="921" t="s">
        <v>362</v>
      </c>
      <c r="C148" s="892"/>
      <c r="D148" s="74"/>
      <c r="E148" s="242"/>
      <c r="F148" s="793"/>
      <c r="G148" s="793"/>
      <c r="H148" s="793"/>
      <c r="I148" s="793"/>
      <c r="J148" s="793"/>
      <c r="K148" s="793"/>
      <c r="L148" s="793"/>
      <c r="M148" s="793"/>
      <c r="N148" s="793"/>
      <c r="O148" s="793"/>
      <c r="P148" s="793"/>
      <c r="Q148" s="793"/>
      <c r="R148" s="793"/>
      <c r="S148" s="793"/>
      <c r="T148" s="793"/>
      <c r="U148" s="793"/>
      <c r="V148" s="793"/>
      <c r="W148" s="793"/>
      <c r="X148" s="793"/>
      <c r="Y148" s="793"/>
      <c r="Z148" s="793"/>
      <c r="AA148" s="793">
        <v>111000</v>
      </c>
      <c r="AB148" s="979">
        <v>109000</v>
      </c>
    </row>
    <row r="149" spans="1:28" s="776" customFormat="1">
      <c r="A149" s="793"/>
      <c r="B149" s="73" t="s">
        <v>355</v>
      </c>
      <c r="C149" s="793"/>
      <c r="D149" s="242"/>
      <c r="E149" s="242"/>
      <c r="F149" s="892"/>
      <c r="G149" s="892"/>
      <c r="H149" s="892"/>
      <c r="I149" s="892"/>
      <c r="J149" s="892"/>
      <c r="K149" s="892"/>
      <c r="L149" s="892"/>
      <c r="M149" s="892"/>
      <c r="N149" s="892"/>
      <c r="O149" s="892"/>
      <c r="P149" s="892"/>
      <c r="Q149" s="892"/>
      <c r="R149" s="892"/>
      <c r="S149" s="892"/>
      <c r="T149" s="892"/>
      <c r="U149" s="892"/>
      <c r="V149" s="892"/>
      <c r="W149" s="892"/>
      <c r="X149" s="892"/>
      <c r="Y149" s="892"/>
      <c r="Z149" s="892"/>
      <c r="AA149" s="892">
        <v>-15000</v>
      </c>
      <c r="AB149" s="888">
        <v>-21000</v>
      </c>
    </row>
    <row r="150" spans="1:28" s="776" customFormat="1">
      <c r="A150" s="793"/>
      <c r="B150" s="73" t="s">
        <v>363</v>
      </c>
      <c r="C150" s="793"/>
      <c r="D150" s="242"/>
      <c r="E150" s="242"/>
      <c r="F150" s="793"/>
      <c r="G150" s="793"/>
      <c r="H150" s="793"/>
      <c r="I150" s="793"/>
      <c r="J150" s="793"/>
      <c r="K150" s="793"/>
      <c r="L150" s="793"/>
      <c r="M150" s="793"/>
      <c r="N150" s="793"/>
      <c r="O150" s="793"/>
      <c r="P150" s="793"/>
      <c r="Q150" s="793"/>
      <c r="R150" s="793"/>
      <c r="S150" s="793"/>
      <c r="T150" s="793"/>
      <c r="U150" s="793"/>
      <c r="V150" s="793"/>
      <c r="W150" s="793"/>
      <c r="X150" s="793"/>
      <c r="Y150" s="793"/>
      <c r="Z150" s="793"/>
      <c r="AA150" s="793">
        <f>SUM(AA148:AA149)</f>
        <v>96000</v>
      </c>
      <c r="AB150" s="979">
        <f>SUM(AB148:AB149)</f>
        <v>88000</v>
      </c>
    </row>
    <row r="151" spans="1:28" s="776" customFormat="1">
      <c r="A151" s="793"/>
      <c r="B151" s="73"/>
      <c r="C151" s="793"/>
      <c r="D151" s="242"/>
      <c r="E151" s="242"/>
      <c r="F151" s="793"/>
      <c r="G151" s="793"/>
      <c r="H151" s="793"/>
      <c r="I151" s="793"/>
      <c r="J151" s="793"/>
      <c r="K151" s="793"/>
      <c r="L151" s="793"/>
      <c r="M151" s="793"/>
      <c r="N151" s="793"/>
      <c r="O151" s="793"/>
      <c r="P151" s="793"/>
      <c r="Q151" s="793"/>
      <c r="R151" s="793"/>
      <c r="S151" s="793"/>
      <c r="T151" s="793"/>
      <c r="U151" s="793"/>
      <c r="V151" s="793"/>
      <c r="W151" s="793"/>
      <c r="X151" s="793"/>
      <c r="Y151" s="793"/>
      <c r="Z151" s="793"/>
      <c r="AA151" s="793"/>
      <c r="AB151" s="979"/>
    </row>
    <row r="152" spans="1:28" s="776" customFormat="1">
      <c r="A152" s="793"/>
      <c r="B152" s="922" t="s">
        <v>172</v>
      </c>
      <c r="C152" s="793"/>
      <c r="D152" s="242"/>
      <c r="E152" s="242"/>
      <c r="F152" s="793">
        <v>7488</v>
      </c>
      <c r="G152" s="793">
        <v>7482</v>
      </c>
      <c r="H152" s="793">
        <v>7482</v>
      </c>
      <c r="I152" s="793">
        <v>8271</v>
      </c>
      <c r="J152" s="793">
        <v>7482</v>
      </c>
      <c r="K152" s="793">
        <v>7482</v>
      </c>
      <c r="L152" s="793">
        <v>7851</v>
      </c>
      <c r="M152" s="793">
        <v>7851</v>
      </c>
      <c r="N152" s="793">
        <v>8586</v>
      </c>
      <c r="O152" s="793">
        <v>8586</v>
      </c>
      <c r="P152" s="793">
        <v>8586</v>
      </c>
      <c r="Q152" s="793">
        <v>8586</v>
      </c>
      <c r="R152" s="793">
        <v>14675</v>
      </c>
      <c r="S152" s="793">
        <v>24900</v>
      </c>
      <c r="T152" s="793">
        <v>0</v>
      </c>
      <c r="U152" s="793">
        <v>0</v>
      </c>
      <c r="V152" s="793">
        <v>0</v>
      </c>
      <c r="W152" s="793">
        <v>0</v>
      </c>
      <c r="X152" s="793">
        <v>0</v>
      </c>
      <c r="Y152" s="793">
        <v>0</v>
      </c>
      <c r="Z152" s="793">
        <v>0</v>
      </c>
      <c r="AA152" s="793">
        <v>0</v>
      </c>
      <c r="AB152" s="979">
        <v>0</v>
      </c>
    </row>
    <row r="153" spans="1:28" s="776" customFormat="1">
      <c r="A153" s="793"/>
      <c r="B153" s="922" t="s">
        <v>364</v>
      </c>
      <c r="C153" s="793"/>
      <c r="D153" s="242"/>
      <c r="E153" s="242"/>
      <c r="F153" s="892">
        <v>-56</v>
      </c>
      <c r="G153" s="892">
        <v>-192</v>
      </c>
      <c r="H153" s="892">
        <v>-346</v>
      </c>
      <c r="I153" s="892">
        <v>-500</v>
      </c>
      <c r="J153" s="892">
        <v>-653</v>
      </c>
      <c r="K153" s="892">
        <v>-806</v>
      </c>
      <c r="L153" s="892">
        <v>-981</v>
      </c>
      <c r="M153" s="892">
        <v>-1151</v>
      </c>
      <c r="N153" s="892">
        <v>-1321</v>
      </c>
      <c r="O153" s="892">
        <v>-1501</v>
      </c>
      <c r="P153" s="892">
        <v>-1680</v>
      </c>
      <c r="Q153" s="892">
        <v>-1855</v>
      </c>
      <c r="R153" s="892">
        <v>-2134</v>
      </c>
      <c r="S153" s="892">
        <v>-2700</v>
      </c>
      <c r="T153" s="892">
        <v>0</v>
      </c>
      <c r="U153" s="892">
        <v>0</v>
      </c>
      <c r="V153" s="892">
        <v>0</v>
      </c>
      <c r="W153" s="892">
        <v>0</v>
      </c>
      <c r="X153" s="892">
        <v>0</v>
      </c>
      <c r="Y153" s="892">
        <v>0</v>
      </c>
      <c r="Z153" s="892">
        <v>0</v>
      </c>
      <c r="AA153" s="892">
        <v>0</v>
      </c>
      <c r="AB153" s="888">
        <v>0</v>
      </c>
    </row>
    <row r="154" spans="1:28" s="776" customFormat="1">
      <c r="A154" s="793"/>
      <c r="B154" s="73" t="s">
        <v>365</v>
      </c>
      <c r="C154" s="793"/>
      <c r="D154" s="242"/>
      <c r="E154" s="242"/>
      <c r="F154" s="793">
        <f t="shared" ref="F154:AB154" si="46">SUM(F152:F153)</f>
        <v>7432</v>
      </c>
      <c r="G154" s="793">
        <f t="shared" si="46"/>
        <v>7290</v>
      </c>
      <c r="H154" s="793">
        <f t="shared" si="46"/>
        <v>7136</v>
      </c>
      <c r="I154" s="793">
        <f t="shared" si="46"/>
        <v>7771</v>
      </c>
      <c r="J154" s="793">
        <f t="shared" si="46"/>
        <v>6829</v>
      </c>
      <c r="K154" s="793">
        <f t="shared" si="46"/>
        <v>6676</v>
      </c>
      <c r="L154" s="793">
        <f t="shared" si="46"/>
        <v>6870</v>
      </c>
      <c r="M154" s="793">
        <f t="shared" si="46"/>
        <v>6700</v>
      </c>
      <c r="N154" s="793">
        <f t="shared" si="46"/>
        <v>7265</v>
      </c>
      <c r="O154" s="793">
        <f t="shared" si="46"/>
        <v>7085</v>
      </c>
      <c r="P154" s="793">
        <f t="shared" si="46"/>
        <v>6906</v>
      </c>
      <c r="Q154" s="793">
        <f t="shared" si="46"/>
        <v>6731</v>
      </c>
      <c r="R154" s="793">
        <f t="shared" si="46"/>
        <v>12541</v>
      </c>
      <c r="S154" s="793">
        <f t="shared" si="46"/>
        <v>22200</v>
      </c>
      <c r="T154" s="793">
        <f t="shared" si="46"/>
        <v>0</v>
      </c>
      <c r="U154" s="793">
        <f t="shared" si="46"/>
        <v>0</v>
      </c>
      <c r="V154" s="793">
        <f t="shared" si="46"/>
        <v>0</v>
      </c>
      <c r="W154" s="793">
        <f t="shared" si="46"/>
        <v>0</v>
      </c>
      <c r="X154" s="793">
        <f t="shared" si="46"/>
        <v>0</v>
      </c>
      <c r="Y154" s="793">
        <f t="shared" si="46"/>
        <v>0</v>
      </c>
      <c r="Z154" s="793">
        <f t="shared" si="46"/>
        <v>0</v>
      </c>
      <c r="AA154" s="793">
        <f t="shared" si="46"/>
        <v>0</v>
      </c>
      <c r="AB154" s="979">
        <f t="shared" si="46"/>
        <v>0</v>
      </c>
    </row>
    <row r="155" spans="1:28" s="776" customFormat="1">
      <c r="A155" s="793"/>
      <c r="B155" s="922"/>
      <c r="C155" s="793"/>
      <c r="D155" s="242"/>
      <c r="E155" s="242"/>
      <c r="F155" s="793"/>
      <c r="G155" s="793"/>
      <c r="H155" s="793"/>
      <c r="I155" s="793"/>
      <c r="J155" s="793"/>
      <c r="K155" s="793"/>
      <c r="L155" s="793"/>
      <c r="M155" s="793"/>
      <c r="N155" s="793"/>
      <c r="O155" s="793"/>
      <c r="P155" s="793"/>
      <c r="Q155" s="793"/>
      <c r="R155" s="793"/>
      <c r="S155" s="793"/>
      <c r="T155" s="793"/>
      <c r="U155" s="793"/>
      <c r="V155" s="793"/>
      <c r="W155" s="793"/>
      <c r="X155" s="793"/>
      <c r="Y155" s="793"/>
      <c r="Z155" s="793"/>
      <c r="AA155" s="793"/>
      <c r="AB155" s="979"/>
    </row>
    <row r="156" spans="1:28" s="776" customFormat="1">
      <c r="A156" s="793"/>
      <c r="B156" s="922" t="s">
        <v>318</v>
      </c>
      <c r="C156" s="793"/>
      <c r="D156" s="242"/>
      <c r="E156" s="242"/>
      <c r="F156" s="793">
        <v>204946</v>
      </c>
      <c r="G156" s="793">
        <v>119014</v>
      </c>
      <c r="H156" s="793">
        <v>212544</v>
      </c>
      <c r="I156" s="793">
        <v>52823</v>
      </c>
      <c r="J156" s="793">
        <v>118126</v>
      </c>
      <c r="K156" s="793">
        <v>215374</v>
      </c>
      <c r="L156" s="793">
        <v>93643</v>
      </c>
      <c r="M156" s="793">
        <v>94869</v>
      </c>
      <c r="N156" s="793">
        <v>94932</v>
      </c>
      <c r="O156" s="793">
        <v>309589</v>
      </c>
      <c r="P156" s="793">
        <v>677980</v>
      </c>
      <c r="Q156" s="793">
        <v>283522</v>
      </c>
      <c r="R156" s="793">
        <v>276263</v>
      </c>
      <c r="S156" s="926">
        <v>726900</v>
      </c>
      <c r="T156" s="793">
        <v>245000</v>
      </c>
      <c r="U156" s="793">
        <v>242000</v>
      </c>
      <c r="V156" s="793">
        <v>86000</v>
      </c>
      <c r="W156" s="793">
        <v>91000</v>
      </c>
      <c r="X156" s="793">
        <v>77000</v>
      </c>
      <c r="Y156" s="793">
        <v>71000</v>
      </c>
      <c r="Z156" s="793">
        <v>96000</v>
      </c>
      <c r="AA156" s="793">
        <v>105000</v>
      </c>
      <c r="AB156" s="979">
        <v>162000</v>
      </c>
    </row>
    <row r="157" spans="1:28" s="776" customFormat="1">
      <c r="A157" s="793"/>
      <c r="B157" s="922" t="s">
        <v>366</v>
      </c>
      <c r="C157" s="793"/>
      <c r="D157" s="242"/>
      <c r="E157" s="242"/>
      <c r="F157" s="892">
        <v>0</v>
      </c>
      <c r="G157" s="892">
        <v>0</v>
      </c>
      <c r="H157" s="892">
        <v>0</v>
      </c>
      <c r="I157" s="892">
        <v>0</v>
      </c>
      <c r="J157" s="892">
        <v>0</v>
      </c>
      <c r="K157" s="892">
        <v>0</v>
      </c>
      <c r="L157" s="892">
        <v>0</v>
      </c>
      <c r="M157" s="892">
        <v>0</v>
      </c>
      <c r="N157" s="892">
        <v>0</v>
      </c>
      <c r="O157" s="892">
        <v>0</v>
      </c>
      <c r="P157" s="892">
        <v>0</v>
      </c>
      <c r="Q157" s="892">
        <v>-1200</v>
      </c>
      <c r="R157" s="892">
        <v>-2329</v>
      </c>
      <c r="S157" s="892">
        <v>-31400</v>
      </c>
      <c r="T157" s="892">
        <v>0</v>
      </c>
      <c r="U157" s="892">
        <v>0</v>
      </c>
      <c r="V157" s="892">
        <v>0</v>
      </c>
      <c r="W157" s="892">
        <v>0</v>
      </c>
      <c r="X157" s="892">
        <v>-2000</v>
      </c>
      <c r="Y157" s="892">
        <v>-1000</v>
      </c>
      <c r="Z157" s="892">
        <v>-3000</v>
      </c>
      <c r="AA157" s="892">
        <v>-2000</v>
      </c>
      <c r="AB157" s="888">
        <v>-3000</v>
      </c>
    </row>
    <row r="158" spans="1:28" s="776" customFormat="1">
      <c r="A158" s="793"/>
      <c r="B158" s="73" t="s">
        <v>367</v>
      </c>
      <c r="C158" s="793"/>
      <c r="D158" s="242"/>
      <c r="E158" s="242"/>
      <c r="F158" s="793">
        <f t="shared" ref="F158:AB158" si="47">SUM(F156:F157)</f>
        <v>204946</v>
      </c>
      <c r="G158" s="793">
        <f t="shared" si="47"/>
        <v>119014</v>
      </c>
      <c r="H158" s="793">
        <f t="shared" si="47"/>
        <v>212544</v>
      </c>
      <c r="I158" s="793">
        <f t="shared" si="47"/>
        <v>52823</v>
      </c>
      <c r="J158" s="793">
        <f t="shared" si="47"/>
        <v>118126</v>
      </c>
      <c r="K158" s="793">
        <f t="shared" si="47"/>
        <v>215374</v>
      </c>
      <c r="L158" s="793">
        <f t="shared" si="47"/>
        <v>93643</v>
      </c>
      <c r="M158" s="793">
        <f t="shared" si="47"/>
        <v>94869</v>
      </c>
      <c r="N158" s="793">
        <f t="shared" si="47"/>
        <v>94932</v>
      </c>
      <c r="O158" s="793">
        <f t="shared" si="47"/>
        <v>309589</v>
      </c>
      <c r="P158" s="793">
        <f t="shared" si="47"/>
        <v>677980</v>
      </c>
      <c r="Q158" s="793">
        <f t="shared" si="47"/>
        <v>282322</v>
      </c>
      <c r="R158" s="793">
        <f t="shared" si="47"/>
        <v>273934</v>
      </c>
      <c r="S158" s="793">
        <f t="shared" si="47"/>
        <v>695500</v>
      </c>
      <c r="T158" s="793">
        <f t="shared" si="47"/>
        <v>245000</v>
      </c>
      <c r="U158" s="793">
        <f t="shared" si="47"/>
        <v>242000</v>
      </c>
      <c r="V158" s="793">
        <f t="shared" si="47"/>
        <v>86000</v>
      </c>
      <c r="W158" s="793">
        <f t="shared" si="47"/>
        <v>91000</v>
      </c>
      <c r="X158" s="793">
        <f t="shared" si="47"/>
        <v>75000</v>
      </c>
      <c r="Y158" s="793">
        <f t="shared" si="47"/>
        <v>70000</v>
      </c>
      <c r="Z158" s="793">
        <f t="shared" si="47"/>
        <v>93000</v>
      </c>
      <c r="AA158" s="793">
        <f t="shared" si="47"/>
        <v>103000</v>
      </c>
      <c r="AB158" s="979">
        <f t="shared" si="47"/>
        <v>159000</v>
      </c>
    </row>
    <row r="159" spans="1:28" s="776" customFormat="1">
      <c r="A159" s="793"/>
      <c r="B159" s="922"/>
      <c r="C159" s="793"/>
      <c r="D159" s="242"/>
      <c r="E159" s="242"/>
      <c r="F159" s="793"/>
      <c r="G159" s="793"/>
      <c r="H159" s="793"/>
      <c r="I159" s="793"/>
      <c r="J159" s="793"/>
      <c r="K159" s="793"/>
      <c r="L159" s="793"/>
      <c r="M159" s="793"/>
      <c r="N159" s="793"/>
      <c r="O159" s="793"/>
      <c r="P159" s="793"/>
      <c r="Q159" s="793"/>
      <c r="R159" s="793"/>
      <c r="S159" s="793"/>
      <c r="T159" s="793"/>
      <c r="U159" s="793"/>
      <c r="V159" s="793"/>
      <c r="W159" s="793"/>
      <c r="X159" s="793"/>
      <c r="Y159" s="793"/>
      <c r="Z159" s="793"/>
      <c r="AA159" s="793"/>
      <c r="AB159" s="979"/>
    </row>
    <row r="160" spans="1:28" s="776" customFormat="1">
      <c r="A160" s="793"/>
      <c r="B160" s="921" t="s">
        <v>368</v>
      </c>
      <c r="C160" s="892"/>
      <c r="D160" s="74"/>
      <c r="E160" s="242"/>
      <c r="F160" s="793"/>
      <c r="G160" s="793"/>
      <c r="H160" s="793"/>
      <c r="I160" s="793"/>
      <c r="J160" s="793"/>
      <c r="K160" s="793"/>
      <c r="L160" s="793"/>
      <c r="M160" s="793"/>
      <c r="N160" s="793"/>
      <c r="O160" s="793"/>
      <c r="P160" s="793"/>
      <c r="Q160" s="793"/>
      <c r="R160" s="793"/>
      <c r="S160" s="793"/>
      <c r="T160" s="793"/>
      <c r="U160" s="793"/>
      <c r="V160" s="793"/>
      <c r="W160" s="793"/>
      <c r="X160" s="793"/>
      <c r="Y160" s="793"/>
      <c r="Z160" s="793"/>
      <c r="AA160" s="793"/>
      <c r="AB160" s="979"/>
    </row>
    <row r="161" spans="1:28" s="776" customFormat="1">
      <c r="A161" s="793"/>
      <c r="B161" s="922" t="s">
        <v>169</v>
      </c>
      <c r="C161" s="793"/>
      <c r="D161" s="242"/>
      <c r="E161" s="242"/>
      <c r="F161" s="793">
        <f t="shared" ref="F161:AA161" si="48">F129</f>
        <v>1819132</v>
      </c>
      <c r="G161" s="793">
        <f t="shared" si="48"/>
        <v>2086591</v>
      </c>
      <c r="H161" s="793">
        <f t="shared" si="48"/>
        <v>2225866</v>
      </c>
      <c r="I161" s="793">
        <f t="shared" si="48"/>
        <v>2452025</v>
      </c>
      <c r="J161" s="793">
        <f t="shared" si="48"/>
        <v>3162959</v>
      </c>
      <c r="K161" s="793">
        <f t="shared" si="48"/>
        <v>3186769</v>
      </c>
      <c r="L161" s="793">
        <f t="shared" si="48"/>
        <v>3592168</v>
      </c>
      <c r="M161" s="793">
        <f t="shared" si="48"/>
        <v>4605643</v>
      </c>
      <c r="N161" s="793">
        <f t="shared" si="48"/>
        <v>6120462</v>
      </c>
      <c r="O161" s="793">
        <f t="shared" si="48"/>
        <v>6135215</v>
      </c>
      <c r="P161" s="793">
        <f t="shared" si="48"/>
        <v>6164614</v>
      </c>
      <c r="Q161" s="793">
        <f t="shared" si="48"/>
        <v>7749818</v>
      </c>
      <c r="R161" s="793">
        <f t="shared" si="48"/>
        <v>7297059</v>
      </c>
      <c r="S161" s="793">
        <f t="shared" si="48"/>
        <v>7304900</v>
      </c>
      <c r="T161" s="793">
        <f t="shared" si="48"/>
        <v>6467000</v>
      </c>
      <c r="U161" s="793">
        <f t="shared" si="48"/>
        <v>6766000</v>
      </c>
      <c r="V161" s="793">
        <f t="shared" si="48"/>
        <v>6896000</v>
      </c>
      <c r="W161" s="793">
        <f t="shared" si="48"/>
        <v>7566000</v>
      </c>
      <c r="X161" s="793">
        <f t="shared" si="48"/>
        <v>7774000</v>
      </c>
      <c r="Y161" s="793">
        <f t="shared" si="48"/>
        <v>8013000</v>
      </c>
      <c r="Z161" s="793">
        <f t="shared" si="48"/>
        <v>8655000</v>
      </c>
      <c r="AA161" s="793">
        <f t="shared" si="48"/>
        <v>8593000</v>
      </c>
      <c r="AB161" s="793">
        <f t="shared" ref="AB161" si="49">AB129</f>
        <v>8314000</v>
      </c>
    </row>
    <row r="162" spans="1:28" s="776" customFormat="1">
      <c r="A162" s="793"/>
      <c r="B162" s="922" t="s">
        <v>316</v>
      </c>
      <c r="C162" s="793"/>
      <c r="D162" s="242"/>
      <c r="E162" s="242"/>
      <c r="F162" s="793">
        <f t="shared" ref="F162:AA162" si="50">F134+F136+F140+F144+F148+F152</f>
        <v>65917</v>
      </c>
      <c r="G162" s="793">
        <f t="shared" si="50"/>
        <v>56184</v>
      </c>
      <c r="H162" s="793">
        <f t="shared" si="50"/>
        <v>64137</v>
      </c>
      <c r="I162" s="793">
        <f t="shared" si="50"/>
        <v>53957</v>
      </c>
      <c r="J162" s="793">
        <f t="shared" si="50"/>
        <v>248380</v>
      </c>
      <c r="K162" s="793">
        <f t="shared" si="50"/>
        <v>291372</v>
      </c>
      <c r="L162" s="793">
        <f t="shared" si="50"/>
        <v>308873</v>
      </c>
      <c r="M162" s="793">
        <f t="shared" si="50"/>
        <v>139882</v>
      </c>
      <c r="N162" s="793">
        <f t="shared" si="50"/>
        <v>148875</v>
      </c>
      <c r="O162" s="793">
        <f t="shared" si="50"/>
        <v>171190</v>
      </c>
      <c r="P162" s="793">
        <f t="shared" si="50"/>
        <v>230416</v>
      </c>
      <c r="Q162" s="793">
        <f t="shared" si="50"/>
        <v>267990</v>
      </c>
      <c r="R162" s="793">
        <f t="shared" si="50"/>
        <v>269826</v>
      </c>
      <c r="S162" s="793">
        <f t="shared" si="50"/>
        <v>255100</v>
      </c>
      <c r="T162" s="793">
        <f t="shared" si="50"/>
        <v>150000</v>
      </c>
      <c r="U162" s="793">
        <f t="shared" si="50"/>
        <v>184000</v>
      </c>
      <c r="V162" s="793">
        <f t="shared" si="50"/>
        <v>187000</v>
      </c>
      <c r="W162" s="793">
        <f t="shared" si="50"/>
        <v>200000</v>
      </c>
      <c r="X162" s="793">
        <f t="shared" si="50"/>
        <v>199000</v>
      </c>
      <c r="Y162" s="793">
        <f t="shared" si="50"/>
        <v>191000</v>
      </c>
      <c r="Z162" s="793">
        <f t="shared" si="50"/>
        <v>180000</v>
      </c>
      <c r="AA162" s="793">
        <f t="shared" si="50"/>
        <v>261000</v>
      </c>
      <c r="AB162" s="793">
        <f t="shared" ref="AB162" si="51">AB134+AB136+AB140+AB144+AB148+AB152</f>
        <v>273000</v>
      </c>
    </row>
    <row r="163" spans="1:28" s="776" customFormat="1">
      <c r="A163" s="793"/>
      <c r="B163" s="922" t="s">
        <v>318</v>
      </c>
      <c r="C163" s="793"/>
      <c r="D163" s="242"/>
      <c r="E163" s="242"/>
      <c r="F163" s="892">
        <f t="shared" ref="F163:AA163" si="52">F156</f>
        <v>204946</v>
      </c>
      <c r="G163" s="892">
        <f t="shared" si="52"/>
        <v>119014</v>
      </c>
      <c r="H163" s="892">
        <f t="shared" si="52"/>
        <v>212544</v>
      </c>
      <c r="I163" s="892">
        <f t="shared" si="52"/>
        <v>52823</v>
      </c>
      <c r="J163" s="892">
        <f t="shared" si="52"/>
        <v>118126</v>
      </c>
      <c r="K163" s="892">
        <f t="shared" si="52"/>
        <v>215374</v>
      </c>
      <c r="L163" s="892">
        <f t="shared" si="52"/>
        <v>93643</v>
      </c>
      <c r="M163" s="892">
        <f t="shared" si="52"/>
        <v>94869</v>
      </c>
      <c r="N163" s="892">
        <f t="shared" si="52"/>
        <v>94932</v>
      </c>
      <c r="O163" s="892">
        <f t="shared" si="52"/>
        <v>309589</v>
      </c>
      <c r="P163" s="892">
        <f t="shared" si="52"/>
        <v>677980</v>
      </c>
      <c r="Q163" s="892">
        <f t="shared" si="52"/>
        <v>283522</v>
      </c>
      <c r="R163" s="892">
        <f t="shared" si="52"/>
        <v>276263</v>
      </c>
      <c r="S163" s="892">
        <f t="shared" si="52"/>
        <v>726900</v>
      </c>
      <c r="T163" s="892">
        <f t="shared" si="52"/>
        <v>245000</v>
      </c>
      <c r="U163" s="892">
        <f t="shared" si="52"/>
        <v>242000</v>
      </c>
      <c r="V163" s="892">
        <f t="shared" si="52"/>
        <v>86000</v>
      </c>
      <c r="W163" s="892">
        <f t="shared" si="52"/>
        <v>91000</v>
      </c>
      <c r="X163" s="892">
        <f t="shared" si="52"/>
        <v>77000</v>
      </c>
      <c r="Y163" s="892">
        <f t="shared" si="52"/>
        <v>71000</v>
      </c>
      <c r="Z163" s="892">
        <f t="shared" si="52"/>
        <v>96000</v>
      </c>
      <c r="AA163" s="892">
        <f t="shared" si="52"/>
        <v>105000</v>
      </c>
      <c r="AB163" s="892">
        <f t="shared" ref="AB163" si="53">AB156</f>
        <v>162000</v>
      </c>
    </row>
    <row r="164" spans="1:28" s="776" customFormat="1">
      <c r="A164" s="793"/>
      <c r="B164" s="922" t="s">
        <v>369</v>
      </c>
      <c r="C164" s="793"/>
      <c r="D164" s="242"/>
      <c r="E164" s="242"/>
      <c r="F164" s="793">
        <f t="shared" ref="F164:AA164" si="54">SUM(F161:F163)</f>
        <v>2089995</v>
      </c>
      <c r="G164" s="793">
        <f t="shared" si="54"/>
        <v>2261789</v>
      </c>
      <c r="H164" s="793">
        <f t="shared" si="54"/>
        <v>2502547</v>
      </c>
      <c r="I164" s="793">
        <f t="shared" si="54"/>
        <v>2558805</v>
      </c>
      <c r="J164" s="793">
        <f t="shared" si="54"/>
        <v>3529465</v>
      </c>
      <c r="K164" s="793">
        <f t="shared" si="54"/>
        <v>3693515</v>
      </c>
      <c r="L164" s="793">
        <f t="shared" si="54"/>
        <v>3994684</v>
      </c>
      <c r="M164" s="793">
        <f t="shared" si="54"/>
        <v>4840394</v>
      </c>
      <c r="N164" s="793">
        <f t="shared" si="54"/>
        <v>6364269</v>
      </c>
      <c r="O164" s="793">
        <f t="shared" si="54"/>
        <v>6615994</v>
      </c>
      <c r="P164" s="793">
        <f t="shared" si="54"/>
        <v>7073010</v>
      </c>
      <c r="Q164" s="793">
        <f t="shared" si="54"/>
        <v>8301330</v>
      </c>
      <c r="R164" s="793">
        <f t="shared" si="54"/>
        <v>7843148</v>
      </c>
      <c r="S164" s="793">
        <f t="shared" si="54"/>
        <v>8286900</v>
      </c>
      <c r="T164" s="793">
        <f t="shared" si="54"/>
        <v>6862000</v>
      </c>
      <c r="U164" s="793">
        <f t="shared" si="54"/>
        <v>7192000</v>
      </c>
      <c r="V164" s="793">
        <f t="shared" si="54"/>
        <v>7169000</v>
      </c>
      <c r="W164" s="793">
        <f t="shared" si="54"/>
        <v>7857000</v>
      </c>
      <c r="X164" s="793">
        <f t="shared" si="54"/>
        <v>8050000</v>
      </c>
      <c r="Y164" s="793">
        <f t="shared" si="54"/>
        <v>8275000</v>
      </c>
      <c r="Z164" s="793">
        <f t="shared" si="54"/>
        <v>8931000</v>
      </c>
      <c r="AA164" s="793">
        <f t="shared" si="54"/>
        <v>8959000</v>
      </c>
      <c r="AB164" s="793">
        <f t="shared" ref="AB164" si="55">SUM(AB161:AB163)</f>
        <v>8749000</v>
      </c>
    </row>
    <row r="165" spans="1:28" s="776" customFormat="1">
      <c r="A165" s="793"/>
      <c r="B165" s="899"/>
      <c r="C165" s="793"/>
      <c r="D165" s="242"/>
      <c r="E165" s="242"/>
      <c r="F165" s="793"/>
      <c r="G165" s="793"/>
      <c r="H165" s="793"/>
      <c r="I165" s="793"/>
      <c r="J165" s="793"/>
      <c r="K165" s="793"/>
      <c r="L165" s="793"/>
      <c r="M165" s="793"/>
      <c r="N165" s="793"/>
      <c r="O165" s="793"/>
      <c r="P165" s="793"/>
      <c r="Q165" s="793"/>
      <c r="R165" s="793"/>
      <c r="S165" s="793"/>
      <c r="T165" s="793"/>
      <c r="U165" s="793"/>
      <c r="V165" s="793"/>
      <c r="W165" s="793"/>
      <c r="X165" s="793"/>
      <c r="Y165" s="793"/>
      <c r="Z165" s="793"/>
      <c r="AA165" s="793"/>
      <c r="AB165" s="52"/>
    </row>
    <row r="166" spans="1:28" s="776" customFormat="1">
      <c r="A166" s="793"/>
      <c r="B166" s="922" t="s">
        <v>370</v>
      </c>
      <c r="C166" s="793"/>
      <c r="D166" s="242"/>
      <c r="E166" s="242"/>
      <c r="F166" s="793">
        <f t="shared" ref="F166:AA166" si="56">F129+F134+F136+F140+F144+F148+F152</f>
        <v>1885049</v>
      </c>
      <c r="G166" s="793">
        <f t="shared" si="56"/>
        <v>2142775</v>
      </c>
      <c r="H166" s="793">
        <f t="shared" si="56"/>
        <v>2290003</v>
      </c>
      <c r="I166" s="793">
        <f t="shared" si="56"/>
        <v>2505982</v>
      </c>
      <c r="J166" s="793">
        <f t="shared" si="56"/>
        <v>3411339</v>
      </c>
      <c r="K166" s="793">
        <f t="shared" si="56"/>
        <v>3478141</v>
      </c>
      <c r="L166" s="793">
        <f t="shared" si="56"/>
        <v>3901041</v>
      </c>
      <c r="M166" s="793">
        <f t="shared" si="56"/>
        <v>4745525</v>
      </c>
      <c r="N166" s="793">
        <f t="shared" si="56"/>
        <v>6269337</v>
      </c>
      <c r="O166" s="793">
        <f t="shared" si="56"/>
        <v>6306405</v>
      </c>
      <c r="P166" s="793">
        <f t="shared" si="56"/>
        <v>6395030</v>
      </c>
      <c r="Q166" s="793">
        <f t="shared" si="56"/>
        <v>8017808</v>
      </c>
      <c r="R166" s="793">
        <f t="shared" si="56"/>
        <v>7566885</v>
      </c>
      <c r="S166" s="793">
        <f t="shared" si="56"/>
        <v>7560000</v>
      </c>
      <c r="T166" s="793">
        <f t="shared" si="56"/>
        <v>6617000</v>
      </c>
      <c r="U166" s="793">
        <f t="shared" si="56"/>
        <v>6950000</v>
      </c>
      <c r="V166" s="793">
        <f t="shared" si="56"/>
        <v>7083000</v>
      </c>
      <c r="W166" s="793">
        <f t="shared" si="56"/>
        <v>7766000</v>
      </c>
      <c r="X166" s="793">
        <f t="shared" si="56"/>
        <v>7973000</v>
      </c>
      <c r="Y166" s="793">
        <f t="shared" si="56"/>
        <v>8204000</v>
      </c>
      <c r="Z166" s="793">
        <f t="shared" si="56"/>
        <v>8835000</v>
      </c>
      <c r="AA166" s="793">
        <f t="shared" si="56"/>
        <v>8854000</v>
      </c>
      <c r="AB166" s="793">
        <f t="shared" ref="AB166" si="57">AB129+AB134+AB136+AB140+AB144+AB148+AB152</f>
        <v>8587000</v>
      </c>
    </row>
    <row r="167" spans="1:28" s="776" customFormat="1">
      <c r="A167" s="793"/>
      <c r="B167" s="73" t="s">
        <v>371</v>
      </c>
      <c r="C167" s="793"/>
      <c r="D167" s="242"/>
      <c r="E167" s="242"/>
      <c r="F167" s="892">
        <f t="shared" ref="F167:AA167" si="58">F156</f>
        <v>204946</v>
      </c>
      <c r="G167" s="892">
        <f t="shared" si="58"/>
        <v>119014</v>
      </c>
      <c r="H167" s="892">
        <f t="shared" si="58"/>
        <v>212544</v>
      </c>
      <c r="I167" s="892">
        <f t="shared" si="58"/>
        <v>52823</v>
      </c>
      <c r="J167" s="892">
        <f t="shared" si="58"/>
        <v>118126</v>
      </c>
      <c r="K167" s="892">
        <f t="shared" si="58"/>
        <v>215374</v>
      </c>
      <c r="L167" s="892">
        <f t="shared" si="58"/>
        <v>93643</v>
      </c>
      <c r="M167" s="892">
        <f t="shared" si="58"/>
        <v>94869</v>
      </c>
      <c r="N167" s="892">
        <f t="shared" si="58"/>
        <v>94932</v>
      </c>
      <c r="O167" s="892">
        <f t="shared" si="58"/>
        <v>309589</v>
      </c>
      <c r="P167" s="892">
        <f t="shared" si="58"/>
        <v>677980</v>
      </c>
      <c r="Q167" s="892">
        <f t="shared" si="58"/>
        <v>283522</v>
      </c>
      <c r="R167" s="892">
        <f t="shared" si="58"/>
        <v>276263</v>
      </c>
      <c r="S167" s="892">
        <f t="shared" si="58"/>
        <v>726900</v>
      </c>
      <c r="T167" s="892">
        <f t="shared" si="58"/>
        <v>245000</v>
      </c>
      <c r="U167" s="892">
        <f t="shared" si="58"/>
        <v>242000</v>
      </c>
      <c r="V167" s="892">
        <f t="shared" si="58"/>
        <v>86000</v>
      </c>
      <c r="W167" s="892">
        <f t="shared" si="58"/>
        <v>91000</v>
      </c>
      <c r="X167" s="892">
        <f t="shared" si="58"/>
        <v>77000</v>
      </c>
      <c r="Y167" s="892">
        <f t="shared" si="58"/>
        <v>71000</v>
      </c>
      <c r="Z167" s="892">
        <f t="shared" si="58"/>
        <v>96000</v>
      </c>
      <c r="AA167" s="892">
        <f t="shared" si="58"/>
        <v>105000</v>
      </c>
      <c r="AB167" s="892">
        <f t="shared" ref="AB167" si="59">AB156</f>
        <v>162000</v>
      </c>
    </row>
    <row r="168" spans="1:28" s="776" customFormat="1">
      <c r="A168" s="793"/>
      <c r="B168" s="922" t="s">
        <v>162</v>
      </c>
      <c r="C168" s="793"/>
      <c r="D168" s="242"/>
      <c r="E168" s="242"/>
      <c r="F168" s="793">
        <f t="shared" ref="F168:AA168" si="60">SUM(F166:F167)</f>
        <v>2089995</v>
      </c>
      <c r="G168" s="793">
        <f t="shared" si="60"/>
        <v>2261789</v>
      </c>
      <c r="H168" s="793">
        <f t="shared" si="60"/>
        <v>2502547</v>
      </c>
      <c r="I168" s="793">
        <f t="shared" si="60"/>
        <v>2558805</v>
      </c>
      <c r="J168" s="793">
        <f t="shared" si="60"/>
        <v>3529465</v>
      </c>
      <c r="K168" s="793">
        <f t="shared" si="60"/>
        <v>3693515</v>
      </c>
      <c r="L168" s="793">
        <f t="shared" si="60"/>
        <v>3994684</v>
      </c>
      <c r="M168" s="793">
        <f t="shared" si="60"/>
        <v>4840394</v>
      </c>
      <c r="N168" s="793">
        <f t="shared" si="60"/>
        <v>6364269</v>
      </c>
      <c r="O168" s="793">
        <f t="shared" si="60"/>
        <v>6615994</v>
      </c>
      <c r="P168" s="793">
        <f t="shared" si="60"/>
        <v>7073010</v>
      </c>
      <c r="Q168" s="793">
        <f t="shared" si="60"/>
        <v>8301330</v>
      </c>
      <c r="R168" s="793">
        <f t="shared" si="60"/>
        <v>7843148</v>
      </c>
      <c r="S168" s="793">
        <f t="shared" si="60"/>
        <v>8286900</v>
      </c>
      <c r="T168" s="793">
        <f t="shared" si="60"/>
        <v>6862000</v>
      </c>
      <c r="U168" s="793">
        <f t="shared" si="60"/>
        <v>7192000</v>
      </c>
      <c r="V168" s="793">
        <f t="shared" si="60"/>
        <v>7169000</v>
      </c>
      <c r="W168" s="793">
        <f t="shared" si="60"/>
        <v>7857000</v>
      </c>
      <c r="X168" s="793">
        <f t="shared" si="60"/>
        <v>8050000</v>
      </c>
      <c r="Y168" s="793">
        <f t="shared" si="60"/>
        <v>8275000</v>
      </c>
      <c r="Z168" s="793">
        <f t="shared" si="60"/>
        <v>8931000</v>
      </c>
      <c r="AA168" s="793">
        <f t="shared" si="60"/>
        <v>8959000</v>
      </c>
      <c r="AB168" s="793">
        <f t="shared" ref="AB168" si="61">SUM(AB166:AB167)</f>
        <v>8749000</v>
      </c>
    </row>
    <row r="169" spans="1:28" s="776" customFormat="1">
      <c r="A169" s="793"/>
      <c r="B169" s="73" t="s">
        <v>372</v>
      </c>
      <c r="C169" s="793"/>
      <c r="D169" s="242"/>
      <c r="E169" s="242"/>
      <c r="F169" s="242"/>
      <c r="G169" s="242"/>
      <c r="H169" s="242"/>
      <c r="I169" s="242"/>
      <c r="J169" s="242"/>
      <c r="K169" s="242"/>
      <c r="L169" s="242"/>
      <c r="M169" s="242"/>
      <c r="N169" s="242"/>
      <c r="O169" s="242"/>
      <c r="P169" s="242"/>
      <c r="Q169" s="242"/>
      <c r="R169" s="242"/>
      <c r="S169" s="242"/>
      <c r="T169" s="242"/>
      <c r="U169" s="242"/>
      <c r="V169" s="242"/>
      <c r="W169" s="242"/>
      <c r="X169" s="242"/>
      <c r="Y169" s="242"/>
      <c r="Z169" s="242"/>
      <c r="AA169" s="242"/>
      <c r="AB169" s="242"/>
    </row>
    <row r="170" spans="1:28" s="776" customFormat="1">
      <c r="A170" s="793"/>
      <c r="B170" s="73"/>
      <c r="C170" s="793" t="s">
        <v>373</v>
      </c>
      <c r="D170" s="242"/>
      <c r="E170" s="242"/>
      <c r="F170" s="793">
        <f t="shared" ref="F170:AA170" si="62">F130+F157</f>
        <v>-13424</v>
      </c>
      <c r="G170" s="793">
        <f t="shared" si="62"/>
        <v>-57731</v>
      </c>
      <c r="H170" s="793">
        <f t="shared" si="62"/>
        <v>-118744</v>
      </c>
      <c r="I170" s="793">
        <f t="shared" si="62"/>
        <v>-154202</v>
      </c>
      <c r="J170" s="793">
        <f t="shared" si="62"/>
        <v>-8228</v>
      </c>
      <c r="K170" s="793">
        <f t="shared" si="62"/>
        <v>-72988</v>
      </c>
      <c r="L170" s="793">
        <f t="shared" si="62"/>
        <v>-148127</v>
      </c>
      <c r="M170" s="793">
        <f t="shared" si="62"/>
        <v>0</v>
      </c>
      <c r="N170" s="793">
        <f t="shared" si="62"/>
        <v>0</v>
      </c>
      <c r="O170" s="793">
        <f t="shared" si="62"/>
        <v>-129256</v>
      </c>
      <c r="P170" s="793">
        <f t="shared" si="62"/>
        <v>-260394</v>
      </c>
      <c r="Q170" s="793">
        <f t="shared" si="62"/>
        <v>-2302</v>
      </c>
      <c r="R170" s="793">
        <f t="shared" si="62"/>
        <v>-15287</v>
      </c>
      <c r="S170" s="793">
        <f t="shared" si="62"/>
        <v>-224300</v>
      </c>
      <c r="T170" s="793">
        <f t="shared" si="62"/>
        <v>-4000</v>
      </c>
      <c r="U170" s="793">
        <f t="shared" si="62"/>
        <v>-184000</v>
      </c>
      <c r="V170" s="793">
        <f t="shared" si="62"/>
        <v>0</v>
      </c>
      <c r="W170" s="793">
        <f t="shared" si="62"/>
        <v>0</v>
      </c>
      <c r="X170" s="793">
        <f t="shared" si="62"/>
        <v>-2000</v>
      </c>
      <c r="Y170" s="793">
        <f t="shared" si="62"/>
        <v>-238000</v>
      </c>
      <c r="Z170" s="793">
        <f t="shared" si="62"/>
        <v>-4000</v>
      </c>
      <c r="AA170" s="793">
        <f t="shared" si="62"/>
        <v>-250000</v>
      </c>
      <c r="AB170" s="793">
        <f t="shared" ref="AB170" si="63">AB130+AB157</f>
        <v>-20000</v>
      </c>
    </row>
    <row r="171" spans="1:28" s="776" customFormat="1">
      <c r="A171" s="793"/>
      <c r="B171" s="73"/>
      <c r="C171" s="793" t="s">
        <v>374</v>
      </c>
      <c r="D171" s="242"/>
      <c r="E171" s="242"/>
      <c r="F171" s="892">
        <f t="shared" ref="F171:AA171" si="64">F137+F141+F145+F149+F153</f>
        <v>-1264</v>
      </c>
      <c r="G171" s="892">
        <f t="shared" si="64"/>
        <v>-4741</v>
      </c>
      <c r="H171" s="892">
        <f t="shared" si="64"/>
        <v>-10435</v>
      </c>
      <c r="I171" s="892">
        <f t="shared" si="64"/>
        <v>-18127</v>
      </c>
      <c r="J171" s="892">
        <f t="shared" si="64"/>
        <v>-26868</v>
      </c>
      <c r="K171" s="892">
        <f t="shared" si="64"/>
        <v>-39225</v>
      </c>
      <c r="L171" s="892">
        <f t="shared" si="64"/>
        <v>-50345</v>
      </c>
      <c r="M171" s="892">
        <f t="shared" si="64"/>
        <v>-48418</v>
      </c>
      <c r="N171" s="892">
        <f t="shared" si="64"/>
        <v>-49196</v>
      </c>
      <c r="O171" s="892">
        <f t="shared" si="64"/>
        <v>-54148</v>
      </c>
      <c r="P171" s="892">
        <f t="shared" si="64"/>
        <v>-69501</v>
      </c>
      <c r="Q171" s="892">
        <f t="shared" si="64"/>
        <v>-91701</v>
      </c>
      <c r="R171" s="892">
        <f t="shared" si="64"/>
        <v>-107054</v>
      </c>
      <c r="S171" s="892">
        <f t="shared" si="64"/>
        <v>-99000</v>
      </c>
      <c r="T171" s="892">
        <f t="shared" si="64"/>
        <v>-89000</v>
      </c>
      <c r="U171" s="892">
        <f t="shared" si="64"/>
        <v>-79000</v>
      </c>
      <c r="V171" s="892">
        <f t="shared" si="64"/>
        <v>-72000</v>
      </c>
      <c r="W171" s="892">
        <f t="shared" si="64"/>
        <v>-86000</v>
      </c>
      <c r="X171" s="892">
        <f t="shared" si="64"/>
        <v>-87000</v>
      </c>
      <c r="Y171" s="892">
        <f t="shared" si="64"/>
        <v>-96000</v>
      </c>
      <c r="Z171" s="892">
        <f t="shared" si="64"/>
        <v>-102000</v>
      </c>
      <c r="AA171" s="892">
        <f t="shared" si="64"/>
        <v>-115000</v>
      </c>
      <c r="AB171" s="892">
        <f t="shared" ref="AB171" si="65">AB137+AB141+AB145+AB149+AB153</f>
        <v>-131000</v>
      </c>
    </row>
    <row r="172" spans="1:28" s="776" customFormat="1">
      <c r="A172" s="793"/>
      <c r="B172" s="793" t="s">
        <v>375</v>
      </c>
      <c r="D172" s="242"/>
      <c r="E172" s="242"/>
      <c r="F172" s="793">
        <f t="shared" ref="F172:AA172" si="66">SUM(F170:F171)</f>
        <v>-14688</v>
      </c>
      <c r="G172" s="793">
        <f t="shared" si="66"/>
        <v>-62472</v>
      </c>
      <c r="H172" s="793">
        <f t="shared" si="66"/>
        <v>-129179</v>
      </c>
      <c r="I172" s="793">
        <f t="shared" si="66"/>
        <v>-172329</v>
      </c>
      <c r="J172" s="793">
        <f t="shared" si="66"/>
        <v>-35096</v>
      </c>
      <c r="K172" s="793">
        <f t="shared" si="66"/>
        <v>-112213</v>
      </c>
      <c r="L172" s="793">
        <f t="shared" si="66"/>
        <v>-198472</v>
      </c>
      <c r="M172" s="793">
        <f t="shared" si="66"/>
        <v>-48418</v>
      </c>
      <c r="N172" s="793">
        <f t="shared" si="66"/>
        <v>-49196</v>
      </c>
      <c r="O172" s="793">
        <f t="shared" si="66"/>
        <v>-183404</v>
      </c>
      <c r="P172" s="793">
        <f t="shared" si="66"/>
        <v>-329895</v>
      </c>
      <c r="Q172" s="793">
        <f t="shared" si="66"/>
        <v>-94003</v>
      </c>
      <c r="R172" s="793">
        <f t="shared" si="66"/>
        <v>-122341</v>
      </c>
      <c r="S172" s="793">
        <f t="shared" si="66"/>
        <v>-323300</v>
      </c>
      <c r="T172" s="793">
        <f t="shared" si="66"/>
        <v>-93000</v>
      </c>
      <c r="U172" s="793">
        <f t="shared" si="66"/>
        <v>-263000</v>
      </c>
      <c r="V172" s="793">
        <f t="shared" si="66"/>
        <v>-72000</v>
      </c>
      <c r="W172" s="793">
        <f t="shared" si="66"/>
        <v>-86000</v>
      </c>
      <c r="X172" s="793">
        <f t="shared" si="66"/>
        <v>-89000</v>
      </c>
      <c r="Y172" s="793">
        <f t="shared" si="66"/>
        <v>-334000</v>
      </c>
      <c r="Z172" s="793">
        <f t="shared" si="66"/>
        <v>-106000</v>
      </c>
      <c r="AA172" s="793">
        <f t="shared" si="66"/>
        <v>-365000</v>
      </c>
      <c r="AB172" s="793">
        <f t="shared" ref="AB172" si="67">SUM(AB170:AB171)</f>
        <v>-151000</v>
      </c>
    </row>
    <row r="173" spans="1:28" s="776" customFormat="1">
      <c r="A173" s="793"/>
      <c r="B173" s="73"/>
      <c r="C173" s="793"/>
      <c r="D173" s="242"/>
      <c r="E173" s="242"/>
      <c r="F173" s="793"/>
      <c r="G173" s="793"/>
      <c r="H173" s="793"/>
      <c r="I173" s="793"/>
      <c r="J173" s="793"/>
      <c r="K173" s="793"/>
      <c r="L173" s="793"/>
      <c r="M173" s="793"/>
      <c r="N173" s="793"/>
      <c r="O173" s="793"/>
      <c r="P173" s="793"/>
      <c r="Q173" s="793"/>
      <c r="R173" s="793"/>
      <c r="S173" s="793"/>
      <c r="T173" s="793"/>
      <c r="U173" s="793"/>
      <c r="V173" s="793"/>
      <c r="W173" s="793"/>
      <c r="X173" s="793"/>
      <c r="Y173" s="793"/>
      <c r="Z173" s="793"/>
      <c r="AA173" s="793"/>
      <c r="AB173" s="793"/>
    </row>
    <row r="174" spans="1:28" s="776" customFormat="1" ht="13.5" thickBot="1">
      <c r="A174" s="793"/>
      <c r="B174" s="922" t="s">
        <v>376</v>
      </c>
      <c r="C174" s="793"/>
      <c r="D174" s="242"/>
      <c r="E174" s="242"/>
      <c r="F174" s="925">
        <f t="shared" ref="F174:AA174" si="68">F168+F172</f>
        <v>2075307</v>
      </c>
      <c r="G174" s="925">
        <f t="shared" si="68"/>
        <v>2199317</v>
      </c>
      <c r="H174" s="925">
        <f t="shared" si="68"/>
        <v>2373368</v>
      </c>
      <c r="I174" s="925">
        <f t="shared" si="68"/>
        <v>2386476</v>
      </c>
      <c r="J174" s="925">
        <f t="shared" si="68"/>
        <v>3494369</v>
      </c>
      <c r="K174" s="925">
        <f t="shared" si="68"/>
        <v>3581302</v>
      </c>
      <c r="L174" s="925">
        <f t="shared" si="68"/>
        <v>3796212</v>
      </c>
      <c r="M174" s="925">
        <f t="shared" si="68"/>
        <v>4791976</v>
      </c>
      <c r="N174" s="925">
        <f t="shared" si="68"/>
        <v>6315073</v>
      </c>
      <c r="O174" s="925">
        <f t="shared" si="68"/>
        <v>6432590</v>
      </c>
      <c r="P174" s="925">
        <f t="shared" si="68"/>
        <v>6743115</v>
      </c>
      <c r="Q174" s="925">
        <f t="shared" si="68"/>
        <v>8207327</v>
      </c>
      <c r="R174" s="925">
        <f t="shared" si="68"/>
        <v>7720807</v>
      </c>
      <c r="S174" s="925">
        <f t="shared" si="68"/>
        <v>7963600</v>
      </c>
      <c r="T174" s="925">
        <f t="shared" si="68"/>
        <v>6769000</v>
      </c>
      <c r="U174" s="925">
        <f t="shared" si="68"/>
        <v>6929000</v>
      </c>
      <c r="V174" s="925">
        <f t="shared" si="68"/>
        <v>7097000</v>
      </c>
      <c r="W174" s="925">
        <f t="shared" si="68"/>
        <v>7771000</v>
      </c>
      <c r="X174" s="925">
        <f t="shared" si="68"/>
        <v>7961000</v>
      </c>
      <c r="Y174" s="925">
        <f t="shared" si="68"/>
        <v>7941000</v>
      </c>
      <c r="Z174" s="925">
        <f t="shared" si="68"/>
        <v>8825000</v>
      </c>
      <c r="AA174" s="925">
        <f t="shared" si="68"/>
        <v>8594000</v>
      </c>
      <c r="AB174" s="925">
        <f t="shared" ref="AB174" si="69">AB168+AB172</f>
        <v>8598000</v>
      </c>
    </row>
    <row r="175" spans="1:28" s="776" customFormat="1" ht="13.5" thickTop="1">
      <c r="A175" s="793"/>
      <c r="B175" s="73"/>
      <c r="C175" s="793"/>
      <c r="D175" s="895" t="s">
        <v>5</v>
      </c>
      <c r="E175" s="978"/>
      <c r="F175" s="793">
        <f t="shared" ref="F175:AA175" si="70">F43-F174</f>
        <v>0</v>
      </c>
      <c r="G175" s="793">
        <f t="shared" si="70"/>
        <v>0</v>
      </c>
      <c r="H175" s="793">
        <f t="shared" si="70"/>
        <v>0</v>
      </c>
      <c r="I175" s="793">
        <f t="shared" si="70"/>
        <v>0</v>
      </c>
      <c r="J175" s="793">
        <f t="shared" si="70"/>
        <v>0</v>
      </c>
      <c r="K175" s="793">
        <f t="shared" si="70"/>
        <v>0</v>
      </c>
      <c r="L175" s="793">
        <f t="shared" si="70"/>
        <v>0</v>
      </c>
      <c r="M175" s="793">
        <f t="shared" si="70"/>
        <v>0</v>
      </c>
      <c r="N175" s="793">
        <f t="shared" si="70"/>
        <v>0</v>
      </c>
      <c r="O175" s="793">
        <f t="shared" si="70"/>
        <v>0</v>
      </c>
      <c r="P175" s="793">
        <f t="shared" si="70"/>
        <v>0</v>
      </c>
      <c r="Q175" s="793">
        <f t="shared" si="70"/>
        <v>0</v>
      </c>
      <c r="R175" s="793">
        <f t="shared" si="70"/>
        <v>0</v>
      </c>
      <c r="S175" s="793">
        <f t="shared" si="70"/>
        <v>0</v>
      </c>
      <c r="T175" s="793">
        <f t="shared" si="70"/>
        <v>0</v>
      </c>
      <c r="U175" s="793">
        <f t="shared" si="70"/>
        <v>0</v>
      </c>
      <c r="V175" s="793">
        <f t="shared" si="70"/>
        <v>0</v>
      </c>
      <c r="W175" s="793">
        <f t="shared" si="70"/>
        <v>0</v>
      </c>
      <c r="X175" s="793">
        <f t="shared" si="70"/>
        <v>0</v>
      </c>
      <c r="Y175" s="793">
        <f t="shared" si="70"/>
        <v>0</v>
      </c>
      <c r="Z175" s="793">
        <f t="shared" si="70"/>
        <v>0</v>
      </c>
      <c r="AA175" s="793">
        <f t="shared" si="70"/>
        <v>0</v>
      </c>
      <c r="AB175" s="793">
        <f t="shared" ref="AB175" si="71">AB43-AB174</f>
        <v>0</v>
      </c>
    </row>
    <row r="176" spans="1:28" s="776" customFormat="1">
      <c r="A176" s="793"/>
      <c r="B176" s="921" t="s">
        <v>377</v>
      </c>
      <c r="C176" s="892"/>
      <c r="D176" s="894"/>
      <c r="E176" s="895"/>
      <c r="F176" s="793"/>
      <c r="G176" s="793"/>
      <c r="H176" s="793"/>
      <c r="I176" s="793"/>
      <c r="J176" s="793"/>
      <c r="K176" s="793"/>
      <c r="L176" s="793"/>
      <c r="M176" s="899"/>
      <c r="N176" s="793"/>
      <c r="O176" s="793"/>
      <c r="P176" s="793"/>
      <c r="Q176" s="793"/>
      <c r="R176" s="793"/>
      <c r="S176" s="793"/>
      <c r="T176" s="793"/>
      <c r="U176" s="793"/>
      <c r="V176" s="793"/>
      <c r="W176" s="793"/>
      <c r="X176" s="793"/>
      <c r="Y176" s="793"/>
      <c r="Z176" s="793"/>
      <c r="AA176" s="793"/>
      <c r="AB176" s="793"/>
    </row>
    <row r="177" spans="1:28" s="776" customFormat="1">
      <c r="A177" s="793"/>
      <c r="B177" s="922" t="s">
        <v>378</v>
      </c>
      <c r="C177" s="793"/>
      <c r="D177" s="73"/>
      <c r="E177" s="242"/>
      <c r="F177" s="979"/>
      <c r="G177" s="979"/>
      <c r="H177" s="979"/>
      <c r="I177" s="979"/>
      <c r="J177" s="979"/>
      <c r="K177" s="979"/>
      <c r="L177" s="979"/>
      <c r="M177" s="979"/>
      <c r="N177" s="793">
        <v>2343000</v>
      </c>
      <c r="O177" s="793">
        <v>2280000</v>
      </c>
      <c r="P177" s="793">
        <v>2231000</v>
      </c>
      <c r="Q177" s="793">
        <v>2900000</v>
      </c>
      <c r="R177" s="793">
        <v>2900000</v>
      </c>
      <c r="S177" s="793">
        <v>2700000</v>
      </c>
      <c r="T177" s="793">
        <v>2600000</v>
      </c>
      <c r="U177" s="793">
        <v>2800000</v>
      </c>
      <c r="V177" s="793">
        <v>2800000</v>
      </c>
      <c r="W177" s="793">
        <v>2700000</v>
      </c>
      <c r="X177" s="793">
        <v>2500000</v>
      </c>
      <c r="Y177" s="793">
        <v>2400000</v>
      </c>
      <c r="Z177" s="793">
        <v>2500000</v>
      </c>
      <c r="AA177" s="793">
        <v>2300000</v>
      </c>
      <c r="AB177" s="793">
        <v>2000000</v>
      </c>
    </row>
    <row r="178" spans="1:28" s="776" customFormat="1">
      <c r="A178" s="793"/>
      <c r="B178" s="922" t="s">
        <v>1308</v>
      </c>
      <c r="C178" s="793"/>
      <c r="D178" s="266"/>
      <c r="E178" s="73"/>
      <c r="F178" s="979"/>
      <c r="G178" s="979">
        <f t="shared" ref="G178:AB178" si="72">G177-F177</f>
        <v>0</v>
      </c>
      <c r="H178" s="979">
        <f t="shared" si="72"/>
        <v>0</v>
      </c>
      <c r="I178" s="979">
        <f t="shared" si="72"/>
        <v>0</v>
      </c>
      <c r="J178" s="979">
        <f t="shared" si="72"/>
        <v>0</v>
      </c>
      <c r="K178" s="979">
        <f t="shared" si="72"/>
        <v>0</v>
      </c>
      <c r="L178" s="979">
        <f t="shared" si="72"/>
        <v>0</v>
      </c>
      <c r="M178" s="979">
        <f t="shared" si="72"/>
        <v>0</v>
      </c>
      <c r="N178" s="979">
        <f t="shared" si="72"/>
        <v>2343000</v>
      </c>
      <c r="O178" s="979">
        <f t="shared" si="72"/>
        <v>-63000</v>
      </c>
      <c r="P178" s="979">
        <f t="shared" si="72"/>
        <v>-49000</v>
      </c>
      <c r="Q178" s="979">
        <f t="shared" si="72"/>
        <v>669000</v>
      </c>
      <c r="R178" s="979">
        <f t="shared" si="72"/>
        <v>0</v>
      </c>
      <c r="S178" s="979">
        <f t="shared" si="72"/>
        <v>-200000</v>
      </c>
      <c r="T178" s="979">
        <f t="shared" si="72"/>
        <v>-100000</v>
      </c>
      <c r="U178" s="979">
        <f t="shared" si="72"/>
        <v>200000</v>
      </c>
      <c r="V178" s="979">
        <f t="shared" si="72"/>
        <v>0</v>
      </c>
      <c r="W178" s="979">
        <f t="shared" si="72"/>
        <v>-100000</v>
      </c>
      <c r="X178" s="979">
        <f t="shared" si="72"/>
        <v>-200000</v>
      </c>
      <c r="Y178" s="979">
        <f t="shared" si="72"/>
        <v>-100000</v>
      </c>
      <c r="Z178" s="979">
        <f t="shared" si="72"/>
        <v>100000</v>
      </c>
      <c r="AA178" s="979">
        <f t="shared" si="72"/>
        <v>-200000</v>
      </c>
      <c r="AB178" s="979">
        <f t="shared" si="72"/>
        <v>-300000</v>
      </c>
    </row>
    <row r="179" spans="1:28" s="776" customFormat="1">
      <c r="A179" s="793"/>
      <c r="B179" s="922"/>
      <c r="C179" s="793"/>
      <c r="D179" s="266"/>
      <c r="E179" s="73"/>
      <c r="F179" s="979"/>
      <c r="G179" s="979"/>
      <c r="H179" s="979"/>
      <c r="I179" s="979"/>
      <c r="J179" s="979"/>
      <c r="K179" s="979"/>
      <c r="L179" s="979"/>
      <c r="M179" s="979"/>
      <c r="N179" s="979"/>
      <c r="O179" s="979"/>
      <c r="P179" s="979"/>
      <c r="Q179" s="979"/>
      <c r="R179" s="979"/>
      <c r="S179" s="979"/>
      <c r="T179" s="979"/>
      <c r="U179" s="979"/>
      <c r="V179" s="979"/>
      <c r="W179" s="979"/>
      <c r="X179" s="979"/>
      <c r="Y179" s="979"/>
      <c r="Z179" s="979"/>
      <c r="AA179" s="979"/>
      <c r="AB179" s="793"/>
    </row>
    <row r="180" spans="1:28" s="776" customFormat="1">
      <c r="A180" s="793"/>
      <c r="B180" s="922" t="s">
        <v>379</v>
      </c>
      <c r="C180" s="793"/>
      <c r="D180" s="73"/>
      <c r="E180" s="73"/>
      <c r="F180" s="979"/>
      <c r="G180" s="979">
        <f t="shared" ref="G180:AB180" si="73">G174-F174</f>
        <v>124010</v>
      </c>
      <c r="H180" s="979">
        <f t="shared" si="73"/>
        <v>174051</v>
      </c>
      <c r="I180" s="979">
        <f t="shared" si="73"/>
        <v>13108</v>
      </c>
      <c r="J180" s="979">
        <f t="shared" si="73"/>
        <v>1107893</v>
      </c>
      <c r="K180" s="979">
        <f t="shared" si="73"/>
        <v>86933</v>
      </c>
      <c r="L180" s="979">
        <f t="shared" si="73"/>
        <v>214910</v>
      </c>
      <c r="M180" s="979">
        <f t="shared" si="73"/>
        <v>995764</v>
      </c>
      <c r="N180" s="979">
        <f t="shared" si="73"/>
        <v>1523097</v>
      </c>
      <c r="O180" s="979">
        <f t="shared" si="73"/>
        <v>117517</v>
      </c>
      <c r="P180" s="979">
        <f t="shared" si="73"/>
        <v>310525</v>
      </c>
      <c r="Q180" s="979">
        <f t="shared" si="73"/>
        <v>1464212</v>
      </c>
      <c r="R180" s="979">
        <f t="shared" si="73"/>
        <v>-486520</v>
      </c>
      <c r="S180" s="979">
        <f t="shared" si="73"/>
        <v>242793</v>
      </c>
      <c r="T180" s="979">
        <f t="shared" si="73"/>
        <v>-1194600</v>
      </c>
      <c r="U180" s="979">
        <f t="shared" si="73"/>
        <v>160000</v>
      </c>
      <c r="V180" s="979">
        <f t="shared" si="73"/>
        <v>168000</v>
      </c>
      <c r="W180" s="979">
        <f t="shared" si="73"/>
        <v>674000</v>
      </c>
      <c r="X180" s="979">
        <f t="shared" si="73"/>
        <v>190000</v>
      </c>
      <c r="Y180" s="979">
        <f t="shared" si="73"/>
        <v>-20000</v>
      </c>
      <c r="Z180" s="979">
        <f t="shared" si="73"/>
        <v>884000</v>
      </c>
      <c r="AA180" s="979">
        <f t="shared" si="73"/>
        <v>-231000</v>
      </c>
      <c r="AB180" s="979">
        <f t="shared" si="73"/>
        <v>4000</v>
      </c>
    </row>
    <row r="181" spans="1:28" s="776" customFormat="1">
      <c r="A181" s="793"/>
      <c r="B181" s="922"/>
      <c r="C181" s="793"/>
      <c r="D181" s="73"/>
      <c r="E181" s="73"/>
      <c r="F181" s="979"/>
      <c r="G181" s="979"/>
      <c r="H181" s="979"/>
      <c r="I181" s="979"/>
      <c r="J181" s="979"/>
      <c r="K181" s="979"/>
      <c r="L181" s="979"/>
      <c r="M181" s="979"/>
      <c r="N181" s="979"/>
      <c r="O181" s="979"/>
      <c r="P181" s="979"/>
      <c r="Q181" s="979"/>
      <c r="R181" s="979"/>
      <c r="S181" s="979"/>
      <c r="T181" s="979"/>
      <c r="U181" s="979"/>
      <c r="V181" s="979"/>
      <c r="W181" s="979"/>
      <c r="X181" s="979"/>
      <c r="Y181" s="979"/>
      <c r="Z181" s="979"/>
      <c r="AA181" s="979"/>
      <c r="AB181" s="793"/>
    </row>
    <row r="182" spans="1:28" s="776" customFormat="1">
      <c r="A182" s="793"/>
      <c r="B182" s="921" t="s">
        <v>1319</v>
      </c>
      <c r="C182" s="892"/>
      <c r="D182" s="74"/>
      <c r="E182" s="73"/>
      <c r="F182" s="979"/>
      <c r="G182" s="979"/>
      <c r="H182" s="979"/>
      <c r="I182" s="979"/>
      <c r="J182" s="979"/>
      <c r="K182" s="979"/>
      <c r="L182" s="979"/>
      <c r="M182" s="979"/>
      <c r="N182" s="979"/>
      <c r="O182" s="979"/>
      <c r="P182" s="979"/>
      <c r="Q182" s="979"/>
      <c r="R182" s="979"/>
      <c r="S182" s="979"/>
      <c r="T182" s="979"/>
      <c r="U182" s="979"/>
      <c r="V182" s="979"/>
      <c r="W182" s="979"/>
      <c r="X182" s="809" t="s">
        <v>40</v>
      </c>
      <c r="Y182" s="979"/>
      <c r="Z182" s="979"/>
      <c r="AA182" s="979"/>
      <c r="AB182" s="793"/>
    </row>
    <row r="183" spans="1:28" s="776" customFormat="1">
      <c r="A183" s="793"/>
      <c r="B183" s="922" t="s">
        <v>1320</v>
      </c>
      <c r="C183" s="793"/>
      <c r="D183" s="73"/>
      <c r="E183" s="73"/>
      <c r="F183" s="979"/>
      <c r="G183" s="979"/>
      <c r="H183" s="979"/>
      <c r="I183" s="979"/>
      <c r="J183" s="979"/>
      <c r="K183" s="979"/>
      <c r="L183" s="979"/>
      <c r="M183" s="979"/>
      <c r="N183" s="979"/>
      <c r="O183" s="979"/>
      <c r="P183" s="979"/>
      <c r="Q183" s="979"/>
      <c r="R183" s="979"/>
      <c r="S183" s="979"/>
      <c r="T183" s="979"/>
      <c r="U183" s="979"/>
      <c r="V183" s="979">
        <v>-33000</v>
      </c>
      <c r="W183" s="979">
        <v>10000</v>
      </c>
      <c r="X183" s="979">
        <v>428000</v>
      </c>
      <c r="Y183" s="979"/>
      <c r="Z183" s="979">
        <v>1139000</v>
      </c>
      <c r="AA183" s="979">
        <v>-21000</v>
      </c>
      <c r="AB183" s="793">
        <v>202000</v>
      </c>
    </row>
    <row r="184" spans="1:28" s="776" customFormat="1">
      <c r="A184" s="793"/>
      <c r="B184" s="922" t="s">
        <v>1321</v>
      </c>
      <c r="C184" s="793"/>
      <c r="D184" s="73"/>
      <c r="E184" s="73"/>
      <c r="F184" s="979"/>
      <c r="G184" s="979"/>
      <c r="H184" s="979"/>
      <c r="I184" s="979"/>
      <c r="J184" s="979"/>
      <c r="K184" s="979"/>
      <c r="L184" s="979"/>
      <c r="M184" s="979"/>
      <c r="N184" s="979"/>
      <c r="O184" s="979"/>
      <c r="P184" s="979"/>
      <c r="Q184" s="979"/>
      <c r="R184" s="979"/>
      <c r="S184" s="979"/>
      <c r="T184" s="979"/>
      <c r="U184" s="979"/>
      <c r="V184" s="979"/>
      <c r="W184" s="979"/>
      <c r="X184" s="979">
        <v>2000</v>
      </c>
      <c r="Y184" s="979"/>
      <c r="Z184" s="979">
        <v>-5000</v>
      </c>
      <c r="AA184" s="979">
        <v>-57000</v>
      </c>
      <c r="AB184" s="793">
        <v>0</v>
      </c>
    </row>
    <row r="185" spans="1:28" s="776" customFormat="1">
      <c r="A185" s="793"/>
      <c r="B185" s="922"/>
      <c r="C185" s="793"/>
      <c r="D185" s="73"/>
      <c r="E185" s="73"/>
      <c r="F185" s="979"/>
      <c r="G185" s="979"/>
      <c r="H185" s="979"/>
      <c r="I185" s="979"/>
      <c r="J185" s="979"/>
      <c r="K185" s="979"/>
      <c r="L185" s="979"/>
      <c r="M185" s="979"/>
      <c r="N185" s="979"/>
      <c r="O185" s="979"/>
      <c r="P185" s="979"/>
      <c r="Q185" s="979"/>
      <c r="R185" s="979"/>
      <c r="S185" s="979"/>
      <c r="T185" s="979"/>
      <c r="U185" s="979"/>
      <c r="V185" s="979"/>
      <c r="W185" s="979"/>
      <c r="X185" s="979"/>
      <c r="Y185" s="979"/>
      <c r="Z185" s="979"/>
      <c r="AA185" s="979"/>
      <c r="AB185" s="793"/>
    </row>
    <row r="186" spans="1:28" s="776" customFormat="1">
      <c r="A186" s="793"/>
      <c r="B186" s="1358" t="s">
        <v>1315</v>
      </c>
      <c r="C186" s="1357"/>
      <c r="D186" s="1343"/>
      <c r="E186" s="73"/>
      <c r="F186" s="979"/>
      <c r="G186" s="979"/>
      <c r="H186" s="979"/>
      <c r="I186" s="979"/>
      <c r="J186" s="979"/>
      <c r="K186" s="979"/>
      <c r="L186" s="979"/>
      <c r="M186" s="979"/>
      <c r="N186" s="979"/>
      <c r="O186" s="979"/>
      <c r="P186" s="979"/>
      <c r="Q186" s="979"/>
      <c r="R186" s="979"/>
      <c r="S186" s="979"/>
      <c r="T186" s="979"/>
      <c r="U186" s="979"/>
      <c r="V186" s="979"/>
      <c r="W186" s="979"/>
      <c r="X186" s="979"/>
      <c r="Y186" s="979"/>
      <c r="Z186" s="979"/>
      <c r="AB186" s="793"/>
    </row>
    <row r="187" spans="1:28" s="776" customFormat="1">
      <c r="A187" s="793"/>
      <c r="B187" s="922" t="s">
        <v>1316</v>
      </c>
      <c r="C187" s="793"/>
      <c r="D187" s="73"/>
      <c r="E187" s="73"/>
      <c r="F187" s="979"/>
      <c r="G187" s="979"/>
      <c r="H187" s="979"/>
      <c r="I187" s="979"/>
      <c r="J187" s="979"/>
      <c r="K187" s="979"/>
      <c r="L187" s="979"/>
      <c r="M187" s="979"/>
      <c r="N187" s="979"/>
      <c r="O187" s="979"/>
      <c r="P187" s="979">
        <v>-131157</v>
      </c>
      <c r="Q187" s="979">
        <v>-150756</v>
      </c>
      <c r="R187" s="979">
        <v>-184515</v>
      </c>
      <c r="S187" s="979">
        <v>-182083</v>
      </c>
      <c r="T187" s="979">
        <v>-192900</v>
      </c>
      <c r="U187" s="979">
        <v>-180000</v>
      </c>
      <c r="V187" s="979">
        <v>-200000</v>
      </c>
      <c r="W187" s="979">
        <v>-203000</v>
      </c>
      <c r="X187" s="979">
        <v>-231000</v>
      </c>
      <c r="Y187" s="979">
        <v>-238000</v>
      </c>
      <c r="Z187" s="979">
        <v>-236000</v>
      </c>
      <c r="AA187" s="979">
        <v>-275000</v>
      </c>
      <c r="AB187" s="793">
        <v>-268000</v>
      </c>
    </row>
    <row r="188" spans="1:28" s="776" customFormat="1">
      <c r="A188" s="793"/>
      <c r="B188" s="922" t="s">
        <v>1322</v>
      </c>
      <c r="C188" s="793"/>
      <c r="D188" s="73"/>
      <c r="E188" s="73"/>
      <c r="F188" s="979"/>
      <c r="G188" s="979"/>
      <c r="H188" s="979"/>
      <c r="I188" s="979"/>
      <c r="J188" s="979"/>
      <c r="K188" s="979"/>
      <c r="L188" s="979"/>
      <c r="M188" s="979"/>
      <c r="N188" s="979"/>
      <c r="O188" s="979"/>
      <c r="P188" s="979"/>
      <c r="Q188" s="979"/>
      <c r="R188" s="979"/>
      <c r="S188" s="979"/>
      <c r="T188" s="979">
        <v>0</v>
      </c>
      <c r="U188" s="979">
        <v>0</v>
      </c>
      <c r="V188" s="979">
        <v>0</v>
      </c>
      <c r="W188" s="979">
        <v>0</v>
      </c>
      <c r="X188" s="979">
        <v>-2000</v>
      </c>
      <c r="Y188" s="979"/>
      <c r="Z188" s="979">
        <v>-2000</v>
      </c>
      <c r="AA188" s="979">
        <v>1000</v>
      </c>
      <c r="AB188" s="793">
        <v>-1000</v>
      </c>
    </row>
    <row r="189" spans="1:28" s="776" customFormat="1">
      <c r="A189" s="793"/>
      <c r="B189" s="73" t="s">
        <v>1452</v>
      </c>
      <c r="C189" s="793"/>
      <c r="D189" s="73"/>
      <c r="E189" s="73"/>
      <c r="F189" s="979"/>
      <c r="G189" s="979"/>
      <c r="H189" s="979"/>
      <c r="I189" s="979"/>
      <c r="J189" s="979"/>
      <c r="K189" s="979"/>
      <c r="L189" s="979"/>
      <c r="M189" s="979"/>
      <c r="N189" s="979"/>
      <c r="O189" s="979"/>
      <c r="P189" s="979"/>
      <c r="Q189" s="979"/>
      <c r="R189" s="979"/>
      <c r="S189" s="979"/>
      <c r="T189" s="979"/>
      <c r="U189" s="979"/>
      <c r="V189" s="979"/>
      <c r="W189" s="979"/>
      <c r="X189" s="979"/>
      <c r="Y189" s="979"/>
      <c r="Z189" s="979"/>
      <c r="AA189" s="979"/>
      <c r="AB189" s="793"/>
    </row>
    <row r="190" spans="1:28" s="776" customFormat="1">
      <c r="A190" s="793"/>
      <c r="B190" s="922"/>
      <c r="C190" s="793"/>
      <c r="D190" s="73"/>
      <c r="E190" s="73"/>
      <c r="F190" s="979"/>
      <c r="G190" s="979"/>
      <c r="H190" s="979"/>
      <c r="I190" s="979"/>
      <c r="J190" s="979"/>
      <c r="K190" s="979"/>
      <c r="L190" s="979"/>
      <c r="M190" s="979"/>
      <c r="N190" s="979"/>
      <c r="O190" s="979"/>
      <c r="P190" s="979"/>
      <c r="Q190" s="979"/>
      <c r="R190" s="979"/>
      <c r="S190" s="979"/>
      <c r="T190" s="979"/>
      <c r="U190" s="979"/>
      <c r="V190" s="979"/>
      <c r="W190" s="979"/>
      <c r="X190" s="979"/>
      <c r="Y190" s="979"/>
      <c r="Z190" s="979"/>
      <c r="AA190" s="979"/>
      <c r="AB190" s="793"/>
    </row>
    <row r="191" spans="1:28" s="776" customFormat="1">
      <c r="A191" s="921" t="s">
        <v>1309</v>
      </c>
      <c r="B191" s="921"/>
      <c r="C191" s="921"/>
      <c r="D191" s="921"/>
      <c r="E191" s="939"/>
      <c r="F191" s="932"/>
      <c r="G191" s="932"/>
      <c r="H191" s="932"/>
      <c r="I191" s="932"/>
      <c r="J191" s="932"/>
      <c r="K191" s="932"/>
      <c r="L191" s="793"/>
      <c r="M191" s="793"/>
      <c r="N191" s="793"/>
      <c r="O191" s="793"/>
      <c r="P191" s="793"/>
      <c r="Q191" s="793"/>
      <c r="R191" s="793"/>
      <c r="S191" s="793"/>
      <c r="T191" s="793"/>
      <c r="U191" s="793"/>
      <c r="V191" s="793"/>
      <c r="W191" s="793"/>
      <c r="X191" s="793"/>
      <c r="Y191" s="793"/>
      <c r="Z191" s="793"/>
      <c r="AA191" s="793"/>
      <c r="AB191" s="793"/>
    </row>
    <row r="192" spans="1:28" s="776" customFormat="1">
      <c r="A192" s="932"/>
      <c r="B192" s="52" t="s">
        <v>380</v>
      </c>
      <c r="C192" s="52"/>
      <c r="D192" s="932"/>
      <c r="E192" s="793"/>
      <c r="F192" s="932"/>
      <c r="G192" s="932"/>
      <c r="H192" s="932"/>
      <c r="I192" s="932"/>
      <c r="J192" s="932"/>
      <c r="K192" s="932"/>
      <c r="L192" s="793"/>
      <c r="M192" s="793"/>
      <c r="N192" s="793"/>
      <c r="O192" s="793"/>
      <c r="P192" s="793"/>
      <c r="Q192" s="793"/>
      <c r="R192" s="793"/>
      <c r="S192" s="793"/>
      <c r="T192" s="793"/>
      <c r="U192" s="793">
        <v>0</v>
      </c>
      <c r="V192" s="793">
        <v>24000</v>
      </c>
      <c r="W192" s="793">
        <v>0</v>
      </c>
      <c r="X192" s="793">
        <v>7000</v>
      </c>
      <c r="Y192" s="793">
        <v>188000</v>
      </c>
      <c r="Z192" s="793">
        <v>16000</v>
      </c>
      <c r="AA192" s="793">
        <v>19000</v>
      </c>
      <c r="AB192" s="793">
        <v>72000</v>
      </c>
    </row>
    <row r="193" spans="1:28" s="776" customFormat="1">
      <c r="A193" s="932"/>
      <c r="B193" s="52" t="s">
        <v>381</v>
      </c>
      <c r="C193" s="52"/>
      <c r="D193" s="932"/>
      <c r="E193" s="793"/>
      <c r="F193" s="932"/>
      <c r="G193" s="932"/>
      <c r="H193" s="932"/>
      <c r="I193" s="932"/>
      <c r="J193" s="932"/>
      <c r="K193" s="932"/>
      <c r="L193" s="793"/>
      <c r="M193" s="793"/>
      <c r="N193" s="793"/>
      <c r="O193" s="793"/>
      <c r="P193" s="793"/>
      <c r="Q193" s="793"/>
      <c r="R193" s="793"/>
      <c r="S193" s="793"/>
      <c r="T193" s="793"/>
      <c r="U193" s="892">
        <v>58000</v>
      </c>
      <c r="V193" s="892">
        <v>61000</v>
      </c>
      <c r="W193" s="892">
        <v>50000</v>
      </c>
      <c r="X193" s="892">
        <v>48000</v>
      </c>
      <c r="Y193" s="892">
        <v>47000</v>
      </c>
      <c r="Z193" s="892">
        <v>48000</v>
      </c>
      <c r="AA193" s="892">
        <v>45000</v>
      </c>
      <c r="AB193" s="892">
        <v>45000</v>
      </c>
    </row>
    <row r="194" spans="1:28" s="776" customFormat="1">
      <c r="A194" s="932"/>
      <c r="B194" s="52"/>
      <c r="C194" s="52"/>
      <c r="D194" s="932"/>
      <c r="E194" s="793"/>
      <c r="F194" s="932"/>
      <c r="G194" s="932"/>
      <c r="H194" s="932"/>
      <c r="I194" s="932"/>
      <c r="J194" s="932"/>
      <c r="K194" s="932"/>
      <c r="L194" s="793"/>
      <c r="M194" s="793"/>
      <c r="N194" s="793"/>
      <c r="O194" s="793"/>
      <c r="P194" s="793"/>
      <c r="Q194" s="793"/>
      <c r="R194" s="793"/>
      <c r="S194" s="793"/>
      <c r="T194" s="793"/>
      <c r="U194" s="793">
        <f t="shared" ref="U194:AB194" si="74">SUM(U192:U193)</f>
        <v>58000</v>
      </c>
      <c r="V194" s="793">
        <f t="shared" si="74"/>
        <v>85000</v>
      </c>
      <c r="W194" s="793">
        <f t="shared" si="74"/>
        <v>50000</v>
      </c>
      <c r="X194" s="793">
        <f t="shared" si="74"/>
        <v>55000</v>
      </c>
      <c r="Y194" s="793">
        <f t="shared" si="74"/>
        <v>235000</v>
      </c>
      <c r="Z194" s="793">
        <f t="shared" si="74"/>
        <v>64000</v>
      </c>
      <c r="AA194" s="793">
        <f t="shared" si="74"/>
        <v>64000</v>
      </c>
      <c r="AB194" s="793">
        <f t="shared" si="74"/>
        <v>117000</v>
      </c>
    </row>
    <row r="195" spans="1:28" s="776" customFormat="1">
      <c r="A195" s="13"/>
      <c r="B195" s="922"/>
      <c r="C195" s="23"/>
      <c r="D195" s="45"/>
      <c r="E195" s="23"/>
      <c r="F195" s="793"/>
      <c r="G195" s="793"/>
      <c r="H195" s="793"/>
      <c r="I195" s="793"/>
      <c r="J195" s="793"/>
      <c r="K195" s="793"/>
      <c r="L195" s="793"/>
      <c r="M195" s="793"/>
      <c r="N195" s="793"/>
      <c r="O195" s="793"/>
      <c r="P195" s="793"/>
      <c r="Q195" s="793"/>
      <c r="R195" s="793"/>
      <c r="S195" s="793"/>
      <c r="T195" s="793"/>
      <c r="U195" s="793"/>
      <c r="V195" s="793"/>
      <c r="W195" s="793"/>
      <c r="X195" s="793"/>
      <c r="Y195" s="793"/>
      <c r="Z195" s="793"/>
      <c r="AA195" s="793"/>
      <c r="AB195" s="793"/>
    </row>
    <row r="196" spans="1:28" s="776" customFormat="1">
      <c r="A196" s="921" t="s">
        <v>1310</v>
      </c>
      <c r="B196" s="4"/>
      <c r="C196" s="74"/>
      <c r="D196" s="892"/>
      <c r="E196" s="793"/>
      <c r="F196" s="793"/>
      <c r="G196" s="793"/>
      <c r="H196" s="793"/>
      <c r="I196" s="793"/>
      <c r="J196" s="793"/>
      <c r="K196" s="793"/>
      <c r="L196" s="793"/>
      <c r="M196" s="793"/>
      <c r="N196" s="793"/>
      <c r="O196" s="793"/>
      <c r="P196" s="793"/>
      <c r="Q196" s="793"/>
      <c r="R196" s="793"/>
      <c r="S196" s="793"/>
      <c r="T196" s="793"/>
      <c r="U196" s="793"/>
      <c r="V196" s="793">
        <v>-33000</v>
      </c>
      <c r="W196" s="793">
        <v>10000</v>
      </c>
      <c r="X196" s="793">
        <v>2000</v>
      </c>
      <c r="Y196" s="793">
        <v>0</v>
      </c>
      <c r="Z196" s="793">
        <v>-5000</v>
      </c>
      <c r="AA196" s="793">
        <v>-57000</v>
      </c>
      <c r="AB196" s="793">
        <v>0</v>
      </c>
    </row>
    <row r="197" spans="1:28" s="776" customFormat="1">
      <c r="A197" s="932"/>
      <c r="B197" s="69"/>
      <c r="C197" s="73"/>
      <c r="D197" s="793"/>
      <c r="E197" s="793"/>
      <c r="F197" s="793"/>
      <c r="AB197" s="793"/>
    </row>
    <row r="198" spans="1:28" s="776" customFormat="1">
      <c r="A198" s="921" t="s">
        <v>382</v>
      </c>
      <c r="B198" s="792"/>
      <c r="C198" s="792"/>
      <c r="D198" s="792"/>
      <c r="E198" s="10"/>
      <c r="F198" s="793"/>
      <c r="G198" s="793"/>
      <c r="H198" s="793"/>
      <c r="I198" s="793"/>
      <c r="J198" s="793"/>
      <c r="K198" s="793"/>
      <c r="L198" s="793"/>
      <c r="M198" s="73"/>
      <c r="N198" s="793"/>
      <c r="O198" s="793"/>
      <c r="P198" s="793"/>
      <c r="Q198" s="793"/>
      <c r="R198" s="793"/>
      <c r="S198" s="793">
        <v>7400</v>
      </c>
      <c r="T198" s="793">
        <v>9400</v>
      </c>
      <c r="U198" s="793">
        <v>7000</v>
      </c>
      <c r="V198" s="793">
        <v>22000</v>
      </c>
      <c r="W198" s="793">
        <v>18000</v>
      </c>
      <c r="X198" s="793">
        <v>51000</v>
      </c>
      <c r="Y198" s="793">
        <v>29000</v>
      </c>
      <c r="Z198" s="793">
        <v>27000</v>
      </c>
      <c r="AA198" s="793">
        <v>67000</v>
      </c>
      <c r="AB198" s="793">
        <v>97000</v>
      </c>
    </row>
    <row r="199" spans="1:28" s="776" customFormat="1">
      <c r="A199" s="922"/>
      <c r="B199" s="68"/>
      <c r="C199" s="68"/>
      <c r="D199" s="68"/>
      <c r="F199" s="793"/>
      <c r="G199" s="793"/>
      <c r="H199" s="793"/>
      <c r="I199" s="793"/>
      <c r="J199" s="793"/>
      <c r="K199" s="793"/>
      <c r="L199" s="793"/>
      <c r="M199" s="242"/>
      <c r="N199" s="793"/>
      <c r="O199" s="793"/>
      <c r="P199" s="793"/>
      <c r="Q199" s="793"/>
      <c r="R199" s="793"/>
      <c r="S199" s="793"/>
      <c r="T199" s="793"/>
      <c r="U199" s="793"/>
      <c r="V199" s="793"/>
      <c r="W199" s="793"/>
      <c r="X199" s="793"/>
      <c r="Y199" s="793"/>
      <c r="Z199" s="793"/>
      <c r="AA199" s="793"/>
      <c r="AB199" s="793"/>
    </row>
    <row r="200" spans="1:28" s="776" customFormat="1" ht="18">
      <c r="A200" s="904" t="s">
        <v>0</v>
      </c>
      <c r="B200" s="904"/>
      <c r="C200" s="904"/>
      <c r="D200" s="1267"/>
      <c r="E200" s="1439" t="s">
        <v>1407</v>
      </c>
      <c r="F200" s="1440"/>
      <c r="G200" s="1440"/>
      <c r="H200" s="1440"/>
      <c r="I200" s="1442"/>
      <c r="J200" s="1442"/>
      <c r="K200" s="1442"/>
      <c r="L200" s="1461"/>
      <c r="M200" s="1461"/>
      <c r="N200" s="1461"/>
      <c r="O200" s="980"/>
      <c r="P200" s="1184"/>
      <c r="Q200" s="967"/>
      <c r="R200" s="868"/>
      <c r="S200" s="967"/>
      <c r="T200" s="967"/>
      <c r="U200" s="967"/>
      <c r="V200" s="967"/>
      <c r="W200" s="1451" t="s">
        <v>383</v>
      </c>
      <c r="X200" s="1452"/>
      <c r="Y200" s="1452"/>
      <c r="Z200" s="1452"/>
      <c r="AA200" s="1453"/>
      <c r="AB200" s="1380">
        <v>3.5</v>
      </c>
    </row>
    <row r="201" spans="1:28" s="776" customFormat="1">
      <c r="A201" s="1208"/>
      <c r="B201" s="1208"/>
      <c r="C201" s="1208"/>
      <c r="D201" s="1209"/>
      <c r="E201" s="1183"/>
      <c r="F201" s="69">
        <v>0</v>
      </c>
      <c r="G201" s="69">
        <f t="shared" ref="G201:AB201" si="75">F201+1</f>
        <v>1</v>
      </c>
      <c r="H201" s="69">
        <f t="shared" si="75"/>
        <v>2</v>
      </c>
      <c r="I201" s="69">
        <f t="shared" si="75"/>
        <v>3</v>
      </c>
      <c r="J201" s="69">
        <f t="shared" si="75"/>
        <v>4</v>
      </c>
      <c r="K201" s="69">
        <f t="shared" si="75"/>
        <v>5</v>
      </c>
      <c r="L201" s="69">
        <f t="shared" si="75"/>
        <v>6</v>
      </c>
      <c r="M201" s="69">
        <f t="shared" si="75"/>
        <v>7</v>
      </c>
      <c r="N201" s="73">
        <f t="shared" si="75"/>
        <v>8</v>
      </c>
      <c r="O201" s="73">
        <f t="shared" si="75"/>
        <v>9</v>
      </c>
      <c r="P201" s="73">
        <f t="shared" si="75"/>
        <v>10</v>
      </c>
      <c r="Q201" s="73">
        <f t="shared" si="75"/>
        <v>11</v>
      </c>
      <c r="R201" s="73">
        <f t="shared" si="75"/>
        <v>12</v>
      </c>
      <c r="S201" s="73">
        <f t="shared" si="75"/>
        <v>13</v>
      </c>
      <c r="T201" s="73">
        <f t="shared" si="75"/>
        <v>14</v>
      </c>
      <c r="U201" s="73">
        <f t="shared" si="75"/>
        <v>15</v>
      </c>
      <c r="V201" s="73">
        <f t="shared" si="75"/>
        <v>16</v>
      </c>
      <c r="W201" s="73">
        <f t="shared" si="75"/>
        <v>17</v>
      </c>
      <c r="X201" s="73">
        <f t="shared" si="75"/>
        <v>18</v>
      </c>
      <c r="Y201" s="73">
        <f t="shared" si="75"/>
        <v>19</v>
      </c>
      <c r="Z201" s="73">
        <f t="shared" si="75"/>
        <v>20</v>
      </c>
      <c r="AA201" s="73">
        <f t="shared" si="75"/>
        <v>21</v>
      </c>
      <c r="AB201" s="73">
        <f t="shared" si="75"/>
        <v>22</v>
      </c>
    </row>
    <row r="202" spans="1:28" s="776" customFormat="1">
      <c r="E202" s="1266" t="s">
        <v>3</v>
      </c>
      <c r="F202" s="953">
        <v>1999</v>
      </c>
      <c r="G202" s="953">
        <f t="shared" ref="G202:M202" si="76">F202+1</f>
        <v>2000</v>
      </c>
      <c r="H202" s="953">
        <f t="shared" si="76"/>
        <v>2001</v>
      </c>
      <c r="I202" s="953">
        <f t="shared" si="76"/>
        <v>2002</v>
      </c>
      <c r="J202" s="953">
        <f t="shared" si="76"/>
        <v>2003</v>
      </c>
      <c r="K202" s="953">
        <f t="shared" si="76"/>
        <v>2004</v>
      </c>
      <c r="L202" s="953">
        <f t="shared" si="76"/>
        <v>2005</v>
      </c>
      <c r="M202" s="953">
        <f t="shared" si="76"/>
        <v>2006</v>
      </c>
      <c r="N202" s="953">
        <v>2007</v>
      </c>
      <c r="O202" s="953">
        <f t="shared" ref="O202:AB202" si="77">N202+1</f>
        <v>2008</v>
      </c>
      <c r="P202" s="953">
        <f t="shared" si="77"/>
        <v>2009</v>
      </c>
      <c r="Q202" s="953">
        <f t="shared" si="77"/>
        <v>2010</v>
      </c>
      <c r="R202" s="953">
        <f t="shared" si="77"/>
        <v>2011</v>
      </c>
      <c r="S202" s="953">
        <f t="shared" si="77"/>
        <v>2012</v>
      </c>
      <c r="T202" s="953">
        <f t="shared" si="77"/>
        <v>2013</v>
      </c>
      <c r="U202" s="953">
        <f t="shared" si="77"/>
        <v>2014</v>
      </c>
      <c r="V202" s="953">
        <f t="shared" si="77"/>
        <v>2015</v>
      </c>
      <c r="W202" s="953">
        <f t="shared" si="77"/>
        <v>2016</v>
      </c>
      <c r="X202" s="953">
        <f t="shared" si="77"/>
        <v>2017</v>
      </c>
      <c r="Y202" s="953">
        <f t="shared" si="77"/>
        <v>2018</v>
      </c>
      <c r="Z202" s="953">
        <f t="shared" si="77"/>
        <v>2019</v>
      </c>
      <c r="AA202" s="953">
        <f t="shared" si="77"/>
        <v>2020</v>
      </c>
      <c r="AB202" s="953">
        <f t="shared" si="77"/>
        <v>2021</v>
      </c>
    </row>
    <row r="203" spans="1:28" s="776" customFormat="1">
      <c r="A203" s="917" t="s">
        <v>383</v>
      </c>
      <c r="B203" s="958"/>
      <c r="C203" s="969"/>
      <c r="D203" s="969"/>
      <c r="E203" s="242"/>
      <c r="F203" s="593" t="s">
        <v>34</v>
      </c>
      <c r="G203" s="242"/>
      <c r="H203" s="242"/>
      <c r="I203" s="809"/>
      <c r="J203" s="809"/>
      <c r="K203" s="809"/>
      <c r="L203" s="979"/>
      <c r="M203" s="809"/>
      <c r="N203" s="809"/>
      <c r="O203" s="809"/>
      <c r="P203" s="908"/>
      <c r="Q203" s="908"/>
      <c r="R203" s="908"/>
      <c r="S203" s="908"/>
      <c r="T203" s="908"/>
      <c r="U203" s="908"/>
      <c r="V203" s="908"/>
      <c r="W203" s="908"/>
      <c r="X203" s="908"/>
      <c r="Y203" s="908"/>
      <c r="Z203" s="908"/>
      <c r="AA203" s="909"/>
      <c r="AB203" s="52"/>
    </row>
    <row r="204" spans="1:28" s="776" customFormat="1">
      <c r="A204" s="793"/>
      <c r="B204" s="922" t="s">
        <v>384</v>
      </c>
      <c r="C204" s="899"/>
      <c r="D204" s="899"/>
      <c r="E204" s="242"/>
      <c r="F204" s="793"/>
      <c r="G204" s="793"/>
      <c r="H204" s="793"/>
      <c r="I204" s="793"/>
      <c r="J204" s="793"/>
      <c r="K204" s="793"/>
      <c r="L204" s="793"/>
      <c r="M204" s="793">
        <v>11303</v>
      </c>
      <c r="N204" s="793">
        <v>14751</v>
      </c>
      <c r="O204" s="793">
        <v>20276</v>
      </c>
      <c r="P204" s="793">
        <v>34572</v>
      </c>
      <c r="Q204" s="793">
        <v>60425</v>
      </c>
      <c r="R204" s="793">
        <v>71468</v>
      </c>
      <c r="S204" s="793">
        <v>87000</v>
      </c>
      <c r="T204" s="793">
        <v>133700</v>
      </c>
      <c r="U204" s="793">
        <v>139000</v>
      </c>
      <c r="V204" s="793">
        <v>155000</v>
      </c>
      <c r="W204" s="793">
        <v>181000</v>
      </c>
      <c r="X204" s="793">
        <v>211000</v>
      </c>
      <c r="Y204" s="793">
        <v>150000</v>
      </c>
      <c r="Z204" s="793">
        <v>173000</v>
      </c>
      <c r="AA204" s="793">
        <v>198000</v>
      </c>
      <c r="AB204" s="793">
        <v>220000</v>
      </c>
    </row>
    <row r="205" spans="1:28" s="776" customFormat="1">
      <c r="A205" s="793"/>
      <c r="B205" s="73" t="s">
        <v>385</v>
      </c>
      <c r="C205" s="899"/>
      <c r="D205" s="899"/>
      <c r="E205" s="242"/>
      <c r="F205" s="892"/>
      <c r="G205" s="892"/>
      <c r="H205" s="892"/>
      <c r="I205" s="892"/>
      <c r="J205" s="892"/>
      <c r="K205" s="892"/>
      <c r="L205" s="892"/>
      <c r="M205" s="892">
        <v>-7689</v>
      </c>
      <c r="N205" s="892">
        <v>-9921</v>
      </c>
      <c r="O205" s="892">
        <v>-13428</v>
      </c>
      <c r="P205" s="892">
        <v>-20759</v>
      </c>
      <c r="Q205" s="892">
        <v>-45420</v>
      </c>
      <c r="R205" s="892">
        <v>-54149</v>
      </c>
      <c r="S205" s="892">
        <v>-64500</v>
      </c>
      <c r="T205" s="892">
        <v>-81400</v>
      </c>
      <c r="U205" s="892">
        <v>-87000</v>
      </c>
      <c r="V205" s="892">
        <v>-108000</v>
      </c>
      <c r="W205" s="892">
        <v>-134000</v>
      </c>
      <c r="X205" s="892">
        <v>-153000</v>
      </c>
      <c r="Y205" s="892">
        <v>-90000</v>
      </c>
      <c r="Z205" s="892">
        <v>-114000</v>
      </c>
      <c r="AA205" s="892">
        <v>-138000</v>
      </c>
      <c r="AB205" s="892">
        <v>-141000</v>
      </c>
    </row>
    <row r="206" spans="1:28" s="776" customFormat="1">
      <c r="A206" s="793"/>
      <c r="B206" s="73"/>
      <c r="C206" s="899"/>
      <c r="D206" s="899"/>
      <c r="E206" s="242"/>
      <c r="F206" s="793"/>
      <c r="G206" s="793"/>
      <c r="H206" s="793"/>
      <c r="I206" s="793"/>
      <c r="J206" s="793"/>
      <c r="K206" s="793"/>
      <c r="L206" s="793"/>
      <c r="M206" s="793">
        <f t="shared" ref="M206:AB206" si="78">SUM(M204:M205)</f>
        <v>3614</v>
      </c>
      <c r="N206" s="793">
        <f t="shared" si="78"/>
        <v>4830</v>
      </c>
      <c r="O206" s="793">
        <f t="shared" si="78"/>
        <v>6848</v>
      </c>
      <c r="P206" s="793">
        <f t="shared" si="78"/>
        <v>13813</v>
      </c>
      <c r="Q206" s="793">
        <f t="shared" si="78"/>
        <v>15005</v>
      </c>
      <c r="R206" s="793">
        <f t="shared" si="78"/>
        <v>17319</v>
      </c>
      <c r="S206" s="793">
        <f t="shared" si="78"/>
        <v>22500</v>
      </c>
      <c r="T206" s="793">
        <f t="shared" si="78"/>
        <v>52300</v>
      </c>
      <c r="U206" s="793">
        <f t="shared" si="78"/>
        <v>52000</v>
      </c>
      <c r="V206" s="793">
        <f t="shared" si="78"/>
        <v>47000</v>
      </c>
      <c r="W206" s="793">
        <f t="shared" si="78"/>
        <v>47000</v>
      </c>
      <c r="X206" s="793">
        <f t="shared" si="78"/>
        <v>58000</v>
      </c>
      <c r="Y206" s="793">
        <f t="shared" si="78"/>
        <v>60000</v>
      </c>
      <c r="Z206" s="793">
        <f t="shared" si="78"/>
        <v>59000</v>
      </c>
      <c r="AA206" s="793">
        <f t="shared" si="78"/>
        <v>60000</v>
      </c>
      <c r="AB206" s="793">
        <f t="shared" si="78"/>
        <v>79000</v>
      </c>
    </row>
    <row r="207" spans="1:28" s="776" customFormat="1">
      <c r="A207" s="793"/>
      <c r="B207" s="73"/>
      <c r="C207" s="899"/>
      <c r="D207" s="899"/>
      <c r="E207" s="242"/>
      <c r="F207" s="793"/>
      <c r="G207" s="793"/>
      <c r="H207" s="793"/>
      <c r="I207" s="793"/>
      <c r="J207" s="793"/>
      <c r="K207" s="793"/>
      <c r="L207" s="793"/>
      <c r="M207" s="793"/>
      <c r="N207" s="793"/>
      <c r="O207" s="793"/>
      <c r="P207" s="793"/>
      <c r="Q207" s="793"/>
      <c r="R207" s="793"/>
      <c r="S207" s="793"/>
      <c r="T207" s="793"/>
      <c r="U207" s="793"/>
      <c r="V207" s="793"/>
      <c r="W207" s="793"/>
      <c r="X207" s="793"/>
      <c r="Y207" s="793"/>
      <c r="Z207" s="793"/>
      <c r="AA207" s="793"/>
      <c r="AB207" s="793"/>
    </row>
    <row r="208" spans="1:28" s="776" customFormat="1">
      <c r="A208" s="793"/>
      <c r="B208" s="922" t="s">
        <v>28</v>
      </c>
      <c r="C208" s="899"/>
      <c r="D208" s="899"/>
      <c r="E208" s="242"/>
      <c r="F208" s="793"/>
      <c r="G208" s="793"/>
      <c r="H208" s="793"/>
      <c r="I208" s="793"/>
      <c r="J208" s="793"/>
      <c r="K208" s="793"/>
      <c r="L208" s="793"/>
      <c r="M208" s="793"/>
      <c r="N208" s="793">
        <v>0</v>
      </c>
      <c r="O208" s="793">
        <v>0</v>
      </c>
      <c r="P208" s="793">
        <v>0</v>
      </c>
      <c r="Q208" s="793">
        <v>0</v>
      </c>
      <c r="R208" s="793">
        <v>0</v>
      </c>
      <c r="S208" s="793">
        <v>0</v>
      </c>
      <c r="T208" s="793">
        <v>15700</v>
      </c>
      <c r="U208" s="793">
        <v>15000</v>
      </c>
      <c r="V208" s="793">
        <v>13000</v>
      </c>
      <c r="W208" s="793">
        <v>0</v>
      </c>
      <c r="X208" s="793">
        <v>0</v>
      </c>
      <c r="Y208" s="793">
        <v>0</v>
      </c>
      <c r="Z208" s="793">
        <v>0</v>
      </c>
      <c r="AA208" s="793">
        <v>0</v>
      </c>
      <c r="AB208" s="793"/>
    </row>
    <row r="209" spans="1:28" s="776" customFormat="1">
      <c r="A209" s="793"/>
      <c r="B209" s="73" t="s">
        <v>385</v>
      </c>
      <c r="C209" s="899"/>
      <c r="D209" s="899"/>
      <c r="E209" s="242"/>
      <c r="F209" s="892"/>
      <c r="G209" s="892"/>
      <c r="H209" s="892"/>
      <c r="I209" s="892"/>
      <c r="J209" s="892"/>
      <c r="K209" s="892"/>
      <c r="L209" s="892"/>
      <c r="M209" s="892"/>
      <c r="N209" s="892">
        <v>0</v>
      </c>
      <c r="O209" s="892">
        <v>0</v>
      </c>
      <c r="P209" s="892">
        <v>0</v>
      </c>
      <c r="Q209" s="892">
        <v>0</v>
      </c>
      <c r="R209" s="892">
        <v>0</v>
      </c>
      <c r="S209" s="892">
        <v>0</v>
      </c>
      <c r="T209" s="892">
        <v>-13200</v>
      </c>
      <c r="U209" s="892">
        <v>-13000</v>
      </c>
      <c r="V209" s="892">
        <v>-13000</v>
      </c>
      <c r="W209" s="892">
        <v>0</v>
      </c>
      <c r="X209" s="892">
        <v>0</v>
      </c>
      <c r="Y209" s="892">
        <v>0</v>
      </c>
      <c r="Z209" s="892">
        <v>0</v>
      </c>
      <c r="AA209" s="892">
        <v>0</v>
      </c>
      <c r="AB209" s="892"/>
    </row>
    <row r="210" spans="1:28" s="776" customFormat="1">
      <c r="A210" s="793"/>
      <c r="B210" s="73"/>
      <c r="C210" s="899"/>
      <c r="D210" s="899"/>
      <c r="E210" s="242"/>
      <c r="F210" s="793"/>
      <c r="G210" s="793"/>
      <c r="H210" s="793"/>
      <c r="I210" s="793"/>
      <c r="J210" s="793"/>
      <c r="K210" s="793"/>
      <c r="L210" s="793"/>
      <c r="M210" s="793"/>
      <c r="N210" s="793">
        <f t="shared" ref="N210:AB210" si="79">SUM(N208:N209)</f>
        <v>0</v>
      </c>
      <c r="O210" s="793">
        <f t="shared" si="79"/>
        <v>0</v>
      </c>
      <c r="P210" s="793">
        <f t="shared" si="79"/>
        <v>0</v>
      </c>
      <c r="Q210" s="793">
        <f t="shared" si="79"/>
        <v>0</v>
      </c>
      <c r="R210" s="793">
        <f t="shared" si="79"/>
        <v>0</v>
      </c>
      <c r="S210" s="793">
        <f t="shared" si="79"/>
        <v>0</v>
      </c>
      <c r="T210" s="793">
        <f t="shared" si="79"/>
        <v>2500</v>
      </c>
      <c r="U210" s="793">
        <f t="shared" si="79"/>
        <v>2000</v>
      </c>
      <c r="V210" s="793">
        <f t="shared" si="79"/>
        <v>0</v>
      </c>
      <c r="W210" s="793">
        <f t="shared" si="79"/>
        <v>0</v>
      </c>
      <c r="X210" s="793">
        <f t="shared" si="79"/>
        <v>0</v>
      </c>
      <c r="Y210" s="793">
        <f t="shared" si="79"/>
        <v>0</v>
      </c>
      <c r="Z210" s="793">
        <f t="shared" si="79"/>
        <v>0</v>
      </c>
      <c r="AA210" s="793">
        <f t="shared" si="79"/>
        <v>0</v>
      </c>
      <c r="AB210" s="793">
        <f t="shared" si="79"/>
        <v>0</v>
      </c>
    </row>
    <row r="211" spans="1:28" s="776" customFormat="1">
      <c r="A211" s="793"/>
      <c r="B211" s="922" t="s">
        <v>386</v>
      </c>
      <c r="C211" s="793"/>
      <c r="D211" s="793"/>
      <c r="E211" s="242"/>
      <c r="F211" s="882">
        <v>17448</v>
      </c>
      <c r="G211" s="793">
        <v>17079</v>
      </c>
      <c r="H211" s="793"/>
      <c r="I211" s="793"/>
      <c r="J211" s="793"/>
      <c r="K211" s="793"/>
      <c r="L211" s="793"/>
      <c r="M211" s="793"/>
      <c r="N211" s="793">
        <v>6883</v>
      </c>
      <c r="O211" s="793">
        <v>6883</v>
      </c>
      <c r="P211" s="793">
        <v>6981</v>
      </c>
      <c r="Q211" s="793">
        <v>18101</v>
      </c>
      <c r="R211" s="793">
        <v>15941</v>
      </c>
      <c r="S211" s="793">
        <v>15900</v>
      </c>
      <c r="T211" s="793">
        <v>0</v>
      </c>
      <c r="U211" s="793">
        <v>0</v>
      </c>
      <c r="V211" s="793">
        <v>0</v>
      </c>
      <c r="W211" s="793">
        <v>0</v>
      </c>
      <c r="X211" s="793">
        <v>0</v>
      </c>
      <c r="Y211" s="793">
        <v>0</v>
      </c>
      <c r="Z211" s="793">
        <v>0</v>
      </c>
      <c r="AA211" s="793">
        <v>5000</v>
      </c>
      <c r="AB211" s="793">
        <v>5000</v>
      </c>
    </row>
    <row r="212" spans="1:28" s="776" customFormat="1">
      <c r="A212" s="793"/>
      <c r="B212" s="73" t="s">
        <v>387</v>
      </c>
      <c r="C212" s="793"/>
      <c r="D212" s="793"/>
      <c r="E212" s="242"/>
      <c r="F212" s="793"/>
      <c r="G212" s="793">
        <v>9031</v>
      </c>
      <c r="H212" s="793"/>
      <c r="I212" s="793"/>
      <c r="J212" s="793"/>
      <c r="K212" s="793"/>
      <c r="L212" s="793"/>
      <c r="M212" s="793"/>
      <c r="N212" s="793"/>
      <c r="O212" s="793"/>
      <c r="P212" s="793"/>
      <c r="Q212" s="793"/>
      <c r="R212" s="793"/>
      <c r="S212" s="242"/>
      <c r="T212" s="793"/>
      <c r="U212" s="793"/>
      <c r="V212" s="793"/>
      <c r="W212" s="793"/>
      <c r="X212" s="793"/>
      <c r="Y212" s="793"/>
      <c r="Z212" s="793"/>
      <c r="AA212" s="793"/>
      <c r="AB212" s="793"/>
    </row>
    <row r="213" spans="1:28" s="776" customFormat="1">
      <c r="A213" s="793"/>
      <c r="B213" s="73" t="s">
        <v>385</v>
      </c>
      <c r="C213" s="793"/>
      <c r="D213" s="793"/>
      <c r="E213" s="242"/>
      <c r="F213" s="892">
        <v>-369</v>
      </c>
      <c r="G213" s="892">
        <v>-3073</v>
      </c>
      <c r="H213" s="892"/>
      <c r="I213" s="892"/>
      <c r="J213" s="892"/>
      <c r="K213" s="892"/>
      <c r="L213" s="892"/>
      <c r="M213" s="892"/>
      <c r="N213" s="892">
        <v>0</v>
      </c>
      <c r="O213" s="892">
        <v>0</v>
      </c>
      <c r="P213" s="892">
        <v>-25</v>
      </c>
      <c r="Q213" s="892">
        <v>-149</v>
      </c>
      <c r="R213" s="892">
        <v>-149</v>
      </c>
      <c r="S213" s="892">
        <v>-13200</v>
      </c>
      <c r="T213" s="892">
        <v>0</v>
      </c>
      <c r="U213" s="892">
        <v>0</v>
      </c>
      <c r="V213" s="892">
        <v>0</v>
      </c>
      <c r="W213" s="892">
        <v>0</v>
      </c>
      <c r="X213" s="892">
        <v>0</v>
      </c>
      <c r="Y213" s="892">
        <v>0</v>
      </c>
      <c r="Z213" s="892">
        <v>0</v>
      </c>
      <c r="AA213" s="892">
        <v>0</v>
      </c>
      <c r="AB213" s="892"/>
    </row>
    <row r="214" spans="1:28" s="776" customFormat="1">
      <c r="A214" s="793"/>
      <c r="B214" s="73"/>
      <c r="C214" s="793"/>
      <c r="D214" s="793"/>
      <c r="E214" s="242"/>
      <c r="F214" s="793">
        <f t="shared" ref="F214:AB214" si="80">SUM(F211:F213)</f>
        <v>17079</v>
      </c>
      <c r="G214" s="793">
        <f t="shared" si="80"/>
        <v>23037</v>
      </c>
      <c r="H214" s="793">
        <f t="shared" si="80"/>
        <v>0</v>
      </c>
      <c r="I214" s="793">
        <f t="shared" si="80"/>
        <v>0</v>
      </c>
      <c r="J214" s="793">
        <f t="shared" si="80"/>
        <v>0</v>
      </c>
      <c r="K214" s="793">
        <f t="shared" si="80"/>
        <v>0</v>
      </c>
      <c r="L214" s="793">
        <f t="shared" si="80"/>
        <v>0</v>
      </c>
      <c r="M214" s="793">
        <f t="shared" si="80"/>
        <v>0</v>
      </c>
      <c r="N214" s="793">
        <f t="shared" si="80"/>
        <v>6883</v>
      </c>
      <c r="O214" s="793">
        <f t="shared" si="80"/>
        <v>6883</v>
      </c>
      <c r="P214" s="793">
        <f t="shared" si="80"/>
        <v>6956</v>
      </c>
      <c r="Q214" s="793">
        <f t="shared" si="80"/>
        <v>17952</v>
      </c>
      <c r="R214" s="793">
        <f t="shared" si="80"/>
        <v>15792</v>
      </c>
      <c r="S214" s="793">
        <f t="shared" si="80"/>
        <v>2700</v>
      </c>
      <c r="T214" s="793">
        <f t="shared" si="80"/>
        <v>0</v>
      </c>
      <c r="U214" s="793">
        <f t="shared" si="80"/>
        <v>0</v>
      </c>
      <c r="V214" s="793">
        <f t="shared" si="80"/>
        <v>0</v>
      </c>
      <c r="W214" s="793">
        <f t="shared" si="80"/>
        <v>0</v>
      </c>
      <c r="X214" s="793">
        <f t="shared" si="80"/>
        <v>0</v>
      </c>
      <c r="Y214" s="793">
        <f t="shared" si="80"/>
        <v>0</v>
      </c>
      <c r="Z214" s="793">
        <f t="shared" si="80"/>
        <v>0</v>
      </c>
      <c r="AA214" s="793">
        <f t="shared" si="80"/>
        <v>5000</v>
      </c>
      <c r="AB214" s="793">
        <f t="shared" si="80"/>
        <v>5000</v>
      </c>
    </row>
    <row r="215" spans="1:28" s="776" customFormat="1">
      <c r="A215" s="793"/>
      <c r="B215" s="73"/>
      <c r="C215" s="899"/>
      <c r="D215" s="899"/>
      <c r="E215" s="242"/>
      <c r="F215" s="793"/>
      <c r="G215" s="793"/>
      <c r="H215" s="793"/>
      <c r="I215" s="793"/>
      <c r="J215" s="793"/>
      <c r="K215" s="793"/>
      <c r="L215" s="793"/>
      <c r="M215" s="793"/>
      <c r="N215" s="793"/>
      <c r="O215" s="793"/>
      <c r="P215" s="793"/>
      <c r="Q215" s="793"/>
      <c r="R215" s="793"/>
      <c r="S215" s="793"/>
      <c r="T215" s="793"/>
      <c r="U215" s="793"/>
      <c r="V215" s="793"/>
      <c r="W215" s="793"/>
      <c r="X215" s="793"/>
      <c r="Y215" s="793"/>
      <c r="Z215" s="793"/>
      <c r="AA215" s="793"/>
      <c r="AB215" s="793"/>
    </row>
    <row r="216" spans="1:28" s="776" customFormat="1">
      <c r="A216" s="793"/>
      <c r="B216" s="922" t="s">
        <v>388</v>
      </c>
      <c r="C216" s="793"/>
      <c r="D216" s="793"/>
      <c r="E216" s="242"/>
      <c r="F216" s="793"/>
      <c r="G216" s="793"/>
      <c r="H216" s="793"/>
      <c r="I216" s="793"/>
      <c r="J216" s="793">
        <v>140164</v>
      </c>
      <c r="K216" s="793">
        <v>133511</v>
      </c>
      <c r="L216" s="793">
        <v>131419</v>
      </c>
      <c r="M216" s="793">
        <v>0</v>
      </c>
      <c r="N216" s="793">
        <v>22380</v>
      </c>
      <c r="O216" s="793">
        <v>22380</v>
      </c>
      <c r="P216" s="793">
        <v>22380</v>
      </c>
      <c r="Q216" s="793">
        <v>22380</v>
      </c>
      <c r="R216" s="793">
        <v>22380</v>
      </c>
      <c r="S216" s="793">
        <v>22400</v>
      </c>
      <c r="T216" s="793">
        <v>0</v>
      </c>
      <c r="U216" s="793">
        <v>0</v>
      </c>
      <c r="V216" s="793">
        <v>0</v>
      </c>
      <c r="W216" s="793">
        <v>0</v>
      </c>
      <c r="X216" s="793">
        <v>0</v>
      </c>
      <c r="Y216" s="793">
        <v>0</v>
      </c>
      <c r="Z216" s="793">
        <v>0</v>
      </c>
      <c r="AA216" s="793">
        <v>0</v>
      </c>
      <c r="AB216" s="793"/>
    </row>
    <row r="217" spans="1:28" s="776" customFormat="1">
      <c r="A217" s="793"/>
      <c r="B217" s="73" t="s">
        <v>385</v>
      </c>
      <c r="C217" s="793"/>
      <c r="D217" s="793"/>
      <c r="E217" s="242"/>
      <c r="F217" s="892"/>
      <c r="G217" s="892"/>
      <c r="H217" s="892"/>
      <c r="I217" s="892"/>
      <c r="J217" s="892">
        <v>0</v>
      </c>
      <c r="K217" s="892">
        <v>0</v>
      </c>
      <c r="L217" s="892">
        <v>0</v>
      </c>
      <c r="M217" s="892">
        <v>0</v>
      </c>
      <c r="N217" s="892">
        <v>-1119</v>
      </c>
      <c r="O217" s="892">
        <v>-4476</v>
      </c>
      <c r="P217" s="892">
        <v>-6714</v>
      </c>
      <c r="Q217" s="892">
        <v>-8952</v>
      </c>
      <c r="R217" s="892">
        <v>-11190</v>
      </c>
      <c r="S217" s="892">
        <v>-22400</v>
      </c>
      <c r="T217" s="892">
        <v>0</v>
      </c>
      <c r="U217" s="892">
        <v>0</v>
      </c>
      <c r="V217" s="892">
        <v>0</v>
      </c>
      <c r="W217" s="892">
        <v>0</v>
      </c>
      <c r="X217" s="892">
        <v>0</v>
      </c>
      <c r="Y217" s="892">
        <v>0</v>
      </c>
      <c r="Z217" s="892">
        <v>0</v>
      </c>
      <c r="AA217" s="892">
        <v>0</v>
      </c>
      <c r="AB217" s="892"/>
    </row>
    <row r="218" spans="1:28" s="776" customFormat="1">
      <c r="A218" s="793"/>
      <c r="B218" s="73"/>
      <c r="C218" s="793"/>
      <c r="D218" s="793"/>
      <c r="E218" s="242"/>
      <c r="F218" s="793">
        <f t="shared" ref="F218:AB218" si="81">SUM(F216:F217)</f>
        <v>0</v>
      </c>
      <c r="G218" s="793">
        <f t="shared" si="81"/>
        <v>0</v>
      </c>
      <c r="H218" s="793">
        <f t="shared" si="81"/>
        <v>0</v>
      </c>
      <c r="I218" s="793">
        <f t="shared" si="81"/>
        <v>0</v>
      </c>
      <c r="J218" s="793">
        <f t="shared" si="81"/>
        <v>140164</v>
      </c>
      <c r="K218" s="793">
        <f t="shared" si="81"/>
        <v>133511</v>
      </c>
      <c r="L218" s="793">
        <f t="shared" si="81"/>
        <v>131419</v>
      </c>
      <c r="M218" s="793">
        <f t="shared" si="81"/>
        <v>0</v>
      </c>
      <c r="N218" s="793">
        <f t="shared" si="81"/>
        <v>21261</v>
      </c>
      <c r="O218" s="793">
        <f t="shared" si="81"/>
        <v>17904</v>
      </c>
      <c r="P218" s="793">
        <f t="shared" si="81"/>
        <v>15666</v>
      </c>
      <c r="Q218" s="793">
        <f t="shared" si="81"/>
        <v>13428</v>
      </c>
      <c r="R218" s="793">
        <f t="shared" si="81"/>
        <v>11190</v>
      </c>
      <c r="S218" s="793">
        <f t="shared" si="81"/>
        <v>0</v>
      </c>
      <c r="T218" s="793">
        <f t="shared" si="81"/>
        <v>0</v>
      </c>
      <c r="U218" s="793">
        <f t="shared" si="81"/>
        <v>0</v>
      </c>
      <c r="V218" s="793">
        <f t="shared" si="81"/>
        <v>0</v>
      </c>
      <c r="W218" s="793">
        <f t="shared" si="81"/>
        <v>0</v>
      </c>
      <c r="X218" s="793">
        <f t="shared" si="81"/>
        <v>0</v>
      </c>
      <c r="Y218" s="793">
        <f t="shared" si="81"/>
        <v>0</v>
      </c>
      <c r="Z218" s="793">
        <f t="shared" si="81"/>
        <v>0</v>
      </c>
      <c r="AA218" s="793">
        <f t="shared" si="81"/>
        <v>0</v>
      </c>
      <c r="AB218" s="793">
        <f t="shared" si="81"/>
        <v>0</v>
      </c>
    </row>
    <row r="219" spans="1:28" s="776" customFormat="1">
      <c r="A219" s="793"/>
      <c r="B219" s="73"/>
      <c r="C219" s="793"/>
      <c r="D219" s="793"/>
      <c r="E219" s="242"/>
      <c r="F219" s="793"/>
      <c r="G219" s="793"/>
      <c r="H219" s="793"/>
      <c r="I219" s="793"/>
      <c r="J219" s="793"/>
      <c r="K219" s="793"/>
      <c r="L219" s="793"/>
      <c r="M219" s="793"/>
      <c r="N219" s="793"/>
      <c r="O219" s="793"/>
      <c r="P219" s="793"/>
      <c r="Q219" s="793"/>
      <c r="R219" s="793"/>
      <c r="S219" s="793"/>
      <c r="T219" s="793"/>
      <c r="U219" s="793"/>
      <c r="V219" s="793"/>
      <c r="W219" s="793"/>
      <c r="X219" s="793"/>
      <c r="Y219" s="793"/>
      <c r="Z219" s="793"/>
      <c r="AA219" s="793"/>
      <c r="AB219" s="793"/>
    </row>
    <row r="220" spans="1:28" s="776" customFormat="1">
      <c r="A220" s="793"/>
      <c r="B220" s="922" t="s">
        <v>223</v>
      </c>
      <c r="C220" s="899"/>
      <c r="D220" s="899"/>
      <c r="E220" s="242"/>
      <c r="F220" s="793">
        <v>0</v>
      </c>
      <c r="G220" s="793">
        <v>0</v>
      </c>
      <c r="H220" s="793">
        <v>0</v>
      </c>
      <c r="I220" s="793">
        <v>0</v>
      </c>
      <c r="J220" s="793">
        <v>0</v>
      </c>
      <c r="K220" s="793">
        <v>0</v>
      </c>
      <c r="L220" s="793">
        <v>0</v>
      </c>
      <c r="M220" s="793">
        <v>401</v>
      </c>
      <c r="N220" s="793">
        <v>401</v>
      </c>
      <c r="O220" s="793">
        <v>401</v>
      </c>
      <c r="P220" s="793">
        <v>401</v>
      </c>
      <c r="Q220" s="793">
        <v>401</v>
      </c>
      <c r="R220" s="793">
        <v>0</v>
      </c>
      <c r="S220" s="793">
        <v>0</v>
      </c>
      <c r="T220" s="793">
        <v>0</v>
      </c>
      <c r="U220" s="793">
        <v>0</v>
      </c>
      <c r="V220" s="793">
        <v>0</v>
      </c>
      <c r="W220" s="793">
        <v>0</v>
      </c>
      <c r="X220" s="793">
        <v>0</v>
      </c>
      <c r="Y220" s="793">
        <v>0</v>
      </c>
      <c r="Z220" s="793">
        <v>0</v>
      </c>
      <c r="AA220" s="793">
        <v>0</v>
      </c>
      <c r="AB220" s="793"/>
    </row>
    <row r="221" spans="1:28" s="776" customFormat="1">
      <c r="A221" s="793"/>
      <c r="B221" s="73" t="s">
        <v>389</v>
      </c>
      <c r="C221" s="899"/>
      <c r="D221" s="899"/>
      <c r="E221" s="242"/>
      <c r="F221" s="892">
        <v>0</v>
      </c>
      <c r="G221" s="892">
        <v>0</v>
      </c>
      <c r="H221" s="892">
        <v>0</v>
      </c>
      <c r="I221" s="892">
        <v>0</v>
      </c>
      <c r="J221" s="892">
        <v>0</v>
      </c>
      <c r="K221" s="892">
        <v>0</v>
      </c>
      <c r="L221" s="892">
        <v>0</v>
      </c>
      <c r="M221" s="892">
        <v>-229</v>
      </c>
      <c r="N221" s="892">
        <v>-305</v>
      </c>
      <c r="O221" s="892">
        <v>-381</v>
      </c>
      <c r="P221" s="892">
        <v>-401</v>
      </c>
      <c r="Q221" s="892">
        <v>-401</v>
      </c>
      <c r="R221" s="892">
        <v>0</v>
      </c>
      <c r="S221" s="892">
        <v>0</v>
      </c>
      <c r="T221" s="892">
        <v>0</v>
      </c>
      <c r="U221" s="892">
        <v>0</v>
      </c>
      <c r="V221" s="892">
        <v>0</v>
      </c>
      <c r="W221" s="892">
        <v>0</v>
      </c>
      <c r="X221" s="892">
        <v>0</v>
      </c>
      <c r="Y221" s="892">
        <v>0</v>
      </c>
      <c r="Z221" s="892">
        <v>0</v>
      </c>
      <c r="AA221" s="892">
        <v>0</v>
      </c>
      <c r="AB221" s="892"/>
    </row>
    <row r="222" spans="1:28" s="776" customFormat="1">
      <c r="A222" s="793"/>
      <c r="B222" s="73" t="s">
        <v>390</v>
      </c>
      <c r="C222" s="899"/>
      <c r="D222" s="899"/>
      <c r="E222" s="242"/>
      <c r="F222" s="793">
        <f t="shared" ref="F222:AB222" si="82">SUM(F220:F221)</f>
        <v>0</v>
      </c>
      <c r="G222" s="793">
        <f t="shared" si="82"/>
        <v>0</v>
      </c>
      <c r="H222" s="793">
        <f t="shared" si="82"/>
        <v>0</v>
      </c>
      <c r="I222" s="793">
        <f t="shared" si="82"/>
        <v>0</v>
      </c>
      <c r="J222" s="793">
        <f t="shared" si="82"/>
        <v>0</v>
      </c>
      <c r="K222" s="793">
        <f t="shared" si="82"/>
        <v>0</v>
      </c>
      <c r="L222" s="793">
        <f t="shared" si="82"/>
        <v>0</v>
      </c>
      <c r="M222" s="793">
        <f t="shared" si="82"/>
        <v>172</v>
      </c>
      <c r="N222" s="793">
        <f t="shared" si="82"/>
        <v>96</v>
      </c>
      <c r="O222" s="793">
        <f t="shared" si="82"/>
        <v>20</v>
      </c>
      <c r="P222" s="793">
        <f t="shared" si="82"/>
        <v>0</v>
      </c>
      <c r="Q222" s="793">
        <f t="shared" si="82"/>
        <v>0</v>
      </c>
      <c r="R222" s="793">
        <f t="shared" si="82"/>
        <v>0</v>
      </c>
      <c r="S222" s="793">
        <f t="shared" si="82"/>
        <v>0</v>
      </c>
      <c r="T222" s="793">
        <f t="shared" si="82"/>
        <v>0</v>
      </c>
      <c r="U222" s="793">
        <f t="shared" si="82"/>
        <v>0</v>
      </c>
      <c r="V222" s="793">
        <f t="shared" si="82"/>
        <v>0</v>
      </c>
      <c r="W222" s="793">
        <f t="shared" si="82"/>
        <v>0</v>
      </c>
      <c r="X222" s="793">
        <f t="shared" si="82"/>
        <v>0</v>
      </c>
      <c r="Y222" s="793">
        <f t="shared" si="82"/>
        <v>0</v>
      </c>
      <c r="Z222" s="793">
        <f t="shared" si="82"/>
        <v>0</v>
      </c>
      <c r="AA222" s="793">
        <f t="shared" si="82"/>
        <v>0</v>
      </c>
      <c r="AB222" s="793">
        <f t="shared" si="82"/>
        <v>0</v>
      </c>
    </row>
    <row r="223" spans="1:28" s="776" customFormat="1">
      <c r="A223" s="793"/>
      <c r="B223" s="73"/>
      <c r="C223" s="899"/>
      <c r="D223" s="899"/>
      <c r="E223" s="242"/>
      <c r="F223" s="793"/>
      <c r="G223" s="793"/>
      <c r="H223" s="793"/>
      <c r="I223" s="793"/>
      <c r="J223" s="793"/>
      <c r="K223" s="793"/>
      <c r="L223" s="793"/>
      <c r="M223" s="793"/>
      <c r="N223" s="793"/>
      <c r="O223" s="793"/>
      <c r="P223" s="793"/>
      <c r="Q223" s="793"/>
      <c r="R223" s="793"/>
      <c r="S223" s="793"/>
      <c r="T223" s="793"/>
      <c r="U223" s="793"/>
      <c r="V223" s="793"/>
      <c r="W223" s="793"/>
      <c r="X223" s="793"/>
      <c r="Y223" s="793"/>
      <c r="Z223" s="793"/>
      <c r="AA223" s="793"/>
      <c r="AB223" s="793"/>
    </row>
    <row r="224" spans="1:28" s="776" customFormat="1">
      <c r="A224" s="793"/>
      <c r="B224" s="922" t="s">
        <v>391</v>
      </c>
      <c r="C224" s="899"/>
      <c r="D224" s="899"/>
      <c r="E224" s="242"/>
      <c r="F224" s="793">
        <v>0</v>
      </c>
      <c r="G224" s="793">
        <v>0</v>
      </c>
      <c r="H224" s="793">
        <v>0</v>
      </c>
      <c r="I224" s="793">
        <v>0</v>
      </c>
      <c r="J224" s="793">
        <v>0</v>
      </c>
      <c r="K224" s="793">
        <v>0</v>
      </c>
      <c r="L224" s="793">
        <v>0</v>
      </c>
      <c r="M224" s="793">
        <v>0</v>
      </c>
      <c r="N224" s="793">
        <v>1066</v>
      </c>
      <c r="O224" s="793">
        <v>1266</v>
      </c>
      <c r="P224" s="793">
        <v>1210</v>
      </c>
      <c r="Q224" s="793">
        <v>1466</v>
      </c>
      <c r="R224" s="793">
        <v>1496</v>
      </c>
      <c r="S224" s="793">
        <v>1600</v>
      </c>
      <c r="T224" s="793">
        <v>0</v>
      </c>
      <c r="U224" s="793">
        <v>0</v>
      </c>
      <c r="V224" s="793">
        <v>0</v>
      </c>
      <c r="W224" s="793">
        <v>0</v>
      </c>
      <c r="X224" s="793">
        <v>0</v>
      </c>
      <c r="Y224" s="793">
        <v>0</v>
      </c>
      <c r="Z224" s="793">
        <v>0</v>
      </c>
      <c r="AA224" s="793">
        <v>0</v>
      </c>
      <c r="AB224" s="793"/>
    </row>
    <row r="225" spans="1:28" s="776" customFormat="1">
      <c r="A225" s="793"/>
      <c r="B225" s="73" t="s">
        <v>389</v>
      </c>
      <c r="C225" s="899"/>
      <c r="D225" s="899"/>
      <c r="E225" s="242"/>
      <c r="F225" s="892">
        <v>0</v>
      </c>
      <c r="G225" s="892">
        <v>0</v>
      </c>
      <c r="H225" s="892">
        <v>0</v>
      </c>
      <c r="I225" s="892">
        <v>0</v>
      </c>
      <c r="J225" s="892">
        <v>0</v>
      </c>
      <c r="K225" s="892">
        <v>0</v>
      </c>
      <c r="L225" s="892">
        <v>0</v>
      </c>
      <c r="M225" s="892">
        <v>0</v>
      </c>
      <c r="N225" s="892">
        <v>-688</v>
      </c>
      <c r="O225" s="892">
        <v>-612</v>
      </c>
      <c r="P225" s="892">
        <v>-423</v>
      </c>
      <c r="Q225" s="892">
        <v>-570</v>
      </c>
      <c r="R225" s="892">
        <v>-632</v>
      </c>
      <c r="S225" s="892">
        <v>-1500</v>
      </c>
      <c r="T225" s="892">
        <v>0</v>
      </c>
      <c r="U225" s="892">
        <v>0</v>
      </c>
      <c r="V225" s="892">
        <v>0</v>
      </c>
      <c r="W225" s="892">
        <v>0</v>
      </c>
      <c r="X225" s="892">
        <v>0</v>
      </c>
      <c r="Y225" s="892">
        <v>0</v>
      </c>
      <c r="Z225" s="892">
        <v>0</v>
      </c>
      <c r="AA225" s="892">
        <v>0</v>
      </c>
      <c r="AB225" s="892"/>
    </row>
    <row r="226" spans="1:28" s="776" customFormat="1">
      <c r="A226" s="793"/>
      <c r="B226" s="73" t="s">
        <v>390</v>
      </c>
      <c r="C226" s="899"/>
      <c r="D226" s="899"/>
      <c r="E226" s="242"/>
      <c r="F226" s="793">
        <f t="shared" ref="F226:Z226" si="83">SUM(F224:F225)</f>
        <v>0</v>
      </c>
      <c r="G226" s="793">
        <f t="shared" si="83"/>
        <v>0</v>
      </c>
      <c r="H226" s="793">
        <f t="shared" si="83"/>
        <v>0</v>
      </c>
      <c r="I226" s="793">
        <f t="shared" si="83"/>
        <v>0</v>
      </c>
      <c r="J226" s="793">
        <f t="shared" si="83"/>
        <v>0</v>
      </c>
      <c r="K226" s="793">
        <f t="shared" si="83"/>
        <v>0</v>
      </c>
      <c r="L226" s="793">
        <f t="shared" si="83"/>
        <v>0</v>
      </c>
      <c r="M226" s="793">
        <f t="shared" si="83"/>
        <v>0</v>
      </c>
      <c r="N226" s="793">
        <f t="shared" si="83"/>
        <v>378</v>
      </c>
      <c r="O226" s="793">
        <f t="shared" si="83"/>
        <v>654</v>
      </c>
      <c r="P226" s="793">
        <f t="shared" si="83"/>
        <v>787</v>
      </c>
      <c r="Q226" s="793">
        <f t="shared" si="83"/>
        <v>896</v>
      </c>
      <c r="R226" s="793">
        <f t="shared" si="83"/>
        <v>864</v>
      </c>
      <c r="S226" s="793">
        <f t="shared" si="83"/>
        <v>100</v>
      </c>
      <c r="T226" s="793">
        <f t="shared" si="83"/>
        <v>0</v>
      </c>
      <c r="U226" s="793">
        <f t="shared" si="83"/>
        <v>0</v>
      </c>
      <c r="V226" s="793">
        <f t="shared" si="83"/>
        <v>0</v>
      </c>
      <c r="W226" s="793">
        <f t="shared" si="83"/>
        <v>0</v>
      </c>
      <c r="X226" s="793">
        <f t="shared" si="83"/>
        <v>0</v>
      </c>
      <c r="Y226" s="793">
        <f t="shared" si="83"/>
        <v>0</v>
      </c>
      <c r="Z226" s="793">
        <f t="shared" si="83"/>
        <v>0</v>
      </c>
      <c r="AA226" s="793">
        <f t="shared" ref="AA226:AB226" si="84">SUM(AA224:AA225)</f>
        <v>0</v>
      </c>
      <c r="AB226" s="793">
        <f t="shared" si="84"/>
        <v>0</v>
      </c>
    </row>
    <row r="227" spans="1:28" s="776" customFormat="1">
      <c r="A227" s="793"/>
      <c r="B227" s="73"/>
      <c r="C227" s="899"/>
      <c r="D227" s="899"/>
      <c r="E227" s="242"/>
      <c r="F227" s="793"/>
      <c r="G227" s="793"/>
      <c r="H227" s="793"/>
      <c r="I227" s="793"/>
      <c r="J227" s="793"/>
      <c r="K227" s="793"/>
      <c r="L227" s="793"/>
      <c r="M227" s="793"/>
      <c r="N227" s="793"/>
      <c r="O227" s="793"/>
      <c r="P227" s="793"/>
      <c r="Q227" s="793"/>
      <c r="R227" s="793"/>
      <c r="S227" s="793"/>
      <c r="T227" s="793"/>
      <c r="U227" s="793"/>
      <c r="V227" s="793"/>
      <c r="W227" s="793"/>
      <c r="X227" s="793"/>
      <c r="Y227" s="793"/>
      <c r="Z227" s="793"/>
      <c r="AA227" s="793"/>
      <c r="AB227" s="793"/>
    </row>
    <row r="228" spans="1:28" s="776" customFormat="1">
      <c r="A228" s="793"/>
      <c r="B228" s="922" t="s">
        <v>392</v>
      </c>
      <c r="C228" s="899"/>
      <c r="D228" s="899"/>
      <c r="E228" s="242"/>
      <c r="F228" s="793"/>
      <c r="G228" s="793">
        <v>2102</v>
      </c>
      <c r="H228" s="793">
        <v>29685</v>
      </c>
      <c r="I228" s="793">
        <v>66802</v>
      </c>
      <c r="J228" s="793">
        <v>67049</v>
      </c>
      <c r="K228" s="793">
        <v>67375</v>
      </c>
      <c r="L228" s="793">
        <v>67375</v>
      </c>
      <c r="M228" s="793">
        <f>65174+22808</f>
        <v>87982</v>
      </c>
      <c r="N228" s="793">
        <v>65174</v>
      </c>
      <c r="O228" s="793">
        <v>65174</v>
      </c>
      <c r="P228" s="793">
        <v>65174</v>
      </c>
      <c r="Q228" s="793">
        <v>65174</v>
      </c>
      <c r="R228" s="793">
        <v>66939</v>
      </c>
      <c r="S228" s="793">
        <v>66900</v>
      </c>
      <c r="T228" s="793"/>
      <c r="U228" s="793"/>
      <c r="V228" s="793"/>
      <c r="W228" s="793">
        <v>0</v>
      </c>
      <c r="X228" s="793">
        <v>18000</v>
      </c>
      <c r="Y228" s="793">
        <v>19000</v>
      </c>
      <c r="Z228" s="793">
        <v>20000</v>
      </c>
      <c r="AA228" s="793">
        <v>24000</v>
      </c>
      <c r="AB228" s="793">
        <v>25000</v>
      </c>
    </row>
    <row r="229" spans="1:28" s="776" customFormat="1">
      <c r="A229" s="793"/>
      <c r="B229" s="73" t="s">
        <v>385</v>
      </c>
      <c r="C229" s="899"/>
      <c r="D229" s="899"/>
      <c r="E229" s="242"/>
      <c r="F229" s="892"/>
      <c r="G229" s="892">
        <v>-313</v>
      </c>
      <c r="H229" s="892">
        <v>-6839</v>
      </c>
      <c r="I229" s="892">
        <v>-14385</v>
      </c>
      <c r="J229" s="892">
        <v>-22029</v>
      </c>
      <c r="K229" s="892">
        <v>-29717</v>
      </c>
      <c r="L229" s="892">
        <v>-37340</v>
      </c>
      <c r="M229" s="892">
        <v>-42366</v>
      </c>
      <c r="N229" s="892">
        <v>-49030</v>
      </c>
      <c r="O229" s="892">
        <v>-55125</v>
      </c>
      <c r="P229" s="892">
        <v>-58763</v>
      </c>
      <c r="Q229" s="892">
        <v>-62402</v>
      </c>
      <c r="R229" s="892">
        <v>-65174</v>
      </c>
      <c r="S229" s="892">
        <v>-65400</v>
      </c>
      <c r="T229" s="892"/>
      <c r="U229" s="892"/>
      <c r="V229" s="892"/>
      <c r="W229" s="892"/>
      <c r="X229" s="892"/>
      <c r="Y229" s="892"/>
      <c r="Z229" s="892"/>
      <c r="AA229" s="892">
        <v>0</v>
      </c>
      <c r="AB229" s="892"/>
    </row>
    <row r="230" spans="1:28" s="776" customFormat="1">
      <c r="A230" s="793"/>
      <c r="B230" s="73" t="s">
        <v>390</v>
      </c>
      <c r="C230" s="899"/>
      <c r="D230" s="899"/>
      <c r="E230" s="242"/>
      <c r="F230" s="793">
        <f t="shared" ref="F230:I230" si="85">SUM(F228:F229)</f>
        <v>0</v>
      </c>
      <c r="G230" s="793">
        <f t="shared" si="85"/>
        <v>1789</v>
      </c>
      <c r="H230" s="793">
        <f t="shared" si="85"/>
        <v>22846</v>
      </c>
      <c r="I230" s="793">
        <f t="shared" si="85"/>
        <v>52417</v>
      </c>
      <c r="J230" s="793">
        <f>SUM(J228:J229)</f>
        <v>45020</v>
      </c>
      <c r="K230" s="793">
        <f>SUM(K228:K229)</f>
        <v>37658</v>
      </c>
      <c r="L230" s="793">
        <f>SUM(L228:L229)</f>
        <v>30035</v>
      </c>
      <c r="M230" s="793">
        <f>SUM(M228:M229)</f>
        <v>45616</v>
      </c>
      <c r="N230" s="793">
        <f t="shared" ref="N230:Z230" si="86">SUM(N228:N229)</f>
        <v>16144</v>
      </c>
      <c r="O230" s="793">
        <f t="shared" si="86"/>
        <v>10049</v>
      </c>
      <c r="P230" s="793">
        <f t="shared" si="86"/>
        <v>6411</v>
      </c>
      <c r="Q230" s="793">
        <f t="shared" si="86"/>
        <v>2772</v>
      </c>
      <c r="R230" s="793">
        <f t="shared" si="86"/>
        <v>1765</v>
      </c>
      <c r="S230" s="793">
        <f t="shared" si="86"/>
        <v>1500</v>
      </c>
      <c r="T230" s="899">
        <f t="shared" si="86"/>
        <v>0</v>
      </c>
      <c r="U230" s="899">
        <f t="shared" si="86"/>
        <v>0</v>
      </c>
      <c r="V230" s="899">
        <f t="shared" si="86"/>
        <v>0</v>
      </c>
      <c r="W230" s="899">
        <f t="shared" si="86"/>
        <v>0</v>
      </c>
      <c r="X230" s="793">
        <f t="shared" si="86"/>
        <v>18000</v>
      </c>
      <c r="Y230" s="793">
        <f t="shared" si="86"/>
        <v>19000</v>
      </c>
      <c r="Z230" s="793">
        <f t="shared" si="86"/>
        <v>20000</v>
      </c>
      <c r="AA230" s="793">
        <f t="shared" ref="AA230:AB230" si="87">SUM(AA228:AA229)</f>
        <v>24000</v>
      </c>
      <c r="AB230" s="793">
        <f t="shared" si="87"/>
        <v>25000</v>
      </c>
    </row>
    <row r="231" spans="1:28" s="776" customFormat="1">
      <c r="A231" s="793"/>
      <c r="B231" s="73"/>
      <c r="C231" s="899"/>
      <c r="D231" s="899"/>
      <c r="E231" s="242"/>
      <c r="F231" s="793"/>
      <c r="G231" s="793"/>
      <c r="H231" s="793"/>
      <c r="I231" s="793"/>
      <c r="J231" s="793"/>
      <c r="K231" s="793"/>
      <c r="L231" s="793"/>
      <c r="M231" s="793"/>
      <c r="N231" s="793"/>
      <c r="O231" s="793"/>
      <c r="P231" s="793"/>
      <c r="Q231" s="793"/>
      <c r="R231" s="793"/>
      <c r="S231" s="793"/>
      <c r="T231" s="793"/>
      <c r="U231" s="793"/>
      <c r="V231" s="793"/>
      <c r="W231" s="793"/>
      <c r="X231" s="793"/>
      <c r="Y231" s="793"/>
      <c r="Z231" s="793"/>
      <c r="AA231" s="793"/>
      <c r="AB231" s="793"/>
    </row>
    <row r="232" spans="1:28" s="776" customFormat="1">
      <c r="A232" s="793"/>
      <c r="B232" s="922" t="s">
        <v>393</v>
      </c>
      <c r="C232" s="793"/>
      <c r="D232" s="793"/>
      <c r="E232" s="242"/>
      <c r="F232" s="793"/>
      <c r="G232" s="793"/>
      <c r="H232" s="793"/>
      <c r="I232" s="793"/>
      <c r="J232" s="1046">
        <v>55325</v>
      </c>
      <c r="K232" s="1046">
        <v>46026</v>
      </c>
      <c r="L232" s="1046">
        <v>19292</v>
      </c>
      <c r="M232" s="793">
        <v>0</v>
      </c>
      <c r="N232" s="793"/>
      <c r="O232" s="793"/>
      <c r="P232" s="793"/>
      <c r="Q232" s="793"/>
      <c r="R232" s="793"/>
      <c r="S232" s="793"/>
      <c r="T232" s="793"/>
      <c r="U232" s="793"/>
      <c r="V232" s="793"/>
      <c r="W232" s="793"/>
      <c r="X232" s="793"/>
      <c r="Y232" s="793"/>
      <c r="Z232" s="793"/>
      <c r="AA232" s="793"/>
      <c r="AB232" s="793"/>
    </row>
    <row r="233" spans="1:28" s="776" customFormat="1">
      <c r="A233" s="793"/>
      <c r="B233" s="73"/>
      <c r="C233" s="793"/>
      <c r="D233" s="793"/>
      <c r="E233" s="242"/>
      <c r="F233" s="793"/>
      <c r="G233" s="793"/>
      <c r="H233" s="793"/>
      <c r="I233" s="793"/>
      <c r="J233" s="793"/>
      <c r="K233" s="793"/>
      <c r="L233" s="793"/>
      <c r="M233" s="793"/>
      <c r="N233" s="793"/>
      <c r="O233" s="793"/>
      <c r="P233" s="793"/>
      <c r="Q233" s="793"/>
      <c r="R233" s="793"/>
      <c r="S233" s="793"/>
      <c r="T233" s="793"/>
      <c r="U233" s="793"/>
      <c r="V233" s="793"/>
      <c r="W233" s="793"/>
      <c r="X233" s="793"/>
      <c r="Y233" s="793"/>
      <c r="Z233" s="793"/>
      <c r="AA233" s="793"/>
      <c r="AB233" s="793"/>
    </row>
    <row r="234" spans="1:28" s="776" customFormat="1" ht="13.5" thickBot="1">
      <c r="A234" s="793"/>
      <c r="B234" s="73" t="s">
        <v>394</v>
      </c>
      <c r="C234" s="899"/>
      <c r="D234" s="899"/>
      <c r="E234" s="242"/>
      <c r="F234" s="987">
        <f>F206+F210+F214+F218+F230+F226+F222+F232</f>
        <v>17079</v>
      </c>
      <c r="G234" s="987">
        <f>G206+G210+G214+G218+G230+G226+G222+G232</f>
        <v>24826</v>
      </c>
      <c r="H234" s="987">
        <f>H206+H210+H214+H218+H230+H226+H222+H232</f>
        <v>22846</v>
      </c>
      <c r="I234" s="987">
        <f>I206+I210+I214+I218+I230+I226+I222+I232</f>
        <v>52417</v>
      </c>
      <c r="J234" s="987">
        <f t="shared" ref="J234:Z234" si="88">J206+J210+J214+J218+J230+J226+J222+J232-J230</f>
        <v>195489</v>
      </c>
      <c r="K234" s="987">
        <f t="shared" si="88"/>
        <v>179537</v>
      </c>
      <c r="L234" s="987">
        <f t="shared" si="88"/>
        <v>150711</v>
      </c>
      <c r="M234" s="987">
        <f t="shared" si="88"/>
        <v>3786</v>
      </c>
      <c r="N234" s="987">
        <f t="shared" si="88"/>
        <v>33448</v>
      </c>
      <c r="O234" s="987">
        <f t="shared" si="88"/>
        <v>32309</v>
      </c>
      <c r="P234" s="987">
        <f t="shared" si="88"/>
        <v>37222</v>
      </c>
      <c r="Q234" s="987">
        <f t="shared" si="88"/>
        <v>47281</v>
      </c>
      <c r="R234" s="987">
        <f t="shared" si="88"/>
        <v>45165</v>
      </c>
      <c r="S234" s="987">
        <f t="shared" si="88"/>
        <v>25300</v>
      </c>
      <c r="T234" s="987">
        <f t="shared" si="88"/>
        <v>54800</v>
      </c>
      <c r="U234" s="987">
        <f t="shared" si="88"/>
        <v>54000</v>
      </c>
      <c r="V234" s="987">
        <f t="shared" si="88"/>
        <v>47000</v>
      </c>
      <c r="W234" s="987">
        <f t="shared" si="88"/>
        <v>47000</v>
      </c>
      <c r="X234" s="987">
        <f t="shared" si="88"/>
        <v>58000</v>
      </c>
      <c r="Y234" s="987">
        <f t="shared" si="88"/>
        <v>60000</v>
      </c>
      <c r="Z234" s="987">
        <f t="shared" si="88"/>
        <v>59000</v>
      </c>
      <c r="AA234" s="987">
        <f>AA206+AA210+AA214+AA218+AA230+AA226+AA222+AA232-AA230</f>
        <v>65000</v>
      </c>
      <c r="AB234" s="987">
        <f>AB206+AB210+AB214+AB218+AB230+AB226+AB222+AB232-AB230</f>
        <v>84000</v>
      </c>
    </row>
    <row r="235" spans="1:28" s="776" customFormat="1" ht="13.5" thickTop="1">
      <c r="A235" s="793"/>
      <c r="B235" s="73"/>
      <c r="C235" s="899"/>
      <c r="D235" s="899"/>
      <c r="E235" s="242"/>
      <c r="F235" s="899"/>
      <c r="G235" s="899"/>
      <c r="H235" s="899"/>
      <c r="I235" s="899"/>
      <c r="J235" s="899"/>
      <c r="K235" s="899"/>
      <c r="L235" s="899"/>
      <c r="M235" s="899"/>
      <c r="N235" s="899"/>
      <c r="O235" s="899"/>
      <c r="P235" s="899"/>
      <c r="Q235" s="899"/>
      <c r="R235" s="899"/>
      <c r="S235" s="899"/>
      <c r="T235" s="899"/>
      <c r="U235" s="899"/>
      <c r="V235" s="899"/>
      <c r="W235" s="899"/>
      <c r="X235" s="899"/>
      <c r="Y235" s="899"/>
      <c r="Z235" s="899"/>
      <c r="AA235" s="899"/>
      <c r="AB235" s="793"/>
    </row>
    <row r="236" spans="1:28" s="776" customFormat="1">
      <c r="A236" s="793"/>
      <c r="B236" s="73" t="s">
        <v>1306</v>
      </c>
      <c r="C236" s="899"/>
      <c r="D236" s="899"/>
      <c r="E236" s="242"/>
      <c r="F236" s="899">
        <f t="shared" ref="F236:AB236" si="89">F11</f>
        <v>0</v>
      </c>
      <c r="G236" s="899">
        <f t="shared" si="89"/>
        <v>0</v>
      </c>
      <c r="H236" s="899">
        <f t="shared" si="89"/>
        <v>0</v>
      </c>
      <c r="I236" s="899">
        <f t="shared" si="89"/>
        <v>0</v>
      </c>
      <c r="J236" s="899">
        <f t="shared" si="89"/>
        <v>0</v>
      </c>
      <c r="K236" s="899">
        <f t="shared" si="89"/>
        <v>0</v>
      </c>
      <c r="L236" s="899">
        <f t="shared" si="89"/>
        <v>0</v>
      </c>
      <c r="M236" s="899">
        <f t="shared" si="89"/>
        <v>0</v>
      </c>
      <c r="N236" s="899">
        <f t="shared" si="89"/>
        <v>0</v>
      </c>
      <c r="O236" s="899">
        <f t="shared" si="89"/>
        <v>0</v>
      </c>
      <c r="P236" s="899">
        <f t="shared" si="89"/>
        <v>0</v>
      </c>
      <c r="Q236" s="899">
        <f t="shared" si="89"/>
        <v>0</v>
      </c>
      <c r="R236" s="899">
        <f t="shared" si="89"/>
        <v>0</v>
      </c>
      <c r="S236" s="899">
        <f t="shared" si="89"/>
        <v>0</v>
      </c>
      <c r="T236" s="899">
        <f t="shared" si="89"/>
        <v>0</v>
      </c>
      <c r="U236" s="899">
        <f t="shared" si="89"/>
        <v>0</v>
      </c>
      <c r="V236" s="899">
        <f t="shared" si="89"/>
        <v>0</v>
      </c>
      <c r="W236" s="899">
        <f t="shared" si="89"/>
        <v>0</v>
      </c>
      <c r="X236" s="899">
        <f t="shared" si="89"/>
        <v>0</v>
      </c>
      <c r="Y236" s="899">
        <f t="shared" si="89"/>
        <v>0</v>
      </c>
      <c r="Z236" s="899">
        <f t="shared" si="89"/>
        <v>0</v>
      </c>
      <c r="AA236" s="899">
        <f t="shared" si="89"/>
        <v>0</v>
      </c>
      <c r="AB236" s="793">
        <f t="shared" si="89"/>
        <v>0</v>
      </c>
    </row>
    <row r="237" spans="1:28" s="776" customFormat="1">
      <c r="A237" s="793"/>
      <c r="B237" s="73" t="s">
        <v>383</v>
      </c>
      <c r="C237" s="899"/>
      <c r="D237" s="899"/>
      <c r="E237" s="242"/>
      <c r="F237" s="899">
        <f t="shared" ref="F237:AB237" si="90">F30</f>
        <v>17079</v>
      </c>
      <c r="G237" s="899">
        <f t="shared" si="90"/>
        <v>24826</v>
      </c>
      <c r="H237" s="899">
        <f t="shared" si="90"/>
        <v>22846</v>
      </c>
      <c r="I237" s="899">
        <f t="shared" si="90"/>
        <v>52417</v>
      </c>
      <c r="J237" s="899">
        <f t="shared" si="90"/>
        <v>240509</v>
      </c>
      <c r="K237" s="899">
        <f t="shared" si="90"/>
        <v>217195</v>
      </c>
      <c r="L237" s="899">
        <f t="shared" si="90"/>
        <v>180746</v>
      </c>
      <c r="M237" s="899">
        <f t="shared" si="90"/>
        <v>26594</v>
      </c>
      <c r="N237" s="899">
        <f t="shared" si="90"/>
        <v>49592</v>
      </c>
      <c r="O237" s="899">
        <f t="shared" si="90"/>
        <v>42358</v>
      </c>
      <c r="P237" s="899">
        <f t="shared" si="90"/>
        <v>43633</v>
      </c>
      <c r="Q237" s="899">
        <f t="shared" si="90"/>
        <v>50053</v>
      </c>
      <c r="R237" s="899">
        <f t="shared" si="90"/>
        <v>46930</v>
      </c>
      <c r="S237" s="899">
        <f t="shared" si="90"/>
        <v>26800</v>
      </c>
      <c r="T237" s="899">
        <f t="shared" si="90"/>
        <v>54800</v>
      </c>
      <c r="U237" s="899">
        <f t="shared" si="90"/>
        <v>54000</v>
      </c>
      <c r="V237" s="899">
        <f t="shared" si="90"/>
        <v>47000</v>
      </c>
      <c r="W237" s="899">
        <f t="shared" si="90"/>
        <v>47000</v>
      </c>
      <c r="X237" s="899">
        <f t="shared" si="90"/>
        <v>76000</v>
      </c>
      <c r="Y237" s="899">
        <f t="shared" si="90"/>
        <v>79000</v>
      </c>
      <c r="Z237" s="899">
        <f t="shared" si="90"/>
        <v>79000</v>
      </c>
      <c r="AA237" s="899">
        <f t="shared" si="90"/>
        <v>89000</v>
      </c>
      <c r="AB237" s="899">
        <f t="shared" si="90"/>
        <v>109000</v>
      </c>
    </row>
    <row r="238" spans="1:28" s="776" customFormat="1" ht="13.5" thickBot="1">
      <c r="A238" s="793"/>
      <c r="B238" s="922" t="s">
        <v>399</v>
      </c>
      <c r="C238" s="899"/>
      <c r="D238" s="899"/>
      <c r="E238" s="242"/>
      <c r="F238" s="987">
        <f t="shared" ref="F238:AB238" si="91">SUM(F236:F237)</f>
        <v>17079</v>
      </c>
      <c r="G238" s="987">
        <f t="shared" si="91"/>
        <v>24826</v>
      </c>
      <c r="H238" s="987">
        <f t="shared" si="91"/>
        <v>22846</v>
      </c>
      <c r="I238" s="987">
        <f t="shared" si="91"/>
        <v>52417</v>
      </c>
      <c r="J238" s="987">
        <f t="shared" si="91"/>
        <v>240509</v>
      </c>
      <c r="K238" s="987">
        <f t="shared" si="91"/>
        <v>217195</v>
      </c>
      <c r="L238" s="987">
        <f t="shared" si="91"/>
        <v>180746</v>
      </c>
      <c r="M238" s="987">
        <f t="shared" si="91"/>
        <v>26594</v>
      </c>
      <c r="N238" s="987">
        <f t="shared" si="91"/>
        <v>49592</v>
      </c>
      <c r="O238" s="987">
        <f t="shared" si="91"/>
        <v>42358</v>
      </c>
      <c r="P238" s="987">
        <f t="shared" si="91"/>
        <v>43633</v>
      </c>
      <c r="Q238" s="987">
        <f t="shared" si="91"/>
        <v>50053</v>
      </c>
      <c r="R238" s="987">
        <f t="shared" si="91"/>
        <v>46930</v>
      </c>
      <c r="S238" s="987">
        <f t="shared" si="91"/>
        <v>26800</v>
      </c>
      <c r="T238" s="987">
        <f t="shared" si="91"/>
        <v>54800</v>
      </c>
      <c r="U238" s="987">
        <f t="shared" si="91"/>
        <v>54000</v>
      </c>
      <c r="V238" s="987">
        <f t="shared" si="91"/>
        <v>47000</v>
      </c>
      <c r="W238" s="987">
        <f t="shared" si="91"/>
        <v>47000</v>
      </c>
      <c r="X238" s="987">
        <f t="shared" si="91"/>
        <v>76000</v>
      </c>
      <c r="Y238" s="987">
        <f t="shared" si="91"/>
        <v>79000</v>
      </c>
      <c r="Z238" s="987">
        <f t="shared" si="91"/>
        <v>79000</v>
      </c>
      <c r="AA238" s="987">
        <f t="shared" si="91"/>
        <v>89000</v>
      </c>
      <c r="AB238" s="987">
        <f t="shared" si="91"/>
        <v>109000</v>
      </c>
    </row>
    <row r="239" spans="1:28" s="776" customFormat="1" ht="13.5" thickTop="1">
      <c r="A239" s="793"/>
      <c r="B239" s="73"/>
      <c r="C239" s="899"/>
      <c r="D239" s="899"/>
      <c r="E239" s="242"/>
      <c r="F239" s="899"/>
      <c r="G239" s="899"/>
      <c r="H239" s="899"/>
      <c r="I239" s="899"/>
      <c r="J239" s="899"/>
      <c r="K239" s="899"/>
      <c r="L239" s="899"/>
      <c r="M239" s="899"/>
      <c r="N239" s="899"/>
      <c r="O239" s="899"/>
      <c r="P239" s="899"/>
      <c r="Q239" s="899"/>
      <c r="R239" s="899"/>
      <c r="S239" s="899"/>
      <c r="T239" s="899"/>
      <c r="U239" s="899"/>
      <c r="V239" s="899"/>
      <c r="W239" s="899"/>
      <c r="X239" s="899"/>
      <c r="Y239" s="899"/>
      <c r="Z239" s="899"/>
      <c r="AA239" s="899"/>
      <c r="AB239" s="52"/>
    </row>
    <row r="240" spans="1:28" s="776" customFormat="1" hidden="1">
      <c r="A240" s="793"/>
      <c r="B240" s="73"/>
      <c r="C240" s="899"/>
      <c r="D240" s="899"/>
      <c r="E240" s="242"/>
      <c r="F240" s="899"/>
      <c r="G240" s="899"/>
      <c r="H240" s="899"/>
      <c r="I240" s="899"/>
      <c r="J240" s="899"/>
      <c r="K240" s="899"/>
      <c r="L240" s="899"/>
      <c r="M240" s="899"/>
      <c r="N240" s="899"/>
      <c r="O240" s="899"/>
      <c r="P240" s="899"/>
      <c r="Q240" s="899"/>
      <c r="R240" s="899"/>
      <c r="S240" s="899"/>
      <c r="T240" s="899"/>
      <c r="U240" s="899"/>
      <c r="V240" s="899"/>
      <c r="W240" s="899"/>
      <c r="X240" s="899"/>
      <c r="Y240" s="899"/>
      <c r="Z240" s="899"/>
      <c r="AA240" s="899"/>
      <c r="AB240" s="52"/>
    </row>
    <row r="241" spans="1:28" s="776" customFormat="1" hidden="1">
      <c r="A241" s="793"/>
      <c r="B241" s="73"/>
      <c r="C241" s="899"/>
      <c r="D241" s="899"/>
      <c r="E241" s="242"/>
      <c r="F241" s="899">
        <f t="shared" ref="F241:AA241" si="92">F234-F30-F11</f>
        <v>0</v>
      </c>
      <c r="G241" s="899">
        <f t="shared" si="92"/>
        <v>0</v>
      </c>
      <c r="H241" s="899">
        <f t="shared" si="92"/>
        <v>0</v>
      </c>
      <c r="I241" s="899">
        <f t="shared" si="92"/>
        <v>0</v>
      </c>
      <c r="J241" s="926">
        <f t="shared" si="92"/>
        <v>-45020</v>
      </c>
      <c r="K241" s="926">
        <f t="shared" si="92"/>
        <v>-37658</v>
      </c>
      <c r="L241" s="926">
        <f t="shared" si="92"/>
        <v>-30035</v>
      </c>
      <c r="M241" s="926">
        <f t="shared" si="92"/>
        <v>-22808</v>
      </c>
      <c r="N241" s="926">
        <f t="shared" si="92"/>
        <v>-16144</v>
      </c>
      <c r="O241" s="926">
        <f t="shared" si="92"/>
        <v>-10049</v>
      </c>
      <c r="P241" s="926">
        <f t="shared" si="92"/>
        <v>-6411</v>
      </c>
      <c r="Q241" s="926">
        <f t="shared" si="92"/>
        <v>-2772</v>
      </c>
      <c r="R241" s="926">
        <f t="shared" si="92"/>
        <v>-1765</v>
      </c>
      <c r="S241" s="926">
        <f t="shared" si="92"/>
        <v>-1500</v>
      </c>
      <c r="T241" s="899">
        <f t="shared" si="92"/>
        <v>0</v>
      </c>
      <c r="U241" s="899">
        <f t="shared" si="92"/>
        <v>0</v>
      </c>
      <c r="V241" s="899">
        <f t="shared" si="92"/>
        <v>0</v>
      </c>
      <c r="W241" s="899">
        <f t="shared" si="92"/>
        <v>0</v>
      </c>
      <c r="X241" s="926">
        <f t="shared" si="92"/>
        <v>-18000</v>
      </c>
      <c r="Y241" s="926">
        <f t="shared" si="92"/>
        <v>-19000</v>
      </c>
      <c r="Z241" s="926">
        <f t="shared" si="92"/>
        <v>-20000</v>
      </c>
      <c r="AA241" s="926">
        <f t="shared" si="92"/>
        <v>-24000</v>
      </c>
      <c r="AB241" s="52"/>
    </row>
    <row r="242" spans="1:28" s="776" customFormat="1" hidden="1">
      <c r="A242" s="793"/>
      <c r="B242" s="922" t="s">
        <v>395</v>
      </c>
      <c r="C242" s="899"/>
      <c r="D242" s="242"/>
      <c r="E242" s="242"/>
      <c r="F242" s="793">
        <f t="shared" ref="F242:AA242" si="93">F204+F208+F211+F216+F220+F224+F228+F232</f>
        <v>17448</v>
      </c>
      <c r="G242" s="793">
        <f t="shared" si="93"/>
        <v>19181</v>
      </c>
      <c r="H242" s="793">
        <f t="shared" si="93"/>
        <v>29685</v>
      </c>
      <c r="I242" s="793">
        <f t="shared" si="93"/>
        <v>66802</v>
      </c>
      <c r="J242" s="793">
        <f t="shared" si="93"/>
        <v>262538</v>
      </c>
      <c r="K242" s="793">
        <f t="shared" si="93"/>
        <v>246912</v>
      </c>
      <c r="L242" s="793">
        <f t="shared" si="93"/>
        <v>218086</v>
      </c>
      <c r="M242" s="793">
        <f t="shared" si="93"/>
        <v>99686</v>
      </c>
      <c r="N242" s="793">
        <f t="shared" si="93"/>
        <v>110655</v>
      </c>
      <c r="O242" s="793">
        <f t="shared" si="93"/>
        <v>116380</v>
      </c>
      <c r="P242" s="793">
        <f t="shared" si="93"/>
        <v>130718</v>
      </c>
      <c r="Q242" s="793">
        <f t="shared" si="93"/>
        <v>167947</v>
      </c>
      <c r="R242" s="793">
        <f t="shared" si="93"/>
        <v>178224</v>
      </c>
      <c r="S242" s="793">
        <f t="shared" si="93"/>
        <v>193800</v>
      </c>
      <c r="T242" s="793">
        <f t="shared" si="93"/>
        <v>149400</v>
      </c>
      <c r="U242" s="793">
        <f t="shared" si="93"/>
        <v>154000</v>
      </c>
      <c r="V242" s="793">
        <f t="shared" si="93"/>
        <v>168000</v>
      </c>
      <c r="W242" s="793">
        <f t="shared" si="93"/>
        <v>181000</v>
      </c>
      <c r="X242" s="793">
        <f t="shared" si="93"/>
        <v>229000</v>
      </c>
      <c r="Y242" s="793">
        <f t="shared" si="93"/>
        <v>169000</v>
      </c>
      <c r="Z242" s="793">
        <f t="shared" si="93"/>
        <v>193000</v>
      </c>
      <c r="AA242" s="793">
        <f t="shared" si="93"/>
        <v>227000</v>
      </c>
      <c r="AB242" s="52"/>
    </row>
    <row r="243" spans="1:28" s="776" customFormat="1" hidden="1">
      <c r="A243" s="793"/>
      <c r="B243" s="73" t="s">
        <v>385</v>
      </c>
      <c r="C243" s="899"/>
      <c r="D243" s="242"/>
      <c r="E243" s="242"/>
      <c r="F243" s="793">
        <f t="shared" ref="F243:AA243" si="94">F205+F209+F213+F217+F221+F225+F229</f>
        <v>-369</v>
      </c>
      <c r="G243" s="793">
        <f t="shared" si="94"/>
        <v>-3386</v>
      </c>
      <c r="H243" s="793">
        <f t="shared" si="94"/>
        <v>-6839</v>
      </c>
      <c r="I243" s="793">
        <f t="shared" si="94"/>
        <v>-14385</v>
      </c>
      <c r="J243" s="793">
        <f t="shared" si="94"/>
        <v>-22029</v>
      </c>
      <c r="K243" s="793">
        <f t="shared" si="94"/>
        <v>-29717</v>
      </c>
      <c r="L243" s="793">
        <f t="shared" si="94"/>
        <v>-37340</v>
      </c>
      <c r="M243" s="793">
        <f t="shared" si="94"/>
        <v>-50284</v>
      </c>
      <c r="N243" s="793">
        <f t="shared" si="94"/>
        <v>-61063</v>
      </c>
      <c r="O243" s="793">
        <f t="shared" si="94"/>
        <v>-74022</v>
      </c>
      <c r="P243" s="793">
        <f t="shared" si="94"/>
        <v>-87085</v>
      </c>
      <c r="Q243" s="793">
        <f t="shared" si="94"/>
        <v>-117894</v>
      </c>
      <c r="R243" s="793">
        <f t="shared" si="94"/>
        <v>-131294</v>
      </c>
      <c r="S243" s="793">
        <f t="shared" si="94"/>
        <v>-167000</v>
      </c>
      <c r="T243" s="793">
        <f t="shared" si="94"/>
        <v>-94600</v>
      </c>
      <c r="U243" s="793">
        <f t="shared" si="94"/>
        <v>-100000</v>
      </c>
      <c r="V243" s="793">
        <f t="shared" si="94"/>
        <v>-121000</v>
      </c>
      <c r="W243" s="793">
        <f t="shared" si="94"/>
        <v>-134000</v>
      </c>
      <c r="X243" s="793">
        <f t="shared" si="94"/>
        <v>-153000</v>
      </c>
      <c r="Y243" s="793">
        <f t="shared" si="94"/>
        <v>-90000</v>
      </c>
      <c r="Z243" s="793">
        <f t="shared" si="94"/>
        <v>-114000</v>
      </c>
      <c r="AA243" s="793">
        <f t="shared" si="94"/>
        <v>-138000</v>
      </c>
      <c r="AB243" s="52"/>
    </row>
    <row r="244" spans="1:28" s="776" customFormat="1" hidden="1">
      <c r="A244" s="793"/>
      <c r="B244" s="73" t="s">
        <v>396</v>
      </c>
      <c r="C244" s="899"/>
      <c r="D244" s="242"/>
      <c r="E244" s="242"/>
      <c r="F244" s="892">
        <f t="shared" ref="F244:AA244" si="95">F212</f>
        <v>0</v>
      </c>
      <c r="G244" s="892">
        <f t="shared" si="95"/>
        <v>9031</v>
      </c>
      <c r="H244" s="892">
        <f t="shared" si="95"/>
        <v>0</v>
      </c>
      <c r="I244" s="892">
        <f t="shared" si="95"/>
        <v>0</v>
      </c>
      <c r="J244" s="892">
        <f t="shared" si="95"/>
        <v>0</v>
      </c>
      <c r="K244" s="892">
        <f t="shared" si="95"/>
        <v>0</v>
      </c>
      <c r="L244" s="892">
        <f t="shared" si="95"/>
        <v>0</v>
      </c>
      <c r="M244" s="892">
        <f t="shared" si="95"/>
        <v>0</v>
      </c>
      <c r="N244" s="892">
        <f t="shared" si="95"/>
        <v>0</v>
      </c>
      <c r="O244" s="892">
        <f t="shared" si="95"/>
        <v>0</v>
      </c>
      <c r="P244" s="892">
        <f t="shared" si="95"/>
        <v>0</v>
      </c>
      <c r="Q244" s="892">
        <f t="shared" si="95"/>
        <v>0</v>
      </c>
      <c r="R244" s="892">
        <f t="shared" si="95"/>
        <v>0</v>
      </c>
      <c r="S244" s="892">
        <f t="shared" si="95"/>
        <v>0</v>
      </c>
      <c r="T244" s="892">
        <f t="shared" si="95"/>
        <v>0</v>
      </c>
      <c r="U244" s="892">
        <f t="shared" si="95"/>
        <v>0</v>
      </c>
      <c r="V244" s="892">
        <f t="shared" si="95"/>
        <v>0</v>
      </c>
      <c r="W244" s="892">
        <f t="shared" si="95"/>
        <v>0</v>
      </c>
      <c r="X244" s="892">
        <f t="shared" si="95"/>
        <v>0</v>
      </c>
      <c r="Y244" s="892">
        <f t="shared" si="95"/>
        <v>0</v>
      </c>
      <c r="Z244" s="892">
        <f t="shared" si="95"/>
        <v>0</v>
      </c>
      <c r="AA244" s="892">
        <f t="shared" si="95"/>
        <v>0</v>
      </c>
      <c r="AB244" s="52"/>
    </row>
    <row r="245" spans="1:28" s="776" customFormat="1" hidden="1">
      <c r="A245" s="793"/>
      <c r="B245" s="73" t="s">
        <v>397</v>
      </c>
      <c r="C245" s="899"/>
      <c r="D245" s="242"/>
      <c r="E245" s="242"/>
      <c r="F245" s="793">
        <f>SUM(F242:F244)</f>
        <v>17079</v>
      </c>
      <c r="G245" s="793">
        <f t="shared" ref="G245:AA245" si="96">SUM(G242:G244)</f>
        <v>24826</v>
      </c>
      <c r="H245" s="793">
        <f t="shared" si="96"/>
        <v>22846</v>
      </c>
      <c r="I245" s="793">
        <f t="shared" si="96"/>
        <v>52417</v>
      </c>
      <c r="J245" s="793">
        <f t="shared" si="96"/>
        <v>240509</v>
      </c>
      <c r="K245" s="793">
        <f t="shared" si="96"/>
        <v>217195</v>
      </c>
      <c r="L245" s="793">
        <f t="shared" si="96"/>
        <v>180746</v>
      </c>
      <c r="M245" s="793">
        <f t="shared" si="96"/>
        <v>49402</v>
      </c>
      <c r="N245" s="793">
        <f t="shared" si="96"/>
        <v>49592</v>
      </c>
      <c r="O245" s="793">
        <f t="shared" si="96"/>
        <v>42358</v>
      </c>
      <c r="P245" s="793">
        <f t="shared" si="96"/>
        <v>43633</v>
      </c>
      <c r="Q245" s="793">
        <f t="shared" si="96"/>
        <v>50053</v>
      </c>
      <c r="R245" s="793">
        <f t="shared" si="96"/>
        <v>46930</v>
      </c>
      <c r="S245" s="793">
        <f t="shared" si="96"/>
        <v>26800</v>
      </c>
      <c r="T245" s="793">
        <f t="shared" si="96"/>
        <v>54800</v>
      </c>
      <c r="U245" s="793">
        <f t="shared" si="96"/>
        <v>54000</v>
      </c>
      <c r="V245" s="793">
        <f t="shared" si="96"/>
        <v>47000</v>
      </c>
      <c r="W245" s="793">
        <f t="shared" si="96"/>
        <v>47000</v>
      </c>
      <c r="X245" s="793">
        <f t="shared" si="96"/>
        <v>76000</v>
      </c>
      <c r="Y245" s="793">
        <f t="shared" si="96"/>
        <v>79000</v>
      </c>
      <c r="Z245" s="793">
        <f t="shared" si="96"/>
        <v>79000</v>
      </c>
      <c r="AA245" s="793">
        <f t="shared" si="96"/>
        <v>89000</v>
      </c>
      <c r="AB245" s="52"/>
    </row>
    <row r="246" spans="1:28" s="776" customFormat="1" hidden="1">
      <c r="A246" s="793"/>
      <c r="B246" s="73" t="s">
        <v>392</v>
      </c>
      <c r="C246" s="899"/>
      <c r="D246" s="242"/>
      <c r="E246" s="242"/>
      <c r="F246" s="793">
        <f t="shared" ref="F246:AA246" si="97">F234-F245</f>
        <v>0</v>
      </c>
      <c r="G246" s="793">
        <f t="shared" si="97"/>
        <v>0</v>
      </c>
      <c r="H246" s="793">
        <f t="shared" si="97"/>
        <v>0</v>
      </c>
      <c r="I246" s="793">
        <f t="shared" si="97"/>
        <v>0</v>
      </c>
      <c r="J246" s="793">
        <f t="shared" si="97"/>
        <v>-45020</v>
      </c>
      <c r="K246" s="793">
        <f t="shared" si="97"/>
        <v>-37658</v>
      </c>
      <c r="L246" s="793">
        <f t="shared" si="97"/>
        <v>-30035</v>
      </c>
      <c r="M246" s="793">
        <f t="shared" si="97"/>
        <v>-45616</v>
      </c>
      <c r="N246" s="793">
        <f t="shared" si="97"/>
        <v>-16144</v>
      </c>
      <c r="O246" s="793">
        <f t="shared" si="97"/>
        <v>-10049</v>
      </c>
      <c r="P246" s="793">
        <f t="shared" si="97"/>
        <v>-6411</v>
      </c>
      <c r="Q246" s="793">
        <f t="shared" si="97"/>
        <v>-2772</v>
      </c>
      <c r="R246" s="793">
        <f t="shared" si="97"/>
        <v>-1765</v>
      </c>
      <c r="S246" s="793">
        <f t="shared" si="97"/>
        <v>-1500</v>
      </c>
      <c r="T246" s="793">
        <f t="shared" si="97"/>
        <v>0</v>
      </c>
      <c r="U246" s="793">
        <f t="shared" si="97"/>
        <v>0</v>
      </c>
      <c r="V246" s="793">
        <f t="shared" si="97"/>
        <v>0</v>
      </c>
      <c r="W246" s="793">
        <f t="shared" si="97"/>
        <v>0</v>
      </c>
      <c r="X246" s="793">
        <f t="shared" si="97"/>
        <v>-18000</v>
      </c>
      <c r="Y246" s="793">
        <f t="shared" si="97"/>
        <v>-19000</v>
      </c>
      <c r="Z246" s="793">
        <f t="shared" si="97"/>
        <v>-20000</v>
      </c>
      <c r="AA246" s="793">
        <f t="shared" si="97"/>
        <v>-24000</v>
      </c>
      <c r="AB246" s="52"/>
    </row>
    <row r="247" spans="1:28" s="776" customFormat="1" hidden="1">
      <c r="A247" s="793"/>
      <c r="B247" s="73" t="s">
        <v>398</v>
      </c>
      <c r="C247" s="899"/>
      <c r="D247" s="242"/>
      <c r="E247" s="242"/>
      <c r="F247" s="892"/>
      <c r="G247" s="892"/>
      <c r="H247" s="892"/>
      <c r="I247" s="892"/>
      <c r="J247" s="892">
        <f>J232</f>
        <v>55325</v>
      </c>
      <c r="K247" s="892">
        <f t="shared" ref="K247:L247" si="98">K232</f>
        <v>46026</v>
      </c>
      <c r="L247" s="892">
        <f t="shared" si="98"/>
        <v>19292</v>
      </c>
      <c r="M247" s="892"/>
      <c r="N247" s="892"/>
      <c r="O247" s="892"/>
      <c r="P247" s="892"/>
      <c r="Q247" s="892"/>
      <c r="R247" s="892"/>
      <c r="S247" s="892"/>
      <c r="T247" s="892"/>
      <c r="U247" s="892"/>
      <c r="V247" s="892"/>
      <c r="W247" s="892"/>
      <c r="X247" s="892"/>
      <c r="Y247" s="892"/>
      <c r="Z247" s="892"/>
      <c r="AA247" s="892"/>
      <c r="AB247" s="52"/>
    </row>
    <row r="248" spans="1:28" s="776" customFormat="1" ht="13.5" hidden="1" thickBot="1">
      <c r="A248" s="793"/>
      <c r="B248" s="1463" t="s">
        <v>399</v>
      </c>
      <c r="C248" s="1463"/>
      <c r="D248" s="1463"/>
      <c r="E248" s="242"/>
      <c r="F248" s="988">
        <f>F245+F246+F247</f>
        <v>17079</v>
      </c>
      <c r="G248" s="988">
        <f t="shared" ref="G248:AA248" si="99">G245+G246+G247</f>
        <v>24826</v>
      </c>
      <c r="H248" s="988">
        <f t="shared" si="99"/>
        <v>22846</v>
      </c>
      <c r="I248" s="988">
        <f t="shared" si="99"/>
        <v>52417</v>
      </c>
      <c r="J248" s="988">
        <f t="shared" si="99"/>
        <v>250814</v>
      </c>
      <c r="K248" s="988">
        <f t="shared" si="99"/>
        <v>225563</v>
      </c>
      <c r="L248" s="988">
        <f t="shared" si="99"/>
        <v>170003</v>
      </c>
      <c r="M248" s="988">
        <f t="shared" si="99"/>
        <v>3786</v>
      </c>
      <c r="N248" s="988">
        <f t="shared" si="99"/>
        <v>33448</v>
      </c>
      <c r="O248" s="988">
        <f t="shared" si="99"/>
        <v>32309</v>
      </c>
      <c r="P248" s="988">
        <f t="shared" si="99"/>
        <v>37222</v>
      </c>
      <c r="Q248" s="988">
        <f t="shared" si="99"/>
        <v>47281</v>
      </c>
      <c r="R248" s="988">
        <f t="shared" si="99"/>
        <v>45165</v>
      </c>
      <c r="S248" s="988">
        <f t="shared" si="99"/>
        <v>25300</v>
      </c>
      <c r="T248" s="988">
        <f t="shared" si="99"/>
        <v>54800</v>
      </c>
      <c r="U248" s="988">
        <f t="shared" si="99"/>
        <v>54000</v>
      </c>
      <c r="V248" s="988">
        <f t="shared" si="99"/>
        <v>47000</v>
      </c>
      <c r="W248" s="988">
        <f t="shared" si="99"/>
        <v>47000</v>
      </c>
      <c r="X248" s="988">
        <f t="shared" si="99"/>
        <v>58000</v>
      </c>
      <c r="Y248" s="988">
        <f t="shared" si="99"/>
        <v>60000</v>
      </c>
      <c r="Z248" s="988">
        <f t="shared" si="99"/>
        <v>59000</v>
      </c>
      <c r="AA248" s="988">
        <f t="shared" si="99"/>
        <v>65000</v>
      </c>
      <c r="AB248" s="52"/>
    </row>
    <row r="249" spans="1:28" s="776" customFormat="1" hidden="1">
      <c r="A249" s="793"/>
      <c r="B249" s="1264"/>
      <c r="C249" s="1264"/>
      <c r="D249" s="1264"/>
      <c r="E249" s="242"/>
      <c r="F249" s="1249">
        <f t="shared" ref="F249:AA249" si="100">F11+F30-F248</f>
        <v>0</v>
      </c>
      <c r="G249" s="1249">
        <f t="shared" si="100"/>
        <v>0</v>
      </c>
      <c r="H249" s="1249">
        <f t="shared" si="100"/>
        <v>0</v>
      </c>
      <c r="I249" s="1249">
        <f t="shared" si="100"/>
        <v>0</v>
      </c>
      <c r="J249" s="1252">
        <f t="shared" si="100"/>
        <v>-10305</v>
      </c>
      <c r="K249" s="1252">
        <f t="shared" si="100"/>
        <v>-8368</v>
      </c>
      <c r="L249" s="1252">
        <f t="shared" si="100"/>
        <v>10743</v>
      </c>
      <c r="M249" s="1252">
        <f t="shared" si="100"/>
        <v>22808</v>
      </c>
      <c r="N249" s="1252">
        <f t="shared" si="100"/>
        <v>16144</v>
      </c>
      <c r="O249" s="1252">
        <f t="shared" si="100"/>
        <v>10049</v>
      </c>
      <c r="P249" s="1252">
        <f t="shared" si="100"/>
        <v>6411</v>
      </c>
      <c r="Q249" s="1252">
        <f t="shared" si="100"/>
        <v>2772</v>
      </c>
      <c r="R249" s="1252">
        <f t="shared" si="100"/>
        <v>1765</v>
      </c>
      <c r="S249" s="1252">
        <f t="shared" si="100"/>
        <v>1500</v>
      </c>
      <c r="T249" s="1249">
        <f t="shared" si="100"/>
        <v>0</v>
      </c>
      <c r="U249" s="1249">
        <f t="shared" si="100"/>
        <v>0</v>
      </c>
      <c r="V249" s="1249">
        <f t="shared" si="100"/>
        <v>0</v>
      </c>
      <c r="W249" s="1249">
        <f t="shared" si="100"/>
        <v>0</v>
      </c>
      <c r="X249" s="1252">
        <f t="shared" si="100"/>
        <v>18000</v>
      </c>
      <c r="Y249" s="1252">
        <f t="shared" si="100"/>
        <v>19000</v>
      </c>
      <c r="Z249" s="1252">
        <f t="shared" si="100"/>
        <v>20000</v>
      </c>
      <c r="AA249" s="1252">
        <f t="shared" si="100"/>
        <v>24000</v>
      </c>
      <c r="AB249" s="52"/>
    </row>
    <row r="250" spans="1:28" s="776" customFormat="1" ht="18">
      <c r="A250" s="904" t="s">
        <v>0</v>
      </c>
      <c r="B250" s="904"/>
      <c r="C250" s="904"/>
      <c r="D250" s="1267"/>
      <c r="E250" s="1439" t="s">
        <v>1407</v>
      </c>
      <c r="F250" s="1440"/>
      <c r="G250" s="1440"/>
      <c r="H250" s="1440"/>
      <c r="I250" s="985"/>
      <c r="J250" s="985"/>
      <c r="K250" s="985"/>
      <c r="L250" s="1455"/>
      <c r="M250" s="1455"/>
      <c r="N250" s="1455"/>
      <c r="O250" s="980"/>
      <c r="P250" s="966"/>
      <c r="Q250" s="967"/>
      <c r="R250" s="868"/>
      <c r="S250" s="967"/>
      <c r="T250" s="967"/>
      <c r="U250" s="967"/>
      <c r="V250" s="967"/>
      <c r="W250" s="1451" t="s">
        <v>12</v>
      </c>
      <c r="X250" s="1452"/>
      <c r="Y250" s="1452"/>
      <c r="Z250" s="1452"/>
      <c r="AA250" s="1453">
        <f>$AA$46+0.21</f>
        <v>0.21</v>
      </c>
      <c r="AB250" s="1381">
        <v>3.6</v>
      </c>
    </row>
    <row r="251" spans="1:28" s="776" customFormat="1">
      <c r="A251" s="1454"/>
      <c r="B251" s="1454"/>
      <c r="C251" s="1454"/>
      <c r="D251" s="1454"/>
      <c r="E251" s="1454"/>
      <c r="F251" s="74">
        <v>0</v>
      </c>
      <c r="G251" s="74">
        <f t="shared" ref="G251:G252" si="101">F251+1</f>
        <v>1</v>
      </c>
      <c r="H251" s="74">
        <f t="shared" ref="H251:AB252" si="102">G251+1</f>
        <v>2</v>
      </c>
      <c r="I251" s="74">
        <f t="shared" si="102"/>
        <v>3</v>
      </c>
      <c r="J251" s="74">
        <f t="shared" si="102"/>
        <v>4</v>
      </c>
      <c r="K251" s="74">
        <f t="shared" si="102"/>
        <v>5</v>
      </c>
      <c r="L251" s="74">
        <f t="shared" si="102"/>
        <v>6</v>
      </c>
      <c r="M251" s="74">
        <f t="shared" si="102"/>
        <v>7</v>
      </c>
      <c r="N251" s="790">
        <f t="shared" si="102"/>
        <v>8</v>
      </c>
      <c r="O251" s="74">
        <f t="shared" si="102"/>
        <v>9</v>
      </c>
      <c r="P251" s="74">
        <f t="shared" si="102"/>
        <v>10</v>
      </c>
      <c r="Q251" s="74">
        <f t="shared" si="102"/>
        <v>11</v>
      </c>
      <c r="R251" s="74">
        <f t="shared" si="102"/>
        <v>12</v>
      </c>
      <c r="S251" s="74">
        <f t="shared" si="102"/>
        <v>13</v>
      </c>
      <c r="T251" s="74">
        <f t="shared" si="102"/>
        <v>14</v>
      </c>
      <c r="U251" s="74">
        <f t="shared" si="102"/>
        <v>15</v>
      </c>
      <c r="V251" s="74">
        <f t="shared" si="102"/>
        <v>16</v>
      </c>
      <c r="W251" s="74">
        <f t="shared" si="102"/>
        <v>17</v>
      </c>
      <c r="X251" s="74">
        <f t="shared" si="102"/>
        <v>18</v>
      </c>
      <c r="Y251" s="74">
        <f t="shared" si="102"/>
        <v>19</v>
      </c>
      <c r="Z251" s="74">
        <f t="shared" si="102"/>
        <v>20</v>
      </c>
      <c r="AA251" s="74">
        <f>Z251+1</f>
        <v>21</v>
      </c>
      <c r="AB251" s="74">
        <f>AA251+1</f>
        <v>22</v>
      </c>
    </row>
    <row r="252" spans="1:28" s="776" customFormat="1" ht="12.75" customHeight="1">
      <c r="E252" s="72" t="s">
        <v>3</v>
      </c>
      <c r="F252" s="953">
        <v>1999</v>
      </c>
      <c r="G252" s="953">
        <f t="shared" si="101"/>
        <v>2000</v>
      </c>
      <c r="H252" s="953">
        <f t="shared" si="102"/>
        <v>2001</v>
      </c>
      <c r="I252" s="953">
        <f t="shared" si="102"/>
        <v>2002</v>
      </c>
      <c r="J252" s="953">
        <f t="shared" si="102"/>
        <v>2003</v>
      </c>
      <c r="K252" s="953">
        <f t="shared" si="102"/>
        <v>2004</v>
      </c>
      <c r="L252" s="953">
        <f t="shared" si="102"/>
        <v>2005</v>
      </c>
      <c r="M252" s="953">
        <f t="shared" si="102"/>
        <v>2006</v>
      </c>
      <c r="N252" s="953">
        <v>2007</v>
      </c>
      <c r="O252" s="953">
        <f>N252+1</f>
        <v>2008</v>
      </c>
      <c r="P252" s="953">
        <f t="shared" si="102"/>
        <v>2009</v>
      </c>
      <c r="Q252" s="953">
        <f t="shared" si="102"/>
        <v>2010</v>
      </c>
      <c r="R252" s="953">
        <f t="shared" si="102"/>
        <v>2011</v>
      </c>
      <c r="S252" s="953">
        <f t="shared" si="102"/>
        <v>2012</v>
      </c>
      <c r="T252" s="953">
        <f t="shared" si="102"/>
        <v>2013</v>
      </c>
      <c r="U252" s="953">
        <f t="shared" si="102"/>
        <v>2014</v>
      </c>
      <c r="V252" s="953">
        <f t="shared" si="102"/>
        <v>2015</v>
      </c>
      <c r="W252" s="953">
        <f t="shared" si="102"/>
        <v>2016</v>
      </c>
      <c r="X252" s="953">
        <f t="shared" si="102"/>
        <v>2017</v>
      </c>
      <c r="Y252" s="953">
        <f t="shared" si="102"/>
        <v>2018</v>
      </c>
      <c r="Z252" s="953">
        <f>Y252+1</f>
        <v>2019</v>
      </c>
      <c r="AA252" s="953">
        <f t="shared" si="102"/>
        <v>2020</v>
      </c>
      <c r="AB252" s="953">
        <f t="shared" si="102"/>
        <v>2021</v>
      </c>
    </row>
    <row r="253" spans="1:28" s="776" customFormat="1" ht="12.75" customHeight="1">
      <c r="A253" s="1441" t="s">
        <v>12</v>
      </c>
      <c r="B253" s="1441"/>
      <c r="C253" s="1441"/>
      <c r="D253" s="1441"/>
      <c r="E253" s="72"/>
      <c r="F253" s="909"/>
      <c r="G253" s="909"/>
      <c r="H253" s="909"/>
      <c r="I253" s="909"/>
      <c r="J253" s="909"/>
      <c r="K253" s="909"/>
      <c r="L253" s="909"/>
      <c r="M253" s="909"/>
      <c r="N253" s="909"/>
      <c r="O253" s="909"/>
      <c r="P253" s="909"/>
      <c r="Q253" s="909"/>
      <c r="R253" s="909"/>
      <c r="S253" s="909"/>
      <c r="T253" s="909"/>
      <c r="U253" s="909"/>
      <c r="V253" s="909"/>
      <c r="W253" s="909"/>
      <c r="X253" s="909"/>
      <c r="Y253" s="909"/>
      <c r="Z253" s="909"/>
      <c r="AA253" s="909"/>
      <c r="AB253" s="909"/>
    </row>
    <row r="254" spans="1:28" s="776" customFormat="1">
      <c r="A254" s="1200" t="s">
        <v>400</v>
      </c>
      <c r="B254" s="1241"/>
      <c r="C254" s="1241"/>
      <c r="D254" s="1241"/>
      <c r="E254" s="242"/>
      <c r="I254" s="908"/>
      <c r="J254" s="242"/>
      <c r="K254" s="793"/>
      <c r="L254" s="793"/>
      <c r="M254" s="793"/>
      <c r="N254" s="793"/>
      <c r="O254" s="793"/>
      <c r="P254" s="890"/>
      <c r="Q254" s="890"/>
      <c r="R254" s="890"/>
      <c r="S254" s="890"/>
      <c r="T254" s="890"/>
      <c r="W254" s="890"/>
      <c r="X254" s="890"/>
      <c r="Y254" s="890"/>
      <c r="Z254" s="890"/>
      <c r="AA254" s="242"/>
      <c r="AB254" s="52"/>
    </row>
    <row r="255" spans="1:28" s="776" customFormat="1">
      <c r="A255" s="793"/>
      <c r="B255" s="242" t="s">
        <v>142</v>
      </c>
      <c r="C255" s="242"/>
      <c r="D255" s="242"/>
      <c r="E255" s="242"/>
      <c r="F255" s="793">
        <v>0</v>
      </c>
      <c r="G255" s="793">
        <v>0</v>
      </c>
      <c r="H255" s="793">
        <v>0</v>
      </c>
      <c r="I255" s="793">
        <v>0</v>
      </c>
      <c r="J255" s="793">
        <v>0</v>
      </c>
      <c r="K255" s="793">
        <v>0</v>
      </c>
      <c r="L255" s="793">
        <v>0</v>
      </c>
      <c r="M255" s="793">
        <v>60553</v>
      </c>
      <c r="N255" s="793">
        <f>1055+39888</f>
        <v>40943</v>
      </c>
      <c r="O255" s="793">
        <f>37500+101642</f>
        <v>139142</v>
      </c>
      <c r="P255" s="890">
        <f>13033+113983</f>
        <v>127016</v>
      </c>
      <c r="Q255" s="890">
        <f>11004+171891</f>
        <v>182895</v>
      </c>
      <c r="R255" s="890">
        <f>12256+41742</f>
        <v>53998</v>
      </c>
      <c r="S255" s="890">
        <f>23600+111000</f>
        <v>134600</v>
      </c>
      <c r="T255" s="890">
        <f>51500+134200</f>
        <v>185700</v>
      </c>
      <c r="U255" s="890">
        <f>20000+63000</f>
        <v>83000</v>
      </c>
      <c r="V255" s="890">
        <f>48000+147000</f>
        <v>195000</v>
      </c>
      <c r="W255" s="890">
        <f>71000+274000</f>
        <v>345000</v>
      </c>
      <c r="X255" s="890">
        <f>59000+172000</f>
        <v>231000</v>
      </c>
      <c r="Y255" s="890">
        <f>77000+136000</f>
        <v>213000</v>
      </c>
      <c r="Z255" s="882">
        <f>118000+191000</f>
        <v>309000</v>
      </c>
      <c r="AA255" s="882">
        <v>365000</v>
      </c>
      <c r="AB255" s="882">
        <v>406000</v>
      </c>
    </row>
    <row r="256" spans="1:28" s="776" customFormat="1">
      <c r="A256" s="793"/>
      <c r="B256" s="242" t="s">
        <v>401</v>
      </c>
      <c r="C256" s="242"/>
      <c r="D256" s="242"/>
      <c r="E256" s="242"/>
      <c r="F256" s="793">
        <v>0</v>
      </c>
      <c r="G256" s="793">
        <v>0</v>
      </c>
      <c r="H256" s="793">
        <v>0</v>
      </c>
      <c r="I256" s="793">
        <v>0</v>
      </c>
      <c r="J256" s="793">
        <v>0</v>
      </c>
      <c r="K256" s="793">
        <v>0</v>
      </c>
      <c r="L256" s="793">
        <v>0</v>
      </c>
      <c r="M256" s="892">
        <v>21004</v>
      </c>
      <c r="N256" s="892">
        <f>3583+124119</f>
        <v>127702</v>
      </c>
      <c r="O256" s="892">
        <f>46068+124834</f>
        <v>170902</v>
      </c>
      <c r="P256" s="990">
        <f>33567+106402</f>
        <v>139969</v>
      </c>
      <c r="Q256" s="990">
        <f>38592+152389</f>
        <v>190981</v>
      </c>
      <c r="R256" s="990">
        <f>17779+235746</f>
        <v>253525</v>
      </c>
      <c r="S256" s="990">
        <f>52600+229000</f>
        <v>281600</v>
      </c>
      <c r="T256" s="990">
        <f>45000+124500</f>
        <v>169500</v>
      </c>
      <c r="U256" s="990">
        <f>38000+125000</f>
        <v>163000</v>
      </c>
      <c r="V256" s="990">
        <f>34000+101000</f>
        <v>135000</v>
      </c>
      <c r="W256" s="990">
        <f>48000+203000+1000</f>
        <v>252000</v>
      </c>
      <c r="X256" s="990">
        <f>67000+124000+1000</f>
        <v>192000</v>
      </c>
      <c r="Y256" s="990">
        <f>52000+129000</f>
        <v>181000</v>
      </c>
      <c r="Z256" s="991">
        <f>36000+209000</f>
        <v>245000</v>
      </c>
      <c r="AA256" s="991">
        <v>342000</v>
      </c>
      <c r="AB256" s="991">
        <v>194000</v>
      </c>
    </row>
    <row r="257" spans="1:28" s="776" customFormat="1">
      <c r="A257" s="793"/>
      <c r="B257" s="242" t="s">
        <v>13</v>
      </c>
      <c r="C257" s="242"/>
      <c r="D257" s="242"/>
      <c r="E257" s="242"/>
      <c r="F257" s="793">
        <v>0</v>
      </c>
      <c r="G257" s="793">
        <v>0</v>
      </c>
      <c r="H257" s="793">
        <v>0</v>
      </c>
      <c r="I257" s="793">
        <v>0</v>
      </c>
      <c r="J257" s="793">
        <v>0</v>
      </c>
      <c r="K257" s="793">
        <v>0</v>
      </c>
      <c r="L257" s="793">
        <v>0</v>
      </c>
      <c r="M257" s="890">
        <f>M255-M256</f>
        <v>39549</v>
      </c>
      <c r="N257" s="890">
        <f>N255-N256</f>
        <v>-86759</v>
      </c>
      <c r="O257" s="890">
        <f t="shared" ref="O257:AB257" si="103">O255-O256</f>
        <v>-31760</v>
      </c>
      <c r="P257" s="890">
        <f t="shared" si="103"/>
        <v>-12953</v>
      </c>
      <c r="Q257" s="890">
        <f t="shared" si="103"/>
        <v>-8086</v>
      </c>
      <c r="R257" s="890">
        <f t="shared" si="103"/>
        <v>-199527</v>
      </c>
      <c r="S257" s="890">
        <f t="shared" si="103"/>
        <v>-147000</v>
      </c>
      <c r="T257" s="890">
        <f t="shared" si="103"/>
        <v>16200</v>
      </c>
      <c r="U257" s="890">
        <f t="shared" si="103"/>
        <v>-80000</v>
      </c>
      <c r="V257" s="1289">
        <f t="shared" si="103"/>
        <v>60000</v>
      </c>
      <c r="W257" s="890">
        <f t="shared" si="103"/>
        <v>93000</v>
      </c>
      <c r="X257" s="890">
        <f t="shared" si="103"/>
        <v>39000</v>
      </c>
      <c r="Y257" s="890">
        <f t="shared" si="103"/>
        <v>32000</v>
      </c>
      <c r="Z257" s="890">
        <f>Z255-Z256</f>
        <v>64000</v>
      </c>
      <c r="AA257" s="882">
        <f t="shared" si="103"/>
        <v>23000</v>
      </c>
      <c r="AB257" s="882">
        <f t="shared" si="103"/>
        <v>212000</v>
      </c>
    </row>
    <row r="258" spans="1:28" s="776" customFormat="1">
      <c r="A258" s="992"/>
      <c r="B258" s="992"/>
      <c r="C258" s="242"/>
      <c r="D258" s="242"/>
      <c r="E258" s="242"/>
      <c r="F258" s="793">
        <v>0</v>
      </c>
      <c r="G258" s="793">
        <v>0</v>
      </c>
      <c r="H258" s="793">
        <v>0</v>
      </c>
      <c r="I258" s="793">
        <v>0</v>
      </c>
      <c r="J258" s="793">
        <v>0</v>
      </c>
      <c r="K258" s="793">
        <v>0</v>
      </c>
      <c r="L258" s="793">
        <v>0</v>
      </c>
      <c r="M258" s="793">
        <v>0</v>
      </c>
      <c r="N258" s="793">
        <v>0</v>
      </c>
      <c r="O258" s="793">
        <v>0</v>
      </c>
      <c r="P258" s="793">
        <v>0</v>
      </c>
      <c r="Q258" s="793">
        <v>0</v>
      </c>
      <c r="R258" s="793">
        <v>0</v>
      </c>
      <c r="S258" s="793">
        <v>0</v>
      </c>
      <c r="T258" s="793">
        <v>0</v>
      </c>
      <c r="U258" s="793">
        <v>0</v>
      </c>
      <c r="V258" s="793">
        <v>0</v>
      </c>
      <c r="W258" s="793">
        <v>0</v>
      </c>
      <c r="X258" s="793">
        <v>0</v>
      </c>
      <c r="Y258" s="793">
        <v>0</v>
      </c>
      <c r="Z258" s="793">
        <v>0</v>
      </c>
      <c r="AA258" s="882">
        <v>0</v>
      </c>
      <c r="AB258" s="882"/>
    </row>
    <row r="259" spans="1:28" s="776" customFormat="1">
      <c r="A259" s="1247" t="s">
        <v>153</v>
      </c>
      <c r="B259" s="1238" t="s">
        <v>402</v>
      </c>
      <c r="C259" s="1238"/>
      <c r="D259" s="1238"/>
      <c r="E259" s="1097"/>
      <c r="F259" s="793">
        <v>0</v>
      </c>
      <c r="G259" s="793">
        <v>0</v>
      </c>
      <c r="H259" s="793">
        <v>0</v>
      </c>
      <c r="I259" s="793">
        <v>0</v>
      </c>
      <c r="J259" s="793">
        <v>0</v>
      </c>
      <c r="K259" s="793">
        <v>0</v>
      </c>
      <c r="L259" s="793">
        <v>0</v>
      </c>
      <c r="M259" s="793">
        <v>0</v>
      </c>
      <c r="N259" s="793">
        <v>0</v>
      </c>
      <c r="O259" s="793">
        <v>0</v>
      </c>
      <c r="P259" s="793">
        <v>0</v>
      </c>
      <c r="Q259" s="793">
        <v>0</v>
      </c>
      <c r="R259" s="793">
        <v>0</v>
      </c>
      <c r="S259" s="793">
        <v>0</v>
      </c>
      <c r="T259" s="793">
        <v>0</v>
      </c>
      <c r="U259" s="793">
        <v>0</v>
      </c>
      <c r="V259" s="793">
        <v>0</v>
      </c>
      <c r="W259" s="793">
        <v>0</v>
      </c>
      <c r="X259" s="793">
        <v>0</v>
      </c>
      <c r="Y259" s="793">
        <v>0</v>
      </c>
      <c r="Z259" s="793">
        <v>0</v>
      </c>
      <c r="AA259" s="882">
        <v>0</v>
      </c>
      <c r="AB259" s="882"/>
    </row>
    <row r="260" spans="1:28" s="776" customFormat="1">
      <c r="A260" s="793"/>
      <c r="B260" s="921" t="s">
        <v>142</v>
      </c>
      <c r="C260" s="74"/>
      <c r="D260" s="74"/>
      <c r="E260" s="242"/>
      <c r="F260" s="793">
        <v>0</v>
      </c>
      <c r="G260" s="793">
        <v>0</v>
      </c>
      <c r="H260" s="793">
        <v>0</v>
      </c>
      <c r="I260" s="793">
        <v>0</v>
      </c>
      <c r="J260" s="793">
        <v>0</v>
      </c>
      <c r="K260" s="793">
        <v>0</v>
      </c>
      <c r="L260" s="793">
        <v>0</v>
      </c>
      <c r="M260" s="793">
        <v>0</v>
      </c>
      <c r="N260" s="793">
        <v>0</v>
      </c>
      <c r="O260" s="793">
        <v>0</v>
      </c>
      <c r="P260" s="793">
        <v>0</v>
      </c>
      <c r="Q260" s="793">
        <v>0</v>
      </c>
      <c r="R260" s="793">
        <v>0</v>
      </c>
      <c r="S260" s="793">
        <v>0</v>
      </c>
      <c r="T260" s="793">
        <v>0</v>
      </c>
      <c r="U260" s="793">
        <v>0</v>
      </c>
      <c r="V260" s="793">
        <v>0</v>
      </c>
      <c r="W260" s="793">
        <v>0</v>
      </c>
      <c r="X260" s="793">
        <v>0</v>
      </c>
      <c r="Y260" s="793">
        <v>0</v>
      </c>
      <c r="Z260" s="793">
        <v>0</v>
      </c>
      <c r="AA260" s="882">
        <v>0</v>
      </c>
      <c r="AB260" s="882"/>
    </row>
    <row r="261" spans="1:28" s="776" customFormat="1">
      <c r="A261" s="793"/>
      <c r="B261" s="242" t="s">
        <v>403</v>
      </c>
      <c r="C261" s="242"/>
      <c r="D261" s="242"/>
      <c r="E261" s="242"/>
      <c r="F261" s="793">
        <v>0</v>
      </c>
      <c r="G261" s="793">
        <v>0</v>
      </c>
      <c r="H261" s="793">
        <v>0</v>
      </c>
      <c r="I261" s="793">
        <v>0</v>
      </c>
      <c r="J261" s="793">
        <v>0</v>
      </c>
      <c r="K261" s="793">
        <v>0</v>
      </c>
      <c r="L261" s="793">
        <v>0</v>
      </c>
      <c r="M261" s="793">
        <v>0</v>
      </c>
      <c r="N261" s="793">
        <v>26927</v>
      </c>
      <c r="O261" s="793">
        <v>13096</v>
      </c>
      <c r="P261" s="890">
        <f>19306+4024+81860</f>
        <v>105190</v>
      </c>
      <c r="Q261" s="890">
        <f>9178+2291</f>
        <v>11469</v>
      </c>
      <c r="R261" s="890">
        <v>9653</v>
      </c>
      <c r="S261" s="890">
        <f>15100+14500</f>
        <v>29600</v>
      </c>
      <c r="T261" s="890">
        <f>9900+100+14300</f>
        <v>24300</v>
      </c>
      <c r="U261" s="890">
        <f>5000+3000</f>
        <v>8000</v>
      </c>
      <c r="V261" s="890">
        <v>88000</v>
      </c>
      <c r="W261" s="890">
        <v>81000</v>
      </c>
      <c r="X261" s="890">
        <v>27000</v>
      </c>
      <c r="Y261" s="890">
        <v>0</v>
      </c>
      <c r="Z261" s="890">
        <v>0</v>
      </c>
      <c r="AA261" s="882"/>
      <c r="AB261" s="882"/>
    </row>
    <row r="262" spans="1:28" s="776" customFormat="1">
      <c r="A262" s="793"/>
      <c r="B262" s="242" t="s">
        <v>404</v>
      </c>
      <c r="C262" s="242"/>
      <c r="D262" s="242"/>
      <c r="E262" s="242"/>
      <c r="F262" s="793">
        <v>0</v>
      </c>
      <c r="G262" s="793">
        <v>0</v>
      </c>
      <c r="H262" s="793">
        <v>0</v>
      </c>
      <c r="I262" s="793">
        <v>0</v>
      </c>
      <c r="J262" s="793">
        <v>0</v>
      </c>
      <c r="K262" s="793">
        <v>0</v>
      </c>
      <c r="L262" s="793">
        <v>0</v>
      </c>
      <c r="M262" s="793">
        <v>0</v>
      </c>
      <c r="N262" s="793"/>
      <c r="O262" s="793"/>
      <c r="P262" s="890"/>
      <c r="Q262" s="890"/>
      <c r="R262" s="890"/>
      <c r="S262" s="890"/>
      <c r="T262" s="890"/>
      <c r="U262" s="890"/>
      <c r="V262" s="890">
        <v>-4000</v>
      </c>
      <c r="W262" s="890">
        <v>-4000</v>
      </c>
      <c r="X262" s="890">
        <v>0</v>
      </c>
      <c r="Y262" s="890">
        <f>4000-1000+44000</f>
        <v>47000</v>
      </c>
      <c r="Z262" s="890">
        <f>40000-6000+58000</f>
        <v>92000</v>
      </c>
      <c r="AA262" s="882">
        <v>194000</v>
      </c>
      <c r="AB262" s="882">
        <v>84000</v>
      </c>
    </row>
    <row r="263" spans="1:28" s="776" customFormat="1">
      <c r="A263" s="793"/>
      <c r="B263" s="242" t="s">
        <v>405</v>
      </c>
      <c r="C263" s="242"/>
      <c r="D263" s="242"/>
      <c r="E263" s="242"/>
      <c r="F263" s="793">
        <v>0</v>
      </c>
      <c r="G263" s="793">
        <v>0</v>
      </c>
      <c r="H263" s="793">
        <v>0</v>
      </c>
      <c r="I263" s="793">
        <v>0</v>
      </c>
      <c r="J263" s="793">
        <v>0</v>
      </c>
      <c r="K263" s="793">
        <v>0</v>
      </c>
      <c r="L263" s="793">
        <v>0</v>
      </c>
      <c r="M263" s="793">
        <v>0</v>
      </c>
      <c r="N263" s="793"/>
      <c r="O263" s="793"/>
      <c r="P263" s="890"/>
      <c r="Q263" s="890"/>
      <c r="R263" s="890"/>
      <c r="S263" s="890"/>
      <c r="T263" s="890"/>
      <c r="U263" s="890"/>
      <c r="V263" s="890">
        <v>-85000</v>
      </c>
      <c r="W263" s="890">
        <v>15000</v>
      </c>
      <c r="X263" s="890">
        <v>9000</v>
      </c>
      <c r="Y263" s="890">
        <v>14000</v>
      </c>
      <c r="Z263" s="890">
        <v>22000</v>
      </c>
      <c r="AA263" s="882">
        <v>29000</v>
      </c>
      <c r="AB263" s="882">
        <v>16000</v>
      </c>
    </row>
    <row r="264" spans="1:28" s="776" customFormat="1">
      <c r="A264" s="793"/>
      <c r="B264" s="242" t="s">
        <v>406</v>
      </c>
      <c r="C264" s="242"/>
      <c r="D264" s="242"/>
      <c r="E264" s="242"/>
      <c r="F264" s="793">
        <v>0</v>
      </c>
      <c r="G264" s="793">
        <v>0</v>
      </c>
      <c r="H264" s="793">
        <v>0</v>
      </c>
      <c r="I264" s="793">
        <v>0</v>
      </c>
      <c r="J264" s="793">
        <v>0</v>
      </c>
      <c r="K264" s="793">
        <v>0</v>
      </c>
      <c r="L264" s="793">
        <v>0</v>
      </c>
      <c r="M264" s="793">
        <v>0</v>
      </c>
      <c r="N264" s="892">
        <v>21</v>
      </c>
      <c r="O264" s="892">
        <f>111+25649</f>
        <v>25760</v>
      </c>
      <c r="P264" s="990">
        <f>108+5392</f>
        <v>5500</v>
      </c>
      <c r="Q264" s="990">
        <f>253+71917</f>
        <v>72170</v>
      </c>
      <c r="R264" s="990">
        <v>2288</v>
      </c>
      <c r="S264" s="990">
        <v>0</v>
      </c>
      <c r="T264" s="990">
        <v>12100</v>
      </c>
      <c r="U264" s="990">
        <v>2000</v>
      </c>
      <c r="V264" s="990">
        <v>0</v>
      </c>
      <c r="W264" s="990">
        <v>0</v>
      </c>
      <c r="X264" s="990">
        <v>16000</v>
      </c>
      <c r="Y264" s="990">
        <v>0</v>
      </c>
      <c r="Z264" s="990">
        <v>0</v>
      </c>
      <c r="AA264" s="991">
        <v>0</v>
      </c>
      <c r="AB264" s="991">
        <v>6000</v>
      </c>
    </row>
    <row r="265" spans="1:28" s="776" customFormat="1">
      <c r="A265" s="793"/>
      <c r="B265" s="242" t="s">
        <v>6</v>
      </c>
      <c r="C265" s="242"/>
      <c r="D265" s="242"/>
      <c r="E265" s="242"/>
      <c r="F265" s="793">
        <v>0</v>
      </c>
      <c r="G265" s="793">
        <v>0</v>
      </c>
      <c r="H265" s="793">
        <v>0</v>
      </c>
      <c r="I265" s="793">
        <v>0</v>
      </c>
      <c r="J265" s="793">
        <v>0</v>
      </c>
      <c r="K265" s="793">
        <v>0</v>
      </c>
      <c r="L265" s="793">
        <v>0</v>
      </c>
      <c r="M265" s="793">
        <v>0</v>
      </c>
      <c r="N265" s="890">
        <f t="shared" ref="N265:AB265" si="104">SUM(N261:N264)</f>
        <v>26948</v>
      </c>
      <c r="O265" s="890">
        <f t="shared" si="104"/>
        <v>38856</v>
      </c>
      <c r="P265" s="890">
        <f t="shared" si="104"/>
        <v>110690</v>
      </c>
      <c r="Q265" s="890">
        <f t="shared" si="104"/>
        <v>83639</v>
      </c>
      <c r="R265" s="890">
        <f t="shared" si="104"/>
        <v>11941</v>
      </c>
      <c r="S265" s="890">
        <f t="shared" si="104"/>
        <v>29600</v>
      </c>
      <c r="T265" s="890">
        <f t="shared" si="104"/>
        <v>36400</v>
      </c>
      <c r="U265" s="890">
        <f t="shared" si="104"/>
        <v>10000</v>
      </c>
      <c r="V265" s="890">
        <f t="shared" si="104"/>
        <v>-1000</v>
      </c>
      <c r="W265" s="890">
        <f t="shared" si="104"/>
        <v>92000</v>
      </c>
      <c r="X265" s="890">
        <f t="shared" si="104"/>
        <v>52000</v>
      </c>
      <c r="Y265" s="890">
        <f t="shared" si="104"/>
        <v>61000</v>
      </c>
      <c r="Z265" s="890">
        <f t="shared" si="104"/>
        <v>114000</v>
      </c>
      <c r="AA265" s="890">
        <f t="shared" si="104"/>
        <v>223000</v>
      </c>
      <c r="AB265" s="882">
        <f t="shared" si="104"/>
        <v>106000</v>
      </c>
    </row>
    <row r="266" spans="1:28" s="776" customFormat="1">
      <c r="A266" s="793"/>
      <c r="B266" s="921" t="s">
        <v>401</v>
      </c>
      <c r="C266" s="74"/>
      <c r="D266" s="74"/>
      <c r="E266" s="242"/>
      <c r="F266" s="793">
        <v>0</v>
      </c>
      <c r="G266" s="793">
        <v>0</v>
      </c>
      <c r="H266" s="793">
        <v>0</v>
      </c>
      <c r="I266" s="793">
        <v>0</v>
      </c>
      <c r="J266" s="793">
        <v>0</v>
      </c>
      <c r="K266" s="793">
        <v>0</v>
      </c>
      <c r="L266" s="793">
        <v>0</v>
      </c>
      <c r="M266" s="793">
        <v>0</v>
      </c>
      <c r="N266" s="793"/>
      <c r="O266" s="793"/>
      <c r="P266" s="890"/>
      <c r="Q266" s="890"/>
      <c r="R266" s="890"/>
      <c r="S266" s="890"/>
      <c r="T266" s="890"/>
      <c r="U266" s="890"/>
      <c r="V266" s="890"/>
      <c r="W266" s="890"/>
      <c r="X266" s="890"/>
      <c r="Y266" s="890"/>
      <c r="Z266" s="890"/>
      <c r="AA266" s="882"/>
      <c r="AB266" s="882"/>
    </row>
    <row r="267" spans="1:28" s="776" customFormat="1">
      <c r="A267" s="793"/>
      <c r="B267" s="242" t="s">
        <v>403</v>
      </c>
      <c r="C267" s="242"/>
      <c r="D267" s="242"/>
      <c r="E267" s="242"/>
      <c r="F267" s="793">
        <v>0</v>
      </c>
      <c r="G267" s="793">
        <v>0</v>
      </c>
      <c r="H267" s="793">
        <v>0</v>
      </c>
      <c r="I267" s="793">
        <v>0</v>
      </c>
      <c r="J267" s="793">
        <v>0</v>
      </c>
      <c r="K267" s="793">
        <v>0</v>
      </c>
      <c r="L267" s="793">
        <v>0</v>
      </c>
      <c r="M267" s="793">
        <v>0</v>
      </c>
      <c r="N267" s="793">
        <f>-79-6691</f>
        <v>-6770</v>
      </c>
      <c r="O267" s="793">
        <v>-489</v>
      </c>
      <c r="P267" s="890">
        <v>-37461</v>
      </c>
      <c r="Q267" s="890">
        <v>-50732</v>
      </c>
      <c r="R267" s="890">
        <v>-65217</v>
      </c>
      <c r="S267" s="890">
        <f>-138200-63300</f>
        <v>-201500</v>
      </c>
      <c r="T267" s="890">
        <f>-(89600+7300)</f>
        <v>-96900</v>
      </c>
      <c r="U267" s="890">
        <f>-57000-3000</f>
        <v>-60000</v>
      </c>
      <c r="V267" s="890"/>
      <c r="W267" s="890">
        <v>0</v>
      </c>
      <c r="X267" s="890">
        <v>-3000</v>
      </c>
      <c r="Y267" s="890">
        <v>0</v>
      </c>
      <c r="Z267" s="890">
        <v>0</v>
      </c>
      <c r="AA267" s="882"/>
      <c r="AB267" s="882"/>
    </row>
    <row r="268" spans="1:28" s="776" customFormat="1">
      <c r="A268" s="793"/>
      <c r="B268" s="242" t="s">
        <v>404</v>
      </c>
      <c r="C268" s="242"/>
      <c r="D268" s="242"/>
      <c r="E268" s="242"/>
      <c r="F268" s="793">
        <v>0</v>
      </c>
      <c r="G268" s="793">
        <v>0</v>
      </c>
      <c r="H268" s="793">
        <v>0</v>
      </c>
      <c r="I268" s="793">
        <v>0</v>
      </c>
      <c r="J268" s="793">
        <v>0</v>
      </c>
      <c r="K268" s="793">
        <v>0</v>
      </c>
      <c r="L268" s="793">
        <v>0</v>
      </c>
      <c r="M268" s="793">
        <v>0</v>
      </c>
      <c r="N268" s="793"/>
      <c r="O268" s="793"/>
      <c r="P268" s="890"/>
      <c r="Q268" s="890"/>
      <c r="R268" s="890">
        <v>-317</v>
      </c>
      <c r="S268" s="890"/>
      <c r="T268" s="890">
        <f>-(700+1400)</f>
        <v>-2100</v>
      </c>
      <c r="U268" s="890"/>
      <c r="V268" s="890"/>
      <c r="W268" s="890">
        <v>0</v>
      </c>
      <c r="X268" s="890">
        <v>-3000</v>
      </c>
      <c r="Y268" s="890"/>
      <c r="Z268" s="890"/>
      <c r="AA268" s="882"/>
      <c r="AB268" s="882"/>
    </row>
    <row r="269" spans="1:28" s="776" customFormat="1">
      <c r="A269" s="793"/>
      <c r="B269" s="242" t="s">
        <v>407</v>
      </c>
      <c r="C269" s="242"/>
      <c r="D269" s="242"/>
      <c r="E269" s="242"/>
      <c r="F269" s="793">
        <v>0</v>
      </c>
      <c r="G269" s="793">
        <v>0</v>
      </c>
      <c r="H269" s="793">
        <v>0</v>
      </c>
      <c r="I269" s="793">
        <v>0</v>
      </c>
      <c r="J269" s="793">
        <v>0</v>
      </c>
      <c r="K269" s="793">
        <v>0</v>
      </c>
      <c r="L269" s="793">
        <v>0</v>
      </c>
      <c r="M269" s="793">
        <v>0</v>
      </c>
      <c r="N269" s="793"/>
      <c r="O269" s="793"/>
      <c r="P269" s="890"/>
      <c r="Q269" s="890"/>
      <c r="R269" s="890">
        <v>-947</v>
      </c>
      <c r="S269" s="890">
        <v>1100</v>
      </c>
      <c r="T269" s="890"/>
      <c r="U269" s="890"/>
      <c r="V269" s="890">
        <v>8000</v>
      </c>
      <c r="W269" s="890"/>
      <c r="X269" s="890"/>
      <c r="Y269" s="890"/>
      <c r="Z269" s="890"/>
      <c r="AA269" s="882"/>
      <c r="AB269" s="882"/>
    </row>
    <row r="270" spans="1:28" s="776" customFormat="1">
      <c r="A270" s="793"/>
      <c r="B270" s="242" t="s">
        <v>405</v>
      </c>
      <c r="C270" s="242"/>
      <c r="D270" s="242"/>
      <c r="E270" s="242"/>
      <c r="F270" s="793">
        <v>0</v>
      </c>
      <c r="G270" s="793">
        <v>0</v>
      </c>
      <c r="H270" s="793">
        <v>0</v>
      </c>
      <c r="I270" s="793">
        <v>0</v>
      </c>
      <c r="J270" s="793">
        <v>0</v>
      </c>
      <c r="K270" s="793">
        <v>0</v>
      </c>
      <c r="L270" s="793">
        <v>0</v>
      </c>
      <c r="M270" s="793">
        <v>0</v>
      </c>
      <c r="N270" s="793"/>
      <c r="O270" s="793"/>
      <c r="P270" s="890"/>
      <c r="Q270" s="890"/>
      <c r="R270" s="890">
        <v>-2267</v>
      </c>
      <c r="S270" s="890"/>
      <c r="T270" s="890"/>
      <c r="U270" s="890"/>
      <c r="V270" s="890">
        <v>-93000</v>
      </c>
      <c r="W270" s="890">
        <v>-166000</v>
      </c>
      <c r="X270" s="890">
        <v>-106000</v>
      </c>
      <c r="Y270" s="890">
        <v>-114000</v>
      </c>
      <c r="Z270" s="890">
        <v>-184000</v>
      </c>
      <c r="AA270" s="882">
        <v>-238000</v>
      </c>
      <c r="AB270" s="882">
        <v>-145000</v>
      </c>
    </row>
    <row r="271" spans="1:28" s="776" customFormat="1">
      <c r="A271" s="793"/>
      <c r="B271" s="242" t="s">
        <v>406</v>
      </c>
      <c r="C271" s="242"/>
      <c r="D271" s="242"/>
      <c r="E271" s="242"/>
      <c r="F271" s="793">
        <v>0</v>
      </c>
      <c r="G271" s="793">
        <v>0</v>
      </c>
      <c r="H271" s="793">
        <v>0</v>
      </c>
      <c r="I271" s="793">
        <v>0</v>
      </c>
      <c r="J271" s="793">
        <v>0</v>
      </c>
      <c r="K271" s="793">
        <v>0</v>
      </c>
      <c r="L271" s="793">
        <v>0</v>
      </c>
      <c r="M271" s="793">
        <v>0</v>
      </c>
      <c r="N271" s="892">
        <f>-1106-116793</f>
        <v>-117899</v>
      </c>
      <c r="O271" s="892">
        <f>-1344+292-54907</f>
        <v>-55959</v>
      </c>
      <c r="P271" s="990">
        <f>-109-14484</f>
        <v>-14593</v>
      </c>
      <c r="Q271" s="990">
        <f>-224-33796</f>
        <v>-34020</v>
      </c>
      <c r="R271" s="990">
        <f>-42328</f>
        <v>-42328</v>
      </c>
      <c r="S271" s="990">
        <f>-100-2900</f>
        <v>-3000</v>
      </c>
      <c r="T271" s="990"/>
      <c r="U271" s="990">
        <f>-3000-50000</f>
        <v>-53000</v>
      </c>
      <c r="V271" s="990">
        <f>-4000+88000</f>
        <v>84000</v>
      </c>
      <c r="W271" s="990">
        <v>0</v>
      </c>
      <c r="X271" s="990">
        <v>-2000</v>
      </c>
      <c r="Y271" s="990"/>
      <c r="Z271" s="990">
        <v>0</v>
      </c>
      <c r="AA271" s="991"/>
      <c r="AB271" s="991"/>
    </row>
    <row r="272" spans="1:28" s="776" customFormat="1">
      <c r="A272" s="793"/>
      <c r="B272" s="242" t="s">
        <v>7</v>
      </c>
      <c r="C272" s="242"/>
      <c r="D272" s="242"/>
      <c r="E272" s="242"/>
      <c r="F272" s="793">
        <v>0</v>
      </c>
      <c r="G272" s="793">
        <v>0</v>
      </c>
      <c r="H272" s="793">
        <v>0</v>
      </c>
      <c r="I272" s="793">
        <v>0</v>
      </c>
      <c r="J272" s="793">
        <v>0</v>
      </c>
      <c r="K272" s="793">
        <v>0</v>
      </c>
      <c r="L272" s="793">
        <v>0</v>
      </c>
      <c r="M272" s="793">
        <v>0</v>
      </c>
      <c r="N272" s="890">
        <f t="shared" ref="N272:R272" si="105">SUM(N267:N271)</f>
        <v>-124669</v>
      </c>
      <c r="O272" s="890">
        <f t="shared" si="105"/>
        <v>-56448</v>
      </c>
      <c r="P272" s="890">
        <f t="shared" ref="P272" si="106">SUM(P267:P271)</f>
        <v>-52054</v>
      </c>
      <c r="Q272" s="890">
        <f t="shared" si="105"/>
        <v>-84752</v>
      </c>
      <c r="R272" s="890">
        <f t="shared" si="105"/>
        <v>-111076</v>
      </c>
      <c r="S272" s="890">
        <f t="shared" ref="S272:W272" si="107">SUM(S267:S271)</f>
        <v>-203400</v>
      </c>
      <c r="T272" s="890">
        <f t="shared" si="107"/>
        <v>-99000</v>
      </c>
      <c r="U272" s="890">
        <f t="shared" si="107"/>
        <v>-113000</v>
      </c>
      <c r="V272" s="890">
        <f t="shared" si="107"/>
        <v>-1000</v>
      </c>
      <c r="W272" s="890">
        <f t="shared" si="107"/>
        <v>-166000</v>
      </c>
      <c r="X272" s="890">
        <f>SUM(X267:X271)</f>
        <v>-114000</v>
      </c>
      <c r="Y272" s="890">
        <f>SUM(Y267:Y271)</f>
        <v>-114000</v>
      </c>
      <c r="Z272" s="890">
        <f>SUM(Z267:Z271)</f>
        <v>-184000</v>
      </c>
      <c r="AA272" s="882">
        <f>SUM(AA267:AA271)</f>
        <v>-238000</v>
      </c>
      <c r="AB272" s="882">
        <f>SUM(AB267:AB271)</f>
        <v>-145000</v>
      </c>
    </row>
    <row r="273" spans="1:28" s="776" customFormat="1">
      <c r="A273" s="793"/>
      <c r="B273" s="791" t="s">
        <v>408</v>
      </c>
      <c r="C273" s="242"/>
      <c r="D273" s="242"/>
      <c r="E273" s="242"/>
      <c r="F273" s="793">
        <v>0</v>
      </c>
      <c r="G273" s="793">
        <v>0</v>
      </c>
      <c r="H273" s="793">
        <v>0</v>
      </c>
      <c r="I273" s="793">
        <v>0</v>
      </c>
      <c r="J273" s="793">
        <v>0</v>
      </c>
      <c r="K273" s="793">
        <v>0</v>
      </c>
      <c r="L273" s="793">
        <v>0</v>
      </c>
      <c r="M273" s="793">
        <v>0</v>
      </c>
      <c r="N273" s="890">
        <f t="shared" ref="N273:Y273" si="108">N265+N272</f>
        <v>-97721</v>
      </c>
      <c r="O273" s="890">
        <f t="shared" si="108"/>
        <v>-17592</v>
      </c>
      <c r="P273" s="890">
        <f t="shared" si="108"/>
        <v>58636</v>
      </c>
      <c r="Q273" s="890">
        <f t="shared" si="108"/>
        <v>-1113</v>
      </c>
      <c r="R273" s="890">
        <f t="shared" si="108"/>
        <v>-99135</v>
      </c>
      <c r="S273" s="890">
        <f t="shared" si="108"/>
        <v>-173800</v>
      </c>
      <c r="T273" s="890">
        <f t="shared" si="108"/>
        <v>-62600</v>
      </c>
      <c r="U273" s="890">
        <f t="shared" si="108"/>
        <v>-103000</v>
      </c>
      <c r="V273" s="890">
        <f t="shared" si="108"/>
        <v>-2000</v>
      </c>
      <c r="W273" s="890">
        <f>W265+W272</f>
        <v>-74000</v>
      </c>
      <c r="X273" s="890">
        <f>X265+X272</f>
        <v>-62000</v>
      </c>
      <c r="Y273" s="890">
        <f t="shared" si="108"/>
        <v>-53000</v>
      </c>
      <c r="Z273" s="890">
        <f>Z265+Z272</f>
        <v>-70000</v>
      </c>
      <c r="AA273" s="890">
        <f>AA265+AA272</f>
        <v>-15000</v>
      </c>
      <c r="AB273" s="890">
        <f>AB265+AB272</f>
        <v>-39000</v>
      </c>
    </row>
    <row r="274" spans="1:28" s="776" customFormat="1">
      <c r="A274" s="793"/>
      <c r="B274" s="242"/>
      <c r="C274" s="242"/>
      <c r="D274" s="242"/>
      <c r="E274" s="242"/>
      <c r="F274" s="793">
        <v>0</v>
      </c>
      <c r="G274" s="793">
        <v>0</v>
      </c>
      <c r="H274" s="793">
        <v>0</v>
      </c>
      <c r="I274" s="793">
        <v>0</v>
      </c>
      <c r="J274" s="793">
        <v>0</v>
      </c>
      <c r="K274" s="793">
        <v>0</v>
      </c>
      <c r="L274" s="793">
        <v>0</v>
      </c>
      <c r="M274" s="793">
        <v>0</v>
      </c>
      <c r="N274" s="890"/>
      <c r="O274" s="890"/>
      <c r="P274" s="890"/>
      <c r="Q274" s="890"/>
      <c r="R274" s="890"/>
      <c r="S274" s="890"/>
      <c r="T274" s="890"/>
      <c r="U274" s="890"/>
      <c r="V274" s="890"/>
      <c r="W274" s="890"/>
      <c r="X274" s="890"/>
      <c r="Y274" s="890"/>
      <c r="Z274" s="890"/>
      <c r="AA274" s="882"/>
      <c r="AB274" s="882"/>
    </row>
    <row r="275" spans="1:28" s="776" customFormat="1">
      <c r="A275" s="1247" t="s">
        <v>154</v>
      </c>
      <c r="B275" s="1238" t="s">
        <v>409</v>
      </c>
      <c r="C275" s="1238"/>
      <c r="D275" s="1238"/>
      <c r="E275" s="1097"/>
      <c r="F275" s="793">
        <v>0</v>
      </c>
      <c r="G275" s="793">
        <v>0</v>
      </c>
      <c r="H275" s="793">
        <v>0</v>
      </c>
      <c r="I275" s="793">
        <v>0</v>
      </c>
      <c r="J275" s="793">
        <v>0</v>
      </c>
      <c r="K275" s="793">
        <v>0</v>
      </c>
      <c r="L275" s="793">
        <v>0</v>
      </c>
      <c r="M275" s="793">
        <v>0</v>
      </c>
      <c r="N275" s="793"/>
      <c r="O275" s="793"/>
      <c r="P275" s="890"/>
      <c r="Q275" s="890"/>
      <c r="R275" s="890"/>
      <c r="S275" s="994"/>
      <c r="T275" s="994"/>
      <c r="U275" s="890"/>
      <c r="V275" s="994"/>
      <c r="W275" s="890"/>
      <c r="X275" s="890"/>
      <c r="Y275" s="890"/>
      <c r="Z275" s="890"/>
      <c r="AA275" s="1354"/>
      <c r="AB275" s="882"/>
    </row>
    <row r="276" spans="1:28" s="776" customFormat="1">
      <c r="A276" s="793"/>
      <c r="B276" s="921" t="s">
        <v>142</v>
      </c>
      <c r="C276" s="74"/>
      <c r="D276" s="74"/>
      <c r="E276" s="242"/>
      <c r="F276" s="793">
        <v>0</v>
      </c>
      <c r="G276" s="793">
        <v>0</v>
      </c>
      <c r="H276" s="793">
        <v>0</v>
      </c>
      <c r="I276" s="793">
        <v>0</v>
      </c>
      <c r="J276" s="793">
        <v>0</v>
      </c>
      <c r="K276" s="793">
        <v>0</v>
      </c>
      <c r="L276" s="793">
        <v>0</v>
      </c>
      <c r="M276" s="793">
        <v>0</v>
      </c>
      <c r="N276" s="793"/>
      <c r="O276" s="793"/>
      <c r="P276" s="890"/>
      <c r="Q276" s="890"/>
      <c r="R276" s="890"/>
      <c r="S276" s="890"/>
      <c r="T276" s="890"/>
      <c r="U276" s="890"/>
      <c r="V276" s="890"/>
      <c r="W276" s="890"/>
      <c r="X276" s="890"/>
      <c r="Y276" s="890"/>
      <c r="Z276" s="890"/>
      <c r="AA276" s="882"/>
      <c r="AB276" s="882"/>
    </row>
    <row r="277" spans="1:28" s="776" customFormat="1">
      <c r="A277" s="793"/>
      <c r="B277" s="242" t="s">
        <v>410</v>
      </c>
      <c r="C277" s="242"/>
      <c r="D277" s="242"/>
      <c r="E277" s="242"/>
      <c r="F277" s="793">
        <v>0</v>
      </c>
      <c r="G277" s="793">
        <v>0</v>
      </c>
      <c r="H277" s="793">
        <v>0</v>
      </c>
      <c r="I277" s="793">
        <v>0</v>
      </c>
      <c r="J277" s="793">
        <v>0</v>
      </c>
      <c r="K277" s="793">
        <v>0</v>
      </c>
      <c r="L277" s="793">
        <v>0</v>
      </c>
      <c r="M277" s="793">
        <v>0</v>
      </c>
      <c r="N277" s="793"/>
      <c r="O277" s="793"/>
      <c r="P277" s="890"/>
      <c r="Q277" s="890"/>
      <c r="R277" s="890"/>
      <c r="S277" s="890"/>
      <c r="T277" s="890"/>
      <c r="U277" s="890">
        <v>73000</v>
      </c>
      <c r="V277" s="890">
        <v>75000</v>
      </c>
      <c r="W277" s="890">
        <v>16000</v>
      </c>
      <c r="X277" s="890">
        <v>21000</v>
      </c>
      <c r="Y277" s="890">
        <f>30000+13000</f>
        <v>43000</v>
      </c>
      <c r="Z277" s="890">
        <f>52000+51000</f>
        <v>103000</v>
      </c>
      <c r="AA277" s="882">
        <v>84000</v>
      </c>
      <c r="AB277" s="882">
        <v>265000</v>
      </c>
    </row>
    <row r="278" spans="1:28" s="776" customFormat="1">
      <c r="A278" s="793"/>
      <c r="B278" s="242" t="s">
        <v>407</v>
      </c>
      <c r="C278" s="242"/>
      <c r="D278" s="242"/>
      <c r="E278" s="242"/>
      <c r="F278" s="793">
        <v>0</v>
      </c>
      <c r="G278" s="793">
        <v>0</v>
      </c>
      <c r="H278" s="793">
        <v>0</v>
      </c>
      <c r="I278" s="793">
        <v>0</v>
      </c>
      <c r="J278" s="793">
        <v>0</v>
      </c>
      <c r="K278" s="793">
        <v>0</v>
      </c>
      <c r="L278" s="793">
        <v>0</v>
      </c>
      <c r="M278" s="793">
        <v>0</v>
      </c>
      <c r="N278" s="793">
        <f>164+13831</f>
        <v>13995</v>
      </c>
      <c r="O278" s="793">
        <f>58069+42217</f>
        <v>100286</v>
      </c>
      <c r="P278" s="890">
        <f>20309-3983</f>
        <v>16326</v>
      </c>
      <c r="Q278" s="890">
        <f>101786-2530</f>
        <v>99256</v>
      </c>
      <c r="R278" s="890">
        <f>43274-1217</f>
        <v>42057</v>
      </c>
      <c r="S278" s="890">
        <v>105000</v>
      </c>
      <c r="T278" s="890">
        <f>66400+82900</f>
        <v>149300</v>
      </c>
      <c r="U278" s="890"/>
      <c r="V278" s="890"/>
      <c r="W278" s="890"/>
      <c r="X278" s="890"/>
      <c r="Y278" s="890"/>
      <c r="Z278" s="890"/>
      <c r="AA278" s="882"/>
      <c r="AB278" s="882"/>
    </row>
    <row r="279" spans="1:28" s="776" customFormat="1">
      <c r="A279" s="793"/>
      <c r="B279" s="242" t="s">
        <v>411</v>
      </c>
      <c r="C279" s="242"/>
      <c r="D279" s="242"/>
      <c r="E279" s="242"/>
      <c r="F279" s="793">
        <v>0</v>
      </c>
      <c r="G279" s="793">
        <v>0</v>
      </c>
      <c r="H279" s="793">
        <v>0</v>
      </c>
      <c r="I279" s="793">
        <v>0</v>
      </c>
      <c r="J279" s="793">
        <v>0</v>
      </c>
      <c r="K279" s="793">
        <v>0</v>
      </c>
      <c r="L279" s="793">
        <v>0</v>
      </c>
      <c r="M279" s="793">
        <v>0</v>
      </c>
      <c r="N279" s="793"/>
      <c r="O279" s="793"/>
      <c r="P279" s="890"/>
      <c r="Q279" s="890"/>
      <c r="R279" s="890"/>
      <c r="S279" s="890"/>
      <c r="T279" s="890"/>
      <c r="U279" s="890"/>
      <c r="V279" s="890">
        <v>0</v>
      </c>
      <c r="W279" s="890">
        <v>98000</v>
      </c>
      <c r="X279" s="890">
        <v>41000</v>
      </c>
      <c r="Y279" s="890"/>
      <c r="Z279" s="890"/>
      <c r="AA279" s="882"/>
      <c r="AB279" s="882"/>
    </row>
    <row r="280" spans="1:28" s="776" customFormat="1">
      <c r="A280" s="793"/>
      <c r="B280" s="242" t="s">
        <v>412</v>
      </c>
      <c r="C280" s="242"/>
      <c r="D280" s="242"/>
      <c r="E280" s="242"/>
      <c r="F280" s="793">
        <v>0</v>
      </c>
      <c r="G280" s="793">
        <v>0</v>
      </c>
      <c r="H280" s="793">
        <v>0</v>
      </c>
      <c r="I280" s="793">
        <v>0</v>
      </c>
      <c r="J280" s="793">
        <v>0</v>
      </c>
      <c r="K280" s="793">
        <v>0</v>
      </c>
      <c r="L280" s="793">
        <v>0</v>
      </c>
      <c r="M280" s="793">
        <v>0</v>
      </c>
      <c r="N280" s="793"/>
      <c r="O280" s="793"/>
      <c r="P280" s="890"/>
      <c r="Q280" s="890"/>
      <c r="R280" s="890"/>
      <c r="S280" s="890"/>
      <c r="T280" s="890"/>
      <c r="U280" s="890"/>
      <c r="V280" s="890">
        <v>27000</v>
      </c>
      <c r="W280" s="890">
        <v>121000</v>
      </c>
      <c r="X280" s="890">
        <v>98000</v>
      </c>
      <c r="Y280" s="890">
        <v>87000</v>
      </c>
      <c r="Z280" s="890">
        <v>70000</v>
      </c>
      <c r="AA280" s="882">
        <v>50000</v>
      </c>
      <c r="AB280" s="882">
        <v>29000</v>
      </c>
    </row>
    <row r="281" spans="1:28" s="776" customFormat="1">
      <c r="A281" s="793"/>
      <c r="B281" s="242" t="s">
        <v>413</v>
      </c>
      <c r="C281" s="242"/>
      <c r="D281" s="242"/>
      <c r="E281" s="242"/>
      <c r="F281" s="793">
        <v>0</v>
      </c>
      <c r="G281" s="793">
        <v>0</v>
      </c>
      <c r="H281" s="793">
        <v>0</v>
      </c>
      <c r="I281" s="793">
        <v>0</v>
      </c>
      <c r="J281" s="793">
        <v>0</v>
      </c>
      <c r="K281" s="793">
        <v>0</v>
      </c>
      <c r="L281" s="793">
        <v>0</v>
      </c>
      <c r="M281" s="793">
        <v>0</v>
      </c>
      <c r="N281" s="892"/>
      <c r="O281" s="892"/>
      <c r="P281" s="990"/>
      <c r="Q281" s="990"/>
      <c r="R281" s="990"/>
      <c r="S281" s="990"/>
      <c r="T281" s="990"/>
      <c r="U281" s="990"/>
      <c r="V281" s="990">
        <v>1000</v>
      </c>
      <c r="W281" s="990">
        <f>16000+1000</f>
        <v>17000</v>
      </c>
      <c r="X281" s="990">
        <f>16000+2000</f>
        <v>18000</v>
      </c>
      <c r="Y281" s="990">
        <f>17000+5000</f>
        <v>22000</v>
      </c>
      <c r="Z281" s="990">
        <f>6000+16000</f>
        <v>22000</v>
      </c>
      <c r="AA281" s="991">
        <v>8000</v>
      </c>
      <c r="AB281" s="991">
        <v>6000</v>
      </c>
    </row>
    <row r="282" spans="1:28" s="776" customFormat="1">
      <c r="A282" s="793"/>
      <c r="B282" s="242" t="s">
        <v>6</v>
      </c>
      <c r="C282" s="242"/>
      <c r="D282" s="242"/>
      <c r="E282" s="242"/>
      <c r="F282" s="793">
        <v>0</v>
      </c>
      <c r="G282" s="793">
        <v>0</v>
      </c>
      <c r="H282" s="793">
        <v>0</v>
      </c>
      <c r="I282" s="793">
        <v>0</v>
      </c>
      <c r="J282" s="793">
        <v>0</v>
      </c>
      <c r="K282" s="793">
        <v>0</v>
      </c>
      <c r="L282" s="793">
        <v>0</v>
      </c>
      <c r="M282" s="793">
        <v>0</v>
      </c>
      <c r="N282" s="890">
        <f t="shared" ref="N282:AB282" si="109">SUM(N277:N281)</f>
        <v>13995</v>
      </c>
      <c r="O282" s="890">
        <f t="shared" si="109"/>
        <v>100286</v>
      </c>
      <c r="P282" s="890">
        <f t="shared" si="109"/>
        <v>16326</v>
      </c>
      <c r="Q282" s="890">
        <f t="shared" si="109"/>
        <v>99256</v>
      </c>
      <c r="R282" s="890">
        <f t="shared" si="109"/>
        <v>42057</v>
      </c>
      <c r="S282" s="890">
        <f t="shared" si="109"/>
        <v>105000</v>
      </c>
      <c r="T282" s="890">
        <f t="shared" si="109"/>
        <v>149300</v>
      </c>
      <c r="U282" s="890">
        <f t="shared" si="109"/>
        <v>73000</v>
      </c>
      <c r="V282" s="890">
        <f t="shared" si="109"/>
        <v>103000</v>
      </c>
      <c r="W282" s="890">
        <f t="shared" si="109"/>
        <v>252000</v>
      </c>
      <c r="X282" s="890">
        <f t="shared" si="109"/>
        <v>178000</v>
      </c>
      <c r="Y282" s="890">
        <f t="shared" si="109"/>
        <v>152000</v>
      </c>
      <c r="Z282" s="890">
        <f t="shared" si="109"/>
        <v>195000</v>
      </c>
      <c r="AA282" s="882">
        <f t="shared" si="109"/>
        <v>142000</v>
      </c>
      <c r="AB282" s="882">
        <f t="shared" si="109"/>
        <v>300000</v>
      </c>
    </row>
    <row r="283" spans="1:28" s="776" customFormat="1">
      <c r="A283" s="793"/>
      <c r="B283" s="242"/>
      <c r="C283" s="242"/>
      <c r="D283" s="242"/>
      <c r="E283" s="242"/>
      <c r="F283" s="793">
        <v>0</v>
      </c>
      <c r="G283" s="793">
        <v>0</v>
      </c>
      <c r="H283" s="793">
        <v>0</v>
      </c>
      <c r="I283" s="793">
        <v>0</v>
      </c>
      <c r="J283" s="793">
        <v>0</v>
      </c>
      <c r="K283" s="793">
        <v>0</v>
      </c>
      <c r="L283" s="793">
        <v>0</v>
      </c>
      <c r="M283" s="793">
        <v>0</v>
      </c>
      <c r="N283" s="793"/>
      <c r="O283" s="793"/>
      <c r="P283" s="890"/>
      <c r="Q283" s="890"/>
      <c r="R283" s="890"/>
      <c r="S283" s="890"/>
      <c r="T283" s="890"/>
      <c r="U283" s="890"/>
      <c r="V283" s="890"/>
      <c r="W283" s="890"/>
      <c r="X283" s="890"/>
      <c r="Y283" s="890"/>
      <c r="Z283" s="890"/>
      <c r="AA283" s="882"/>
      <c r="AB283" s="882"/>
    </row>
    <row r="284" spans="1:28" s="776" customFormat="1">
      <c r="A284" s="793"/>
      <c r="B284" s="921" t="s">
        <v>401</v>
      </c>
      <c r="C284" s="921"/>
      <c r="D284" s="74"/>
      <c r="E284" s="242"/>
      <c r="F284" s="793">
        <v>0</v>
      </c>
      <c r="G284" s="793">
        <v>0</v>
      </c>
      <c r="H284" s="793">
        <v>0</v>
      </c>
      <c r="I284" s="793">
        <v>0</v>
      </c>
      <c r="J284" s="793">
        <v>0</v>
      </c>
      <c r="K284" s="793">
        <v>0</v>
      </c>
      <c r="L284" s="793">
        <v>0</v>
      </c>
      <c r="M284" s="793">
        <v>0</v>
      </c>
      <c r="N284" s="793"/>
      <c r="O284" s="793"/>
      <c r="P284" s="890"/>
      <c r="Q284" s="890"/>
      <c r="R284" s="890"/>
      <c r="S284" s="890"/>
      <c r="T284" s="890"/>
      <c r="U284" s="890"/>
      <c r="V284" s="890"/>
      <c r="W284" s="890"/>
      <c r="X284" s="890"/>
      <c r="Y284" s="242"/>
      <c r="Z284" s="242"/>
      <c r="AA284" s="882"/>
      <c r="AB284" s="882"/>
    </row>
    <row r="285" spans="1:28" s="776" customFormat="1">
      <c r="A285" s="793"/>
      <c r="B285" s="242" t="s">
        <v>410</v>
      </c>
      <c r="C285" s="242"/>
      <c r="D285" s="242"/>
      <c r="E285" s="242"/>
      <c r="F285" s="793">
        <v>0</v>
      </c>
      <c r="G285" s="793">
        <v>0</v>
      </c>
      <c r="H285" s="793">
        <v>0</v>
      </c>
      <c r="I285" s="793">
        <v>0</v>
      </c>
      <c r="J285" s="793">
        <v>0</v>
      </c>
      <c r="K285" s="793">
        <v>0</v>
      </c>
      <c r="L285" s="793">
        <v>0</v>
      </c>
      <c r="M285" s="793">
        <v>0</v>
      </c>
      <c r="N285" s="793"/>
      <c r="O285" s="793"/>
      <c r="P285" s="890"/>
      <c r="Q285" s="890"/>
      <c r="R285" s="890"/>
      <c r="S285" s="890"/>
      <c r="T285" s="890"/>
      <c r="U285" s="890"/>
      <c r="V285" s="890">
        <v>-41000</v>
      </c>
      <c r="W285" s="890">
        <v>-10000</v>
      </c>
      <c r="X285" s="890">
        <f>-29000-29000</f>
        <v>-58000</v>
      </c>
      <c r="Y285" s="890">
        <f>-9000-52000</f>
        <v>-61000</v>
      </c>
      <c r="Z285" s="890">
        <f>-3000-58000</f>
        <v>-61000</v>
      </c>
      <c r="AA285" s="882">
        <v>-93000</v>
      </c>
      <c r="AB285" s="882">
        <v>-35000</v>
      </c>
    </row>
    <row r="286" spans="1:28" s="776" customFormat="1">
      <c r="A286" s="793"/>
      <c r="B286" s="242" t="s">
        <v>407</v>
      </c>
      <c r="C286" s="242"/>
      <c r="D286" s="242"/>
      <c r="E286" s="242"/>
      <c r="F286" s="793">
        <v>0</v>
      </c>
      <c r="G286" s="793">
        <v>0</v>
      </c>
      <c r="H286" s="793">
        <v>0</v>
      </c>
      <c r="I286" s="793">
        <v>0</v>
      </c>
      <c r="J286" s="793">
        <v>0</v>
      </c>
      <c r="K286" s="793">
        <v>0</v>
      </c>
      <c r="L286" s="793">
        <v>0</v>
      </c>
      <c r="M286" s="793">
        <v>0</v>
      </c>
      <c r="N286" s="793">
        <f>-239-2794</f>
        <v>-3033</v>
      </c>
      <c r="O286" s="793">
        <f>-(12837+101617)</f>
        <v>-114454</v>
      </c>
      <c r="P286" s="890">
        <f>-89074+1159</f>
        <v>-87915</v>
      </c>
      <c r="Q286" s="890">
        <f>-107560+1331</f>
        <v>-106229</v>
      </c>
      <c r="R286" s="890">
        <f>-143985+1536</f>
        <v>-142449</v>
      </c>
      <c r="S286" s="890">
        <v>-78200</v>
      </c>
      <c r="T286" s="890">
        <v>-70500</v>
      </c>
      <c r="U286" s="890">
        <v>-50000</v>
      </c>
      <c r="V286" s="890"/>
      <c r="W286" s="890"/>
      <c r="X286" s="890"/>
      <c r="Y286" s="890"/>
      <c r="Z286" s="890"/>
      <c r="AA286" s="882"/>
      <c r="AB286" s="882"/>
    </row>
    <row r="287" spans="1:28" s="776" customFormat="1">
      <c r="A287" s="793"/>
      <c r="B287" s="242" t="s">
        <v>411</v>
      </c>
      <c r="C287" s="242"/>
      <c r="D287" s="242"/>
      <c r="E287" s="242"/>
      <c r="F287" s="793">
        <v>0</v>
      </c>
      <c r="G287" s="793">
        <v>0</v>
      </c>
      <c r="H287" s="793">
        <v>0</v>
      </c>
      <c r="I287" s="793">
        <v>0</v>
      </c>
      <c r="J287" s="793">
        <v>0</v>
      </c>
      <c r="K287" s="793">
        <v>0</v>
      </c>
      <c r="L287" s="793">
        <v>0</v>
      </c>
      <c r="M287" s="793">
        <v>0</v>
      </c>
      <c r="N287" s="793"/>
      <c r="O287" s="793"/>
      <c r="P287" s="890"/>
      <c r="Q287" s="890"/>
      <c r="R287" s="890"/>
      <c r="S287" s="890"/>
      <c r="T287" s="890"/>
      <c r="U287" s="890"/>
      <c r="V287" s="890"/>
      <c r="W287" s="890">
        <v>-35000</v>
      </c>
      <c r="X287" s="890">
        <v>0</v>
      </c>
      <c r="Y287" s="890">
        <v>0</v>
      </c>
      <c r="Z287" s="890">
        <v>0</v>
      </c>
      <c r="AA287" s="882"/>
      <c r="AB287" s="882"/>
    </row>
    <row r="288" spans="1:28" s="776" customFormat="1">
      <c r="A288" s="793"/>
      <c r="B288" s="242" t="s">
        <v>412</v>
      </c>
      <c r="C288" s="242"/>
      <c r="D288" s="242"/>
      <c r="E288" s="242"/>
      <c r="F288" s="793">
        <v>0</v>
      </c>
      <c r="G288" s="793">
        <v>0</v>
      </c>
      <c r="H288" s="793">
        <v>0</v>
      </c>
      <c r="I288" s="793">
        <v>0</v>
      </c>
      <c r="J288" s="793">
        <v>0</v>
      </c>
      <c r="K288" s="793">
        <v>0</v>
      </c>
      <c r="L288" s="793">
        <v>0</v>
      </c>
      <c r="M288" s="793">
        <v>0</v>
      </c>
      <c r="N288" s="793"/>
      <c r="O288" s="793"/>
      <c r="P288" s="890"/>
      <c r="Q288" s="890"/>
      <c r="R288" s="890"/>
      <c r="S288" s="890"/>
      <c r="T288" s="890"/>
      <c r="U288" s="890"/>
      <c r="V288" s="890"/>
      <c r="W288" s="890">
        <v>-1000</v>
      </c>
      <c r="X288" s="890">
        <v>0</v>
      </c>
      <c r="Y288" s="890">
        <v>0</v>
      </c>
      <c r="Z288" s="890">
        <v>0</v>
      </c>
      <c r="AA288" s="882"/>
      <c r="AB288" s="882"/>
    </row>
    <row r="289" spans="1:28" s="776" customFormat="1">
      <c r="A289" s="793"/>
      <c r="B289" s="242" t="s">
        <v>413</v>
      </c>
      <c r="C289" s="242"/>
      <c r="D289" s="242"/>
      <c r="E289" s="242"/>
      <c r="F289" s="793">
        <v>0</v>
      </c>
      <c r="G289" s="793">
        <v>0</v>
      </c>
      <c r="H289" s="793">
        <v>0</v>
      </c>
      <c r="I289" s="793">
        <v>0</v>
      </c>
      <c r="J289" s="793">
        <v>0</v>
      </c>
      <c r="K289" s="793">
        <v>0</v>
      </c>
      <c r="L289" s="793">
        <v>0</v>
      </c>
      <c r="M289" s="793">
        <v>0</v>
      </c>
      <c r="N289" s="892"/>
      <c r="O289" s="892"/>
      <c r="P289" s="990"/>
      <c r="Q289" s="990"/>
      <c r="R289" s="990"/>
      <c r="S289" s="990"/>
      <c r="T289" s="990"/>
      <c r="U289" s="990"/>
      <c r="V289" s="990">
        <v>-1000</v>
      </c>
      <c r="W289" s="990">
        <v>-39000</v>
      </c>
      <c r="X289" s="990">
        <v>-19000</v>
      </c>
      <c r="Y289" s="990">
        <v>-6000</v>
      </c>
      <c r="Z289" s="990">
        <v>0</v>
      </c>
      <c r="AA289" s="991">
        <v>-11000</v>
      </c>
      <c r="AB289" s="991">
        <v>-14000</v>
      </c>
    </row>
    <row r="290" spans="1:28" s="776" customFormat="1">
      <c r="A290" s="793"/>
      <c r="B290" s="242" t="s">
        <v>7</v>
      </c>
      <c r="C290" s="242"/>
      <c r="D290" s="242"/>
      <c r="E290" s="242"/>
      <c r="F290" s="793">
        <v>0</v>
      </c>
      <c r="G290" s="793">
        <v>0</v>
      </c>
      <c r="H290" s="793">
        <v>0</v>
      </c>
      <c r="I290" s="793">
        <v>0</v>
      </c>
      <c r="J290" s="793">
        <v>0</v>
      </c>
      <c r="K290" s="793">
        <v>0</v>
      </c>
      <c r="L290" s="793">
        <v>0</v>
      </c>
      <c r="M290" s="793">
        <v>0</v>
      </c>
      <c r="N290" s="890">
        <f t="shared" ref="N290:AB290" si="110">SUM(N285:N289)</f>
        <v>-3033</v>
      </c>
      <c r="O290" s="890">
        <f t="shared" si="110"/>
        <v>-114454</v>
      </c>
      <c r="P290" s="890">
        <f t="shared" si="110"/>
        <v>-87915</v>
      </c>
      <c r="Q290" s="890">
        <f t="shared" si="110"/>
        <v>-106229</v>
      </c>
      <c r="R290" s="890">
        <f t="shared" si="110"/>
        <v>-142449</v>
      </c>
      <c r="S290" s="890">
        <f t="shared" si="110"/>
        <v>-78200</v>
      </c>
      <c r="T290" s="890">
        <f t="shared" si="110"/>
        <v>-70500</v>
      </c>
      <c r="U290" s="890">
        <f t="shared" si="110"/>
        <v>-50000</v>
      </c>
      <c r="V290" s="890">
        <f t="shared" si="110"/>
        <v>-42000</v>
      </c>
      <c r="W290" s="890">
        <f t="shared" si="110"/>
        <v>-85000</v>
      </c>
      <c r="X290" s="890">
        <f t="shared" si="110"/>
        <v>-77000</v>
      </c>
      <c r="Y290" s="890">
        <f t="shared" si="110"/>
        <v>-67000</v>
      </c>
      <c r="Z290" s="890">
        <f t="shared" si="110"/>
        <v>-61000</v>
      </c>
      <c r="AA290" s="882">
        <f t="shared" si="110"/>
        <v>-104000</v>
      </c>
      <c r="AB290" s="882">
        <f t="shared" si="110"/>
        <v>-49000</v>
      </c>
    </row>
    <row r="291" spans="1:28" s="776" customFormat="1">
      <c r="A291" s="793"/>
      <c r="B291" s="922" t="s">
        <v>414</v>
      </c>
      <c r="C291" s="73"/>
      <c r="D291" s="73"/>
      <c r="E291" s="242"/>
      <c r="F291" s="793">
        <v>0</v>
      </c>
      <c r="G291" s="793">
        <v>0</v>
      </c>
      <c r="H291" s="793">
        <v>0</v>
      </c>
      <c r="I291" s="793">
        <v>0</v>
      </c>
      <c r="J291" s="793">
        <v>0</v>
      </c>
      <c r="K291" s="793">
        <v>0</v>
      </c>
      <c r="L291" s="793">
        <v>0</v>
      </c>
      <c r="M291" s="793">
        <v>0</v>
      </c>
      <c r="N291" s="890">
        <f t="shared" ref="N291:AB291" si="111">N282-N290</f>
        <v>17028</v>
      </c>
      <c r="O291" s="890">
        <f t="shared" si="111"/>
        <v>214740</v>
      </c>
      <c r="P291" s="890">
        <f t="shared" si="111"/>
        <v>104241</v>
      </c>
      <c r="Q291" s="890">
        <f t="shared" si="111"/>
        <v>205485</v>
      </c>
      <c r="R291" s="890">
        <f t="shared" si="111"/>
        <v>184506</v>
      </c>
      <c r="S291" s="890">
        <f t="shared" si="111"/>
        <v>183200</v>
      </c>
      <c r="T291" s="890">
        <f t="shared" si="111"/>
        <v>219800</v>
      </c>
      <c r="U291" s="890">
        <f t="shared" si="111"/>
        <v>123000</v>
      </c>
      <c r="V291" s="890">
        <f t="shared" si="111"/>
        <v>145000</v>
      </c>
      <c r="W291" s="890">
        <f t="shared" si="111"/>
        <v>337000</v>
      </c>
      <c r="X291" s="890">
        <f t="shared" si="111"/>
        <v>255000</v>
      </c>
      <c r="Y291" s="890">
        <f t="shared" si="111"/>
        <v>219000</v>
      </c>
      <c r="Z291" s="890">
        <f t="shared" si="111"/>
        <v>256000</v>
      </c>
      <c r="AA291" s="890">
        <f t="shared" si="111"/>
        <v>246000</v>
      </c>
      <c r="AB291" s="882">
        <f t="shared" si="111"/>
        <v>349000</v>
      </c>
    </row>
    <row r="292" spans="1:28" s="776" customFormat="1">
      <c r="A292" s="793"/>
      <c r="B292" s="242"/>
      <c r="C292" s="242"/>
      <c r="D292" s="242"/>
      <c r="E292" s="242"/>
      <c r="F292" s="793">
        <v>0</v>
      </c>
      <c r="G292" s="793">
        <v>0</v>
      </c>
      <c r="H292" s="793">
        <v>0</v>
      </c>
      <c r="I292" s="793">
        <v>0</v>
      </c>
      <c r="J292" s="793">
        <v>0</v>
      </c>
      <c r="K292" s="793">
        <v>0</v>
      </c>
      <c r="L292" s="793">
        <v>0</v>
      </c>
      <c r="M292" s="793">
        <v>0</v>
      </c>
      <c r="N292" s="793"/>
      <c r="O292" s="793"/>
      <c r="P292" s="890"/>
      <c r="Q292" s="890"/>
      <c r="R292" s="890"/>
      <c r="S292" s="890"/>
      <c r="T292" s="890"/>
      <c r="U292" s="890"/>
      <c r="V292" s="890"/>
      <c r="W292" s="890"/>
      <c r="X292" s="890"/>
      <c r="Y292" s="890"/>
      <c r="Z292" s="890"/>
      <c r="AA292" s="882"/>
      <c r="AB292" s="882"/>
    </row>
    <row r="293" spans="1:28" s="776" customFormat="1" ht="18">
      <c r="A293" s="904" t="s">
        <v>0</v>
      </c>
      <c r="B293" s="904"/>
      <c r="C293" s="904"/>
      <c r="D293" s="1267"/>
      <c r="E293" s="1439" t="s">
        <v>1407</v>
      </c>
      <c r="F293" s="1440"/>
      <c r="G293" s="1440"/>
      <c r="H293" s="1440"/>
      <c r="I293" s="985"/>
      <c r="J293" s="985"/>
      <c r="K293" s="985"/>
      <c r="L293" s="1455"/>
      <c r="M293" s="1455"/>
      <c r="N293" s="1455"/>
      <c r="O293" s="980"/>
      <c r="P293" s="966"/>
      <c r="Q293" s="967"/>
      <c r="R293" s="868"/>
      <c r="S293" s="967"/>
      <c r="T293" s="967"/>
      <c r="U293" s="967"/>
      <c r="V293" s="967"/>
      <c r="W293" s="1451" t="s">
        <v>12</v>
      </c>
      <c r="X293" s="1452"/>
      <c r="Y293" s="1452"/>
      <c r="Z293" s="1452"/>
      <c r="AA293" s="1453">
        <f>$AA$46+0.21</f>
        <v>0.21</v>
      </c>
      <c r="AB293" s="1381">
        <v>3.6</v>
      </c>
    </row>
    <row r="294" spans="1:28" s="776" customFormat="1">
      <c r="A294" s="1454"/>
      <c r="B294" s="1454"/>
      <c r="C294" s="1454"/>
      <c r="D294" s="1454"/>
      <c r="E294" s="1454"/>
      <c r="F294" s="74">
        <v>0</v>
      </c>
      <c r="G294" s="74">
        <f t="shared" ref="G294:G295" si="112">F294+1</f>
        <v>1</v>
      </c>
      <c r="H294" s="74">
        <f t="shared" ref="H294:H295" si="113">G294+1</f>
        <v>2</v>
      </c>
      <c r="I294" s="74">
        <f t="shared" ref="I294:I295" si="114">H294+1</f>
        <v>3</v>
      </c>
      <c r="J294" s="74">
        <f t="shared" ref="J294:J295" si="115">I294+1</f>
        <v>4</v>
      </c>
      <c r="K294" s="74">
        <f t="shared" ref="K294:K295" si="116">J294+1</f>
        <v>5</v>
      </c>
      <c r="L294" s="74">
        <f t="shared" ref="L294:L295" si="117">K294+1</f>
        <v>6</v>
      </c>
      <c r="M294" s="74">
        <f t="shared" ref="M294:M295" si="118">L294+1</f>
        <v>7</v>
      </c>
      <c r="N294" s="790">
        <f t="shared" ref="N294" si="119">M294+1</f>
        <v>8</v>
      </c>
      <c r="O294" s="74">
        <f t="shared" ref="O294" si="120">N294+1</f>
        <v>9</v>
      </c>
      <c r="P294" s="74">
        <f t="shared" ref="P294:P295" si="121">O294+1</f>
        <v>10</v>
      </c>
      <c r="Q294" s="74">
        <f t="shared" ref="Q294:Q295" si="122">P294+1</f>
        <v>11</v>
      </c>
      <c r="R294" s="74">
        <f t="shared" ref="R294:R295" si="123">Q294+1</f>
        <v>12</v>
      </c>
      <c r="S294" s="74">
        <f t="shared" ref="S294:S295" si="124">R294+1</f>
        <v>13</v>
      </c>
      <c r="T294" s="74">
        <f t="shared" ref="T294:T295" si="125">S294+1</f>
        <v>14</v>
      </c>
      <c r="U294" s="74">
        <f t="shared" ref="U294:U295" si="126">T294+1</f>
        <v>15</v>
      </c>
      <c r="V294" s="74">
        <f t="shared" ref="V294:V295" si="127">U294+1</f>
        <v>16</v>
      </c>
      <c r="W294" s="74">
        <f t="shared" ref="W294:W295" si="128">V294+1</f>
        <v>17</v>
      </c>
      <c r="X294" s="74">
        <f t="shared" ref="X294:X295" si="129">W294+1</f>
        <v>18</v>
      </c>
      <c r="Y294" s="74">
        <f t="shared" ref="Y294:Y295" si="130">X294+1</f>
        <v>19</v>
      </c>
      <c r="Z294" s="74">
        <f t="shared" ref="Z294" si="131">Y294+1</f>
        <v>20</v>
      </c>
      <c r="AA294" s="74">
        <f>Z294+1</f>
        <v>21</v>
      </c>
      <c r="AB294" s="74">
        <f>AA294+1</f>
        <v>22</v>
      </c>
    </row>
    <row r="295" spans="1:28" s="776" customFormat="1">
      <c r="E295" s="72" t="s">
        <v>3</v>
      </c>
      <c r="F295" s="953">
        <v>1999</v>
      </c>
      <c r="G295" s="953">
        <f t="shared" si="112"/>
        <v>2000</v>
      </c>
      <c r="H295" s="953">
        <f t="shared" si="113"/>
        <v>2001</v>
      </c>
      <c r="I295" s="953">
        <f t="shared" si="114"/>
        <v>2002</v>
      </c>
      <c r="J295" s="953">
        <f t="shared" si="115"/>
        <v>2003</v>
      </c>
      <c r="K295" s="953">
        <f t="shared" si="116"/>
        <v>2004</v>
      </c>
      <c r="L295" s="953">
        <f t="shared" si="117"/>
        <v>2005</v>
      </c>
      <c r="M295" s="953">
        <f t="shared" si="118"/>
        <v>2006</v>
      </c>
      <c r="N295" s="953">
        <v>2007</v>
      </c>
      <c r="O295" s="953">
        <f>N295+1</f>
        <v>2008</v>
      </c>
      <c r="P295" s="953">
        <f t="shared" si="121"/>
        <v>2009</v>
      </c>
      <c r="Q295" s="953">
        <f t="shared" si="122"/>
        <v>2010</v>
      </c>
      <c r="R295" s="953">
        <f t="shared" si="123"/>
        <v>2011</v>
      </c>
      <c r="S295" s="953">
        <f t="shared" si="124"/>
        <v>2012</v>
      </c>
      <c r="T295" s="953">
        <f t="shared" si="125"/>
        <v>2013</v>
      </c>
      <c r="U295" s="953">
        <f t="shared" si="126"/>
        <v>2014</v>
      </c>
      <c r="V295" s="953">
        <f t="shared" si="127"/>
        <v>2015</v>
      </c>
      <c r="W295" s="953">
        <f t="shared" si="128"/>
        <v>2016</v>
      </c>
      <c r="X295" s="953">
        <f t="shared" si="129"/>
        <v>2017</v>
      </c>
      <c r="Y295" s="953">
        <f t="shared" si="130"/>
        <v>2018</v>
      </c>
      <c r="Z295" s="953">
        <f>Y295+1</f>
        <v>2019</v>
      </c>
      <c r="AA295" s="953">
        <f t="shared" ref="AA295" si="132">Z295+1</f>
        <v>2020</v>
      </c>
      <c r="AB295" s="953">
        <f t="shared" ref="AB295" si="133">AA295+1</f>
        <v>2021</v>
      </c>
    </row>
    <row r="296" spans="1:28" s="776" customFormat="1">
      <c r="A296" s="1441" t="s">
        <v>12</v>
      </c>
      <c r="B296" s="1441"/>
      <c r="C296" s="1441"/>
      <c r="D296" s="1441"/>
      <c r="E296" s="242"/>
      <c r="F296" s="793"/>
      <c r="G296" s="793"/>
      <c r="H296" s="793"/>
      <c r="I296" s="793"/>
      <c r="J296" s="793"/>
      <c r="K296" s="793"/>
      <c r="L296" s="793"/>
      <c r="M296" s="793"/>
      <c r="N296" s="793"/>
      <c r="O296" s="793"/>
      <c r="P296" s="890"/>
      <c r="Q296" s="890"/>
      <c r="R296" s="890"/>
      <c r="S296" s="890"/>
      <c r="T296" s="890"/>
      <c r="U296" s="890"/>
      <c r="V296" s="890"/>
      <c r="W296" s="890"/>
      <c r="X296" s="890"/>
      <c r="Y296" s="890"/>
      <c r="Z296" s="890"/>
      <c r="AA296" s="882"/>
      <c r="AB296" s="52"/>
    </row>
    <row r="297" spans="1:28" s="776" customFormat="1">
      <c r="A297" s="793"/>
      <c r="B297" s="921" t="s">
        <v>415</v>
      </c>
      <c r="C297" s="921"/>
      <c r="D297" s="921"/>
      <c r="E297" s="242"/>
      <c r="F297" s="793">
        <v>0</v>
      </c>
      <c r="G297" s="793">
        <v>0</v>
      </c>
      <c r="H297" s="793">
        <v>0</v>
      </c>
      <c r="I297" s="793">
        <v>0</v>
      </c>
      <c r="J297" s="793">
        <v>0</v>
      </c>
      <c r="K297" s="793">
        <v>0</v>
      </c>
      <c r="L297" s="793">
        <v>0</v>
      </c>
      <c r="M297" s="793">
        <v>0</v>
      </c>
      <c r="N297" s="793"/>
      <c r="O297" s="793"/>
      <c r="P297" s="890"/>
      <c r="Q297" s="890"/>
      <c r="R297" s="890"/>
      <c r="S297" s="890"/>
      <c r="T297" s="890"/>
      <c r="U297" s="890"/>
      <c r="V297" s="890"/>
      <c r="W297" s="890"/>
      <c r="X297" s="890"/>
      <c r="Y297" s="890"/>
      <c r="Z297" s="890"/>
      <c r="AA297" s="882"/>
      <c r="AB297" s="882"/>
    </row>
    <row r="298" spans="1:28" s="776" customFormat="1">
      <c r="A298" s="793"/>
      <c r="B298" s="242" t="s">
        <v>416</v>
      </c>
      <c r="C298" s="242"/>
      <c r="D298" s="895"/>
      <c r="E298" s="242"/>
      <c r="F298" s="793">
        <v>0</v>
      </c>
      <c r="G298" s="793">
        <v>0</v>
      </c>
      <c r="H298" s="793">
        <v>0</v>
      </c>
      <c r="I298" s="793">
        <v>0</v>
      </c>
      <c r="J298" s="793">
        <v>0</v>
      </c>
      <c r="K298" s="793">
        <v>0</v>
      </c>
      <c r="L298" s="793">
        <v>0</v>
      </c>
      <c r="M298" s="793">
        <v>0</v>
      </c>
      <c r="N298" s="793">
        <f t="shared" ref="N298:U298" si="134">N265+N282</f>
        <v>40943</v>
      </c>
      <c r="O298" s="793">
        <f t="shared" si="134"/>
        <v>139142</v>
      </c>
      <c r="P298" s="890">
        <f t="shared" si="134"/>
        <v>127016</v>
      </c>
      <c r="Q298" s="890">
        <f t="shared" si="134"/>
        <v>182895</v>
      </c>
      <c r="R298" s="890">
        <f t="shared" si="134"/>
        <v>53998</v>
      </c>
      <c r="S298" s="890">
        <f t="shared" si="134"/>
        <v>134600</v>
      </c>
      <c r="T298" s="890">
        <f t="shared" si="134"/>
        <v>185700</v>
      </c>
      <c r="U298" s="890">
        <f t="shared" si="134"/>
        <v>83000</v>
      </c>
      <c r="V298" s="890">
        <f t="shared" ref="V298:AA298" si="135">V265+V282</f>
        <v>102000</v>
      </c>
      <c r="W298" s="890">
        <f t="shared" si="135"/>
        <v>344000</v>
      </c>
      <c r="X298" s="890">
        <f t="shared" si="135"/>
        <v>230000</v>
      </c>
      <c r="Y298" s="890">
        <f t="shared" si="135"/>
        <v>213000</v>
      </c>
      <c r="Z298" s="890">
        <f t="shared" si="135"/>
        <v>309000</v>
      </c>
      <c r="AA298" s="882">
        <f t="shared" si="135"/>
        <v>365000</v>
      </c>
      <c r="AB298" s="882">
        <f t="shared" ref="AB298" si="136">AB265+AB282</f>
        <v>406000</v>
      </c>
    </row>
    <row r="299" spans="1:28" s="776" customFormat="1">
      <c r="A299" s="793"/>
      <c r="B299" s="242" t="s">
        <v>417</v>
      </c>
      <c r="C299" s="242"/>
      <c r="D299" s="593"/>
      <c r="E299" s="242"/>
      <c r="F299" s="793">
        <v>0</v>
      </c>
      <c r="G299" s="793">
        <v>0</v>
      </c>
      <c r="H299" s="793">
        <v>0</v>
      </c>
      <c r="I299" s="793">
        <v>0</v>
      </c>
      <c r="J299" s="793">
        <v>0</v>
      </c>
      <c r="K299" s="793">
        <v>0</v>
      </c>
      <c r="L299" s="793">
        <v>0</v>
      </c>
      <c r="M299" s="793">
        <v>0</v>
      </c>
      <c r="N299" s="892">
        <f t="shared" ref="N299:U299" si="137">N272+N290</f>
        <v>-127702</v>
      </c>
      <c r="O299" s="892">
        <f t="shared" si="137"/>
        <v>-170902</v>
      </c>
      <c r="P299" s="995">
        <f t="shared" si="137"/>
        <v>-139969</v>
      </c>
      <c r="Q299" s="995">
        <f t="shared" si="137"/>
        <v>-190981</v>
      </c>
      <c r="R299" s="995">
        <f t="shared" si="137"/>
        <v>-253525</v>
      </c>
      <c r="S299" s="995">
        <f t="shared" si="137"/>
        <v>-281600</v>
      </c>
      <c r="T299" s="995">
        <f t="shared" si="137"/>
        <v>-169500</v>
      </c>
      <c r="U299" s="995">
        <f t="shared" si="137"/>
        <v>-163000</v>
      </c>
      <c r="V299" s="995">
        <f t="shared" ref="V299:AA299" si="138">V272+V290</f>
        <v>-43000</v>
      </c>
      <c r="W299" s="995">
        <f t="shared" si="138"/>
        <v>-251000</v>
      </c>
      <c r="X299" s="995">
        <f t="shared" si="138"/>
        <v>-191000</v>
      </c>
      <c r="Y299" s="995">
        <f t="shared" si="138"/>
        <v>-181000</v>
      </c>
      <c r="Z299" s="995">
        <f t="shared" si="138"/>
        <v>-245000</v>
      </c>
      <c r="AA299" s="991">
        <f t="shared" si="138"/>
        <v>-342000</v>
      </c>
      <c r="AB299" s="991">
        <f t="shared" ref="AB299" si="139">AB272+AB290</f>
        <v>-194000</v>
      </c>
    </row>
    <row r="300" spans="1:28" s="776" customFormat="1">
      <c r="A300" s="793"/>
      <c r="B300" s="791" t="s">
        <v>418</v>
      </c>
      <c r="C300" s="73"/>
      <c r="D300" s="895"/>
      <c r="E300" s="242"/>
      <c r="F300" s="793">
        <v>0</v>
      </c>
      <c r="G300" s="793">
        <v>0</v>
      </c>
      <c r="H300" s="793">
        <v>0</v>
      </c>
      <c r="I300" s="793">
        <v>0</v>
      </c>
      <c r="J300" s="793">
        <v>0</v>
      </c>
      <c r="K300" s="793">
        <v>0</v>
      </c>
      <c r="L300" s="793">
        <v>0</v>
      </c>
      <c r="M300" s="793">
        <v>0</v>
      </c>
      <c r="N300" s="891">
        <f t="shared" ref="N300:S300" si="140">SUM(N298:N299)</f>
        <v>-86759</v>
      </c>
      <c r="O300" s="891">
        <f t="shared" si="140"/>
        <v>-31760</v>
      </c>
      <c r="P300" s="891">
        <f t="shared" si="140"/>
        <v>-12953</v>
      </c>
      <c r="Q300" s="891">
        <f t="shared" si="140"/>
        <v>-8086</v>
      </c>
      <c r="R300" s="891">
        <f t="shared" si="140"/>
        <v>-199527</v>
      </c>
      <c r="S300" s="891">
        <f t="shared" si="140"/>
        <v>-147000</v>
      </c>
      <c r="T300" s="891">
        <f t="shared" ref="T300:AA300" si="141">SUM(T298:T299)</f>
        <v>16200</v>
      </c>
      <c r="U300" s="891">
        <f t="shared" si="141"/>
        <v>-80000</v>
      </c>
      <c r="V300" s="891">
        <f t="shared" si="141"/>
        <v>59000</v>
      </c>
      <c r="W300" s="891">
        <f t="shared" si="141"/>
        <v>93000</v>
      </c>
      <c r="X300" s="891">
        <f t="shared" si="141"/>
        <v>39000</v>
      </c>
      <c r="Y300" s="891">
        <f t="shared" si="141"/>
        <v>32000</v>
      </c>
      <c r="Z300" s="891">
        <f t="shared" si="141"/>
        <v>64000</v>
      </c>
      <c r="AA300" s="882">
        <f t="shared" si="141"/>
        <v>23000</v>
      </c>
      <c r="AB300" s="882">
        <f t="shared" ref="AB300" si="142">SUM(AB298:AB299)</f>
        <v>212000</v>
      </c>
    </row>
    <row r="301" spans="1:28" s="776" customFormat="1">
      <c r="A301" s="793"/>
      <c r="B301" s="242"/>
      <c r="C301" s="73"/>
      <c r="D301" s="895"/>
      <c r="E301" s="242"/>
      <c r="F301" s="793">
        <v>0</v>
      </c>
      <c r="G301" s="793">
        <v>0</v>
      </c>
      <c r="H301" s="793">
        <v>0</v>
      </c>
      <c r="I301" s="793">
        <v>0</v>
      </c>
      <c r="J301" s="793">
        <v>0</v>
      </c>
      <c r="K301" s="793">
        <v>0</v>
      </c>
      <c r="L301" s="793">
        <v>0</v>
      </c>
      <c r="M301" s="793">
        <v>0</v>
      </c>
      <c r="N301" s="891">
        <f t="shared" ref="N301:Z301" si="143">N257-N300</f>
        <v>0</v>
      </c>
      <c r="O301" s="891">
        <f t="shared" si="143"/>
        <v>0</v>
      </c>
      <c r="P301" s="891">
        <f t="shared" si="143"/>
        <v>0</v>
      </c>
      <c r="Q301" s="891">
        <f t="shared" si="143"/>
        <v>0</v>
      </c>
      <c r="R301" s="891">
        <f t="shared" si="143"/>
        <v>0</v>
      </c>
      <c r="S301" s="891">
        <f t="shared" si="143"/>
        <v>0</v>
      </c>
      <c r="T301" s="891">
        <f t="shared" si="143"/>
        <v>0</v>
      </c>
      <c r="U301" s="891">
        <f t="shared" si="143"/>
        <v>0</v>
      </c>
      <c r="V301" s="891">
        <f t="shared" si="143"/>
        <v>1000</v>
      </c>
      <c r="W301" s="891">
        <f t="shared" si="143"/>
        <v>0</v>
      </c>
      <c r="X301" s="891">
        <f t="shared" si="143"/>
        <v>0</v>
      </c>
      <c r="Y301" s="891">
        <f t="shared" si="143"/>
        <v>0</v>
      </c>
      <c r="Z301" s="891">
        <f t="shared" si="143"/>
        <v>0</v>
      </c>
      <c r="AA301" s="882"/>
      <c r="AB301" s="890"/>
    </row>
    <row r="302" spans="1:28" s="776" customFormat="1">
      <c r="A302" s="793"/>
      <c r="B302" s="921" t="s">
        <v>6</v>
      </c>
      <c r="C302" s="921"/>
      <c r="D302" s="894"/>
      <c r="E302" s="242"/>
      <c r="F302" s="793">
        <v>0</v>
      </c>
      <c r="G302" s="793">
        <v>0</v>
      </c>
      <c r="H302" s="793">
        <v>0</v>
      </c>
      <c r="I302" s="793">
        <v>0</v>
      </c>
      <c r="J302" s="793">
        <v>0</v>
      </c>
      <c r="K302" s="793">
        <v>0</v>
      </c>
      <c r="L302" s="793">
        <v>0</v>
      </c>
      <c r="M302" s="793">
        <v>0</v>
      </c>
      <c r="N302" s="793"/>
      <c r="O302" s="793"/>
      <c r="P302" s="891"/>
      <c r="Q302" s="891"/>
      <c r="R302" s="891"/>
      <c r="S302" s="891"/>
      <c r="T302" s="891"/>
      <c r="U302" s="996"/>
      <c r="V302" s="996"/>
      <c r="W302" s="996"/>
      <c r="X302" s="996"/>
      <c r="Y302" s="996"/>
      <c r="Z302" s="996"/>
      <c r="AA302" s="882"/>
      <c r="AB302" s="890"/>
    </row>
    <row r="303" spans="1:28" s="776" customFormat="1">
      <c r="A303" s="793"/>
      <c r="B303" s="242" t="s">
        <v>419</v>
      </c>
      <c r="C303" s="73"/>
      <c r="D303" s="895"/>
      <c r="E303" s="242"/>
      <c r="F303" s="793">
        <v>0</v>
      </c>
      <c r="G303" s="793">
        <v>0</v>
      </c>
      <c r="H303" s="793">
        <v>0</v>
      </c>
      <c r="I303" s="793">
        <v>0</v>
      </c>
      <c r="J303" s="793">
        <v>0</v>
      </c>
      <c r="K303" s="793">
        <v>0</v>
      </c>
      <c r="L303" s="793">
        <v>0</v>
      </c>
      <c r="M303" s="793">
        <v>0</v>
      </c>
      <c r="N303" s="793">
        <f t="shared" ref="N303:AA303" si="144">N265</f>
        <v>26948</v>
      </c>
      <c r="O303" s="793">
        <f t="shared" si="144"/>
        <v>38856</v>
      </c>
      <c r="P303" s="793">
        <f t="shared" si="144"/>
        <v>110690</v>
      </c>
      <c r="Q303" s="793">
        <f t="shared" si="144"/>
        <v>83639</v>
      </c>
      <c r="R303" s="793">
        <f t="shared" si="144"/>
        <v>11941</v>
      </c>
      <c r="S303" s="793">
        <f t="shared" si="144"/>
        <v>29600</v>
      </c>
      <c r="T303" s="793">
        <f t="shared" si="144"/>
        <v>36400</v>
      </c>
      <c r="U303" s="793">
        <f t="shared" si="144"/>
        <v>10000</v>
      </c>
      <c r="V303" s="793">
        <f t="shared" si="144"/>
        <v>-1000</v>
      </c>
      <c r="W303" s="793">
        <f t="shared" si="144"/>
        <v>92000</v>
      </c>
      <c r="X303" s="793">
        <f t="shared" si="144"/>
        <v>52000</v>
      </c>
      <c r="Y303" s="793">
        <f t="shared" si="144"/>
        <v>61000</v>
      </c>
      <c r="Z303" s="793">
        <f t="shared" si="144"/>
        <v>114000</v>
      </c>
      <c r="AA303" s="882">
        <f t="shared" si="144"/>
        <v>223000</v>
      </c>
      <c r="AB303" s="882">
        <f t="shared" ref="AB303" si="145">AB265</f>
        <v>106000</v>
      </c>
    </row>
    <row r="304" spans="1:28" s="776" customFormat="1">
      <c r="A304" s="793"/>
      <c r="B304" s="242" t="s">
        <v>420</v>
      </c>
      <c r="C304" s="73"/>
      <c r="D304" s="895"/>
      <c r="E304" s="242"/>
      <c r="F304" s="793">
        <v>0</v>
      </c>
      <c r="G304" s="793">
        <v>0</v>
      </c>
      <c r="H304" s="793">
        <v>0</v>
      </c>
      <c r="I304" s="793">
        <v>0</v>
      </c>
      <c r="J304" s="793">
        <v>0</v>
      </c>
      <c r="K304" s="793">
        <v>0</v>
      </c>
      <c r="L304" s="793">
        <v>0</v>
      </c>
      <c r="M304" s="793">
        <v>0</v>
      </c>
      <c r="N304" s="892">
        <f t="shared" ref="N304:AA304" si="146">N282</f>
        <v>13995</v>
      </c>
      <c r="O304" s="892">
        <f t="shared" si="146"/>
        <v>100286</v>
      </c>
      <c r="P304" s="892">
        <f t="shared" si="146"/>
        <v>16326</v>
      </c>
      <c r="Q304" s="892">
        <f t="shared" si="146"/>
        <v>99256</v>
      </c>
      <c r="R304" s="892">
        <f t="shared" si="146"/>
        <v>42057</v>
      </c>
      <c r="S304" s="892">
        <f t="shared" si="146"/>
        <v>105000</v>
      </c>
      <c r="T304" s="892">
        <f t="shared" si="146"/>
        <v>149300</v>
      </c>
      <c r="U304" s="892">
        <f t="shared" si="146"/>
        <v>73000</v>
      </c>
      <c r="V304" s="892">
        <f t="shared" si="146"/>
        <v>103000</v>
      </c>
      <c r="W304" s="892">
        <f t="shared" si="146"/>
        <v>252000</v>
      </c>
      <c r="X304" s="892">
        <f t="shared" si="146"/>
        <v>178000</v>
      </c>
      <c r="Y304" s="892">
        <f t="shared" si="146"/>
        <v>152000</v>
      </c>
      <c r="Z304" s="892">
        <f t="shared" si="146"/>
        <v>195000</v>
      </c>
      <c r="AA304" s="991">
        <f t="shared" si="146"/>
        <v>142000</v>
      </c>
      <c r="AB304" s="991">
        <f t="shared" ref="AB304" si="147">AB282</f>
        <v>300000</v>
      </c>
    </row>
    <row r="305" spans="1:28" s="776" customFormat="1">
      <c r="A305" s="793"/>
      <c r="B305" s="791" t="s">
        <v>6</v>
      </c>
      <c r="C305" s="73"/>
      <c r="D305" s="895"/>
      <c r="E305" s="242"/>
      <c r="F305" s="793">
        <v>0</v>
      </c>
      <c r="G305" s="793">
        <v>0</v>
      </c>
      <c r="H305" s="793">
        <v>0</v>
      </c>
      <c r="I305" s="793">
        <v>0</v>
      </c>
      <c r="J305" s="793">
        <v>0</v>
      </c>
      <c r="K305" s="793">
        <v>0</v>
      </c>
      <c r="L305" s="793">
        <v>0</v>
      </c>
      <c r="M305" s="793">
        <v>0</v>
      </c>
      <c r="N305" s="793">
        <f>SUM(N303:N304)</f>
        <v>40943</v>
      </c>
      <c r="O305" s="793">
        <f t="shared" ref="O305:Y305" si="148">SUM(O303:O304)</f>
        <v>139142</v>
      </c>
      <c r="P305" s="793">
        <f t="shared" si="148"/>
        <v>127016</v>
      </c>
      <c r="Q305" s="793">
        <f t="shared" si="148"/>
        <v>182895</v>
      </c>
      <c r="R305" s="793">
        <f t="shared" si="148"/>
        <v>53998</v>
      </c>
      <c r="S305" s="793">
        <f t="shared" si="148"/>
        <v>134600</v>
      </c>
      <c r="T305" s="793">
        <f t="shared" si="148"/>
        <v>185700</v>
      </c>
      <c r="U305" s="793">
        <f t="shared" si="148"/>
        <v>83000</v>
      </c>
      <c r="V305" s="1284">
        <f t="shared" si="148"/>
        <v>102000</v>
      </c>
      <c r="W305" s="1288">
        <f t="shared" si="148"/>
        <v>344000</v>
      </c>
      <c r="X305" s="1288">
        <f t="shared" si="148"/>
        <v>230000</v>
      </c>
      <c r="Y305" s="1288">
        <f t="shared" si="148"/>
        <v>213000</v>
      </c>
      <c r="Z305" s="1288">
        <f>SUM(Z303:Z304)</f>
        <v>309000</v>
      </c>
      <c r="AA305" s="882">
        <f>SUM(AA303:AA304)</f>
        <v>365000</v>
      </c>
      <c r="AB305" s="882">
        <f>SUM(AB303:AB304)</f>
        <v>406000</v>
      </c>
    </row>
    <row r="306" spans="1:28" s="776" customFormat="1">
      <c r="A306" s="793"/>
      <c r="B306" s="242"/>
      <c r="C306" s="73"/>
      <c r="D306" s="895"/>
      <c r="E306" s="242"/>
      <c r="F306" s="793">
        <v>0</v>
      </c>
      <c r="G306" s="793">
        <v>0</v>
      </c>
      <c r="H306" s="793">
        <v>0</v>
      </c>
      <c r="I306" s="793">
        <v>0</v>
      </c>
      <c r="J306" s="793">
        <v>0</v>
      </c>
      <c r="K306" s="793">
        <v>0</v>
      </c>
      <c r="L306" s="793">
        <v>0</v>
      </c>
      <c r="M306" s="793">
        <v>0</v>
      </c>
      <c r="N306" s="793">
        <f t="shared" ref="N306:Z306" si="149">N298-N305</f>
        <v>0</v>
      </c>
      <c r="O306" s="793">
        <f t="shared" si="149"/>
        <v>0</v>
      </c>
      <c r="P306" s="793">
        <f t="shared" si="149"/>
        <v>0</v>
      </c>
      <c r="Q306" s="793">
        <f t="shared" si="149"/>
        <v>0</v>
      </c>
      <c r="R306" s="793">
        <f t="shared" si="149"/>
        <v>0</v>
      </c>
      <c r="S306" s="793">
        <f t="shared" si="149"/>
        <v>0</v>
      </c>
      <c r="T306" s="793">
        <f t="shared" si="149"/>
        <v>0</v>
      </c>
      <c r="U306" s="793">
        <f t="shared" si="149"/>
        <v>0</v>
      </c>
      <c r="V306" s="1288">
        <f t="shared" si="149"/>
        <v>0</v>
      </c>
      <c r="W306" s="1288">
        <f t="shared" si="149"/>
        <v>0</v>
      </c>
      <c r="X306" s="1288">
        <f t="shared" si="149"/>
        <v>0</v>
      </c>
      <c r="Y306" s="1288">
        <f t="shared" si="149"/>
        <v>0</v>
      </c>
      <c r="Z306" s="1288">
        <f t="shared" si="149"/>
        <v>0</v>
      </c>
      <c r="AA306" s="882"/>
      <c r="AB306" s="890"/>
    </row>
    <row r="307" spans="1:28" s="776" customFormat="1">
      <c r="A307" s="793"/>
      <c r="B307" s="921" t="s">
        <v>7</v>
      </c>
      <c r="C307" s="921"/>
      <c r="D307" s="894"/>
      <c r="E307" s="242"/>
      <c r="F307" s="793">
        <v>0</v>
      </c>
      <c r="G307" s="793">
        <v>0</v>
      </c>
      <c r="H307" s="793">
        <v>0</v>
      </c>
      <c r="I307" s="793">
        <v>0</v>
      </c>
      <c r="J307" s="793">
        <v>0</v>
      </c>
      <c r="K307" s="793">
        <v>0</v>
      </c>
      <c r="L307" s="793">
        <v>0</v>
      </c>
      <c r="M307" s="793">
        <v>0</v>
      </c>
      <c r="N307" s="793"/>
      <c r="O307" s="793"/>
      <c r="P307" s="891"/>
      <c r="Q307" s="891"/>
      <c r="R307" s="891"/>
      <c r="S307" s="891"/>
      <c r="T307" s="891"/>
      <c r="U307" s="891"/>
      <c r="V307" s="883"/>
      <c r="W307" s="883"/>
      <c r="X307" s="883"/>
      <c r="Y307" s="883"/>
      <c r="Z307" s="883"/>
      <c r="AA307" s="882"/>
      <c r="AB307" s="890"/>
    </row>
    <row r="308" spans="1:28" s="776" customFormat="1">
      <c r="A308" s="793"/>
      <c r="B308" s="242" t="s">
        <v>419</v>
      </c>
      <c r="C308" s="73"/>
      <c r="D308" s="895"/>
      <c r="E308" s="242"/>
      <c r="F308" s="793">
        <v>0</v>
      </c>
      <c r="G308" s="793">
        <v>0</v>
      </c>
      <c r="H308" s="793">
        <v>0</v>
      </c>
      <c r="I308" s="793">
        <v>0</v>
      </c>
      <c r="J308" s="793">
        <v>0</v>
      </c>
      <c r="K308" s="793">
        <v>0</v>
      </c>
      <c r="L308" s="793">
        <v>0</v>
      </c>
      <c r="M308" s="793">
        <v>0</v>
      </c>
      <c r="N308" s="793">
        <f t="shared" ref="N308:AA308" si="150">-N272</f>
        <v>124669</v>
      </c>
      <c r="O308" s="793">
        <f t="shared" si="150"/>
        <v>56448</v>
      </c>
      <c r="P308" s="793">
        <f t="shared" si="150"/>
        <v>52054</v>
      </c>
      <c r="Q308" s="793">
        <f t="shared" si="150"/>
        <v>84752</v>
      </c>
      <c r="R308" s="793">
        <f t="shared" si="150"/>
        <v>111076</v>
      </c>
      <c r="S308" s="793">
        <f t="shared" si="150"/>
        <v>203400</v>
      </c>
      <c r="T308" s="793">
        <f t="shared" si="150"/>
        <v>99000</v>
      </c>
      <c r="U308" s="793">
        <f t="shared" si="150"/>
        <v>113000</v>
      </c>
      <c r="V308" s="1288">
        <f t="shared" si="150"/>
        <v>1000</v>
      </c>
      <c r="W308" s="1288">
        <f t="shared" si="150"/>
        <v>166000</v>
      </c>
      <c r="X308" s="1288">
        <f t="shared" si="150"/>
        <v>114000</v>
      </c>
      <c r="Y308" s="1288">
        <f t="shared" si="150"/>
        <v>114000</v>
      </c>
      <c r="Z308" s="1288">
        <f t="shared" si="150"/>
        <v>184000</v>
      </c>
      <c r="AA308" s="882">
        <f t="shared" si="150"/>
        <v>238000</v>
      </c>
      <c r="AB308" s="882">
        <f t="shared" ref="AB308" si="151">-AB272</f>
        <v>145000</v>
      </c>
    </row>
    <row r="309" spans="1:28" s="776" customFormat="1">
      <c r="A309" s="793"/>
      <c r="B309" s="242" t="s">
        <v>420</v>
      </c>
      <c r="C309" s="73"/>
      <c r="D309" s="895"/>
      <c r="E309" s="242"/>
      <c r="F309" s="793">
        <v>0</v>
      </c>
      <c r="G309" s="793">
        <v>0</v>
      </c>
      <c r="H309" s="793">
        <v>0</v>
      </c>
      <c r="I309" s="793">
        <v>0</v>
      </c>
      <c r="J309" s="793">
        <v>0</v>
      </c>
      <c r="K309" s="793">
        <v>0</v>
      </c>
      <c r="L309" s="793">
        <v>0</v>
      </c>
      <c r="M309" s="793">
        <v>0</v>
      </c>
      <c r="N309" s="892">
        <f t="shared" ref="N309:AA309" si="152">-N290</f>
        <v>3033</v>
      </c>
      <c r="O309" s="892">
        <f t="shared" si="152"/>
        <v>114454</v>
      </c>
      <c r="P309" s="892">
        <f t="shared" si="152"/>
        <v>87915</v>
      </c>
      <c r="Q309" s="892">
        <f t="shared" si="152"/>
        <v>106229</v>
      </c>
      <c r="R309" s="892">
        <f t="shared" si="152"/>
        <v>142449</v>
      </c>
      <c r="S309" s="892">
        <f t="shared" si="152"/>
        <v>78200</v>
      </c>
      <c r="T309" s="892">
        <f t="shared" si="152"/>
        <v>70500</v>
      </c>
      <c r="U309" s="892">
        <f t="shared" si="152"/>
        <v>50000</v>
      </c>
      <c r="V309" s="933">
        <f t="shared" si="152"/>
        <v>42000</v>
      </c>
      <c r="W309" s="933">
        <f t="shared" si="152"/>
        <v>85000</v>
      </c>
      <c r="X309" s="933">
        <f t="shared" si="152"/>
        <v>77000</v>
      </c>
      <c r="Y309" s="933">
        <f t="shared" si="152"/>
        <v>67000</v>
      </c>
      <c r="Z309" s="933">
        <f t="shared" si="152"/>
        <v>61000</v>
      </c>
      <c r="AA309" s="991">
        <f t="shared" si="152"/>
        <v>104000</v>
      </c>
      <c r="AB309" s="991">
        <f t="shared" ref="AB309" si="153">-AB290</f>
        <v>49000</v>
      </c>
    </row>
    <row r="310" spans="1:28" s="776" customFormat="1">
      <c r="A310" s="793"/>
      <c r="B310" s="791" t="s">
        <v>7</v>
      </c>
      <c r="C310" s="73"/>
      <c r="D310" s="895"/>
      <c r="E310" s="242"/>
      <c r="F310" s="793">
        <v>0</v>
      </c>
      <c r="G310" s="793">
        <v>0</v>
      </c>
      <c r="H310" s="793">
        <v>0</v>
      </c>
      <c r="I310" s="793">
        <v>0</v>
      </c>
      <c r="J310" s="793">
        <v>0</v>
      </c>
      <c r="K310" s="793">
        <v>0</v>
      </c>
      <c r="L310" s="793">
        <v>0</v>
      </c>
      <c r="M310" s="793">
        <v>0</v>
      </c>
      <c r="N310" s="793">
        <f>SUM(N308:N309)</f>
        <v>127702</v>
      </c>
      <c r="O310" s="793">
        <f t="shared" ref="O310:AA310" si="154">SUM(O308:O309)</f>
        <v>170902</v>
      </c>
      <c r="P310" s="793">
        <f t="shared" si="154"/>
        <v>139969</v>
      </c>
      <c r="Q310" s="793">
        <f t="shared" si="154"/>
        <v>190981</v>
      </c>
      <c r="R310" s="793">
        <f t="shared" si="154"/>
        <v>253525</v>
      </c>
      <c r="S310" s="793">
        <f t="shared" si="154"/>
        <v>281600</v>
      </c>
      <c r="T310" s="793">
        <f t="shared" si="154"/>
        <v>169500</v>
      </c>
      <c r="U310" s="793">
        <f t="shared" si="154"/>
        <v>163000</v>
      </c>
      <c r="V310" s="1284">
        <f t="shared" si="154"/>
        <v>43000</v>
      </c>
      <c r="W310" s="1284">
        <f t="shared" si="154"/>
        <v>251000</v>
      </c>
      <c r="X310" s="1284">
        <f t="shared" si="154"/>
        <v>191000</v>
      </c>
      <c r="Y310" s="1284">
        <f t="shared" si="154"/>
        <v>181000</v>
      </c>
      <c r="Z310" s="1284">
        <f t="shared" si="154"/>
        <v>245000</v>
      </c>
      <c r="AA310" s="882">
        <f t="shared" si="154"/>
        <v>342000</v>
      </c>
      <c r="AB310" s="882">
        <f t="shared" ref="AB310" si="155">SUM(AB308:AB309)</f>
        <v>194000</v>
      </c>
    </row>
    <row r="311" spans="1:28" s="776" customFormat="1">
      <c r="A311" s="793"/>
      <c r="B311" s="242"/>
      <c r="C311" s="73"/>
      <c r="D311" s="895"/>
      <c r="E311" s="242"/>
      <c r="F311" s="793">
        <v>0</v>
      </c>
      <c r="G311" s="793">
        <v>0</v>
      </c>
      <c r="H311" s="793">
        <v>0</v>
      </c>
      <c r="I311" s="793">
        <v>0</v>
      </c>
      <c r="J311" s="793">
        <v>0</v>
      </c>
      <c r="K311" s="793">
        <v>0</v>
      </c>
      <c r="L311" s="793">
        <v>0</v>
      </c>
      <c r="M311" s="793">
        <v>0</v>
      </c>
      <c r="N311" s="793">
        <v>0</v>
      </c>
      <c r="O311" s="793">
        <v>0</v>
      </c>
      <c r="P311" s="793">
        <v>0</v>
      </c>
      <c r="Q311" s="793">
        <v>0</v>
      </c>
      <c r="R311" s="793">
        <v>0</v>
      </c>
      <c r="S311" s="793">
        <v>0</v>
      </c>
      <c r="T311" s="793">
        <v>0</v>
      </c>
      <c r="U311" s="793">
        <v>0</v>
      </c>
      <c r="V311" s="793">
        <v>0</v>
      </c>
      <c r="W311" s="793">
        <v>0</v>
      </c>
      <c r="X311" s="793">
        <v>0</v>
      </c>
      <c r="Y311" s="793">
        <v>0</v>
      </c>
      <c r="Z311" s="793">
        <v>0</v>
      </c>
      <c r="AA311" s="793">
        <v>0</v>
      </c>
      <c r="AB311" s="793">
        <v>0</v>
      </c>
    </row>
    <row r="312" spans="1:28" s="776" customFormat="1">
      <c r="A312" s="793"/>
      <c r="B312" s="921" t="s">
        <v>421</v>
      </c>
      <c r="C312" s="74"/>
      <c r="D312" s="894"/>
      <c r="E312" s="242"/>
      <c r="F312" s="793">
        <v>0</v>
      </c>
      <c r="G312" s="793">
        <v>0</v>
      </c>
      <c r="H312" s="793">
        <v>0</v>
      </c>
      <c r="I312" s="793">
        <v>0</v>
      </c>
      <c r="J312" s="793">
        <v>0</v>
      </c>
      <c r="K312" s="793">
        <v>0</v>
      </c>
      <c r="L312" s="793">
        <v>0</v>
      </c>
      <c r="M312" s="793">
        <v>0</v>
      </c>
      <c r="N312" s="793">
        <f>N305-N310</f>
        <v>-86759</v>
      </c>
      <c r="O312" s="793">
        <f t="shared" ref="O312:AA312" si="156">O305-O310</f>
        <v>-31760</v>
      </c>
      <c r="P312" s="793">
        <f t="shared" si="156"/>
        <v>-12953</v>
      </c>
      <c r="Q312" s="793">
        <f t="shared" si="156"/>
        <v>-8086</v>
      </c>
      <c r="R312" s="793">
        <f t="shared" si="156"/>
        <v>-199527</v>
      </c>
      <c r="S312" s="793">
        <f t="shared" si="156"/>
        <v>-147000</v>
      </c>
      <c r="T312" s="793">
        <f t="shared" si="156"/>
        <v>16200</v>
      </c>
      <c r="U312" s="793">
        <f t="shared" si="156"/>
        <v>-80000</v>
      </c>
      <c r="V312" s="1284">
        <f t="shared" si="156"/>
        <v>59000</v>
      </c>
      <c r="W312" s="1284">
        <f t="shared" si="156"/>
        <v>93000</v>
      </c>
      <c r="X312" s="1284">
        <f t="shared" si="156"/>
        <v>39000</v>
      </c>
      <c r="Y312" s="1284">
        <f t="shared" si="156"/>
        <v>32000</v>
      </c>
      <c r="Z312" s="1284">
        <f t="shared" si="156"/>
        <v>64000</v>
      </c>
      <c r="AA312" s="882">
        <f t="shared" si="156"/>
        <v>23000</v>
      </c>
      <c r="AB312" s="882">
        <f t="shared" ref="AB312" si="157">AB305-AB310</f>
        <v>212000</v>
      </c>
    </row>
    <row r="313" spans="1:28" s="776" customFormat="1">
      <c r="A313" s="793"/>
      <c r="B313" s="242"/>
      <c r="C313" s="73"/>
      <c r="D313" s="895"/>
      <c r="E313" s="242"/>
      <c r="F313" s="793">
        <v>0</v>
      </c>
      <c r="G313" s="793">
        <v>0</v>
      </c>
      <c r="H313" s="793">
        <v>0</v>
      </c>
      <c r="I313" s="793">
        <v>0</v>
      </c>
      <c r="J313" s="793">
        <v>0</v>
      </c>
      <c r="K313" s="793">
        <v>0</v>
      </c>
      <c r="L313" s="793">
        <v>0</v>
      </c>
      <c r="M313" s="793">
        <v>0</v>
      </c>
      <c r="N313" s="793">
        <f t="shared" ref="N313:AA313" si="158">N257-N312</f>
        <v>0</v>
      </c>
      <c r="O313" s="793">
        <f t="shared" si="158"/>
        <v>0</v>
      </c>
      <c r="P313" s="793">
        <f t="shared" si="158"/>
        <v>0</v>
      </c>
      <c r="Q313" s="793">
        <f t="shared" si="158"/>
        <v>0</v>
      </c>
      <c r="R313" s="793">
        <f t="shared" si="158"/>
        <v>0</v>
      </c>
      <c r="S313" s="793">
        <f t="shared" si="158"/>
        <v>0</v>
      </c>
      <c r="T313" s="793">
        <f t="shared" si="158"/>
        <v>0</v>
      </c>
      <c r="U313" s="793">
        <f t="shared" si="158"/>
        <v>0</v>
      </c>
      <c r="V313" s="1284">
        <f t="shared" si="158"/>
        <v>1000</v>
      </c>
      <c r="W313" s="1284">
        <f t="shared" si="158"/>
        <v>0</v>
      </c>
      <c r="X313" s="1284">
        <f t="shared" si="158"/>
        <v>0</v>
      </c>
      <c r="Y313" s="1284">
        <f t="shared" si="158"/>
        <v>0</v>
      </c>
      <c r="Z313" s="1284">
        <f t="shared" si="158"/>
        <v>0</v>
      </c>
      <c r="AA313" s="882">
        <f t="shared" si="158"/>
        <v>0</v>
      </c>
      <c r="AB313" s="882">
        <f t="shared" ref="AB313" si="159">AB257-AB312</f>
        <v>0</v>
      </c>
    </row>
    <row r="314" spans="1:28" s="776" customFormat="1">
      <c r="A314" s="793"/>
      <c r="B314" s="791" t="s">
        <v>142</v>
      </c>
      <c r="C314" s="73"/>
      <c r="D314" s="895"/>
      <c r="E314" s="242"/>
      <c r="F314" s="793">
        <v>0</v>
      </c>
      <c r="G314" s="793">
        <v>0</v>
      </c>
      <c r="H314" s="793">
        <v>0</v>
      </c>
      <c r="I314" s="793">
        <v>0</v>
      </c>
      <c r="J314" s="793">
        <v>0</v>
      </c>
      <c r="K314" s="793">
        <v>0</v>
      </c>
      <c r="L314" s="793">
        <v>0</v>
      </c>
      <c r="M314" s="793">
        <v>0</v>
      </c>
      <c r="N314" s="793"/>
      <c r="O314" s="793"/>
      <c r="P314" s="891"/>
      <c r="Q314" s="891"/>
      <c r="R314" s="891"/>
      <c r="S314" s="891"/>
      <c r="T314" s="891"/>
      <c r="U314" s="891"/>
      <c r="V314" s="891"/>
      <c r="W314" s="891"/>
      <c r="X314" s="891"/>
      <c r="Y314" s="891"/>
      <c r="Z314" s="891"/>
      <c r="AA314" s="882"/>
      <c r="AB314" s="890"/>
    </row>
    <row r="315" spans="1:28" s="776" customFormat="1">
      <c r="A315" s="793"/>
      <c r="B315" s="242" t="s">
        <v>419</v>
      </c>
      <c r="C315" s="73"/>
      <c r="D315" s="895"/>
      <c r="E315" s="242"/>
      <c r="F315" s="793">
        <v>0</v>
      </c>
      <c r="G315" s="793">
        <v>0</v>
      </c>
      <c r="H315" s="793">
        <v>0</v>
      </c>
      <c r="I315" s="793">
        <v>0</v>
      </c>
      <c r="J315" s="793">
        <v>0</v>
      </c>
      <c r="K315" s="793">
        <v>0</v>
      </c>
      <c r="L315" s="793">
        <v>0</v>
      </c>
      <c r="M315" s="793">
        <v>0</v>
      </c>
      <c r="N315" s="793">
        <f t="shared" ref="N315:AA315" si="160">N303</f>
        <v>26948</v>
      </c>
      <c r="O315" s="793">
        <f t="shared" si="160"/>
        <v>38856</v>
      </c>
      <c r="P315" s="793">
        <f t="shared" si="160"/>
        <v>110690</v>
      </c>
      <c r="Q315" s="793">
        <f t="shared" si="160"/>
        <v>83639</v>
      </c>
      <c r="R315" s="793">
        <f t="shared" si="160"/>
        <v>11941</v>
      </c>
      <c r="S315" s="793">
        <f t="shared" si="160"/>
        <v>29600</v>
      </c>
      <c r="T315" s="793">
        <f t="shared" si="160"/>
        <v>36400</v>
      </c>
      <c r="U315" s="793">
        <f t="shared" si="160"/>
        <v>10000</v>
      </c>
      <c r="V315" s="793">
        <f t="shared" si="160"/>
        <v>-1000</v>
      </c>
      <c r="W315" s="793">
        <f t="shared" si="160"/>
        <v>92000</v>
      </c>
      <c r="X315" s="793">
        <f t="shared" si="160"/>
        <v>52000</v>
      </c>
      <c r="Y315" s="793">
        <f t="shared" si="160"/>
        <v>61000</v>
      </c>
      <c r="Z315" s="793">
        <f t="shared" si="160"/>
        <v>114000</v>
      </c>
      <c r="AA315" s="882">
        <f t="shared" si="160"/>
        <v>223000</v>
      </c>
      <c r="AB315" s="882">
        <f t="shared" ref="AB315" si="161">AB303</f>
        <v>106000</v>
      </c>
    </row>
    <row r="316" spans="1:28" s="776" customFormat="1">
      <c r="A316" s="793"/>
      <c r="B316" s="74" t="s">
        <v>420</v>
      </c>
      <c r="C316" s="74"/>
      <c r="D316" s="895"/>
      <c r="E316" s="242"/>
      <c r="F316" s="793">
        <v>0</v>
      </c>
      <c r="G316" s="793">
        <v>0</v>
      </c>
      <c r="H316" s="793">
        <v>0</v>
      </c>
      <c r="I316" s="793">
        <v>0</v>
      </c>
      <c r="J316" s="793">
        <v>0</v>
      </c>
      <c r="K316" s="793">
        <v>0</v>
      </c>
      <c r="L316" s="793">
        <v>0</v>
      </c>
      <c r="M316" s="793">
        <v>0</v>
      </c>
      <c r="N316" s="892">
        <f t="shared" ref="N316:AA316" si="162">N304</f>
        <v>13995</v>
      </c>
      <c r="O316" s="892">
        <f t="shared" si="162"/>
        <v>100286</v>
      </c>
      <c r="P316" s="892">
        <f t="shared" si="162"/>
        <v>16326</v>
      </c>
      <c r="Q316" s="892">
        <f t="shared" si="162"/>
        <v>99256</v>
      </c>
      <c r="R316" s="892">
        <f t="shared" si="162"/>
        <v>42057</v>
      </c>
      <c r="S316" s="892">
        <f t="shared" si="162"/>
        <v>105000</v>
      </c>
      <c r="T316" s="892">
        <f t="shared" si="162"/>
        <v>149300</v>
      </c>
      <c r="U316" s="892">
        <f t="shared" si="162"/>
        <v>73000</v>
      </c>
      <c r="V316" s="892">
        <f t="shared" si="162"/>
        <v>103000</v>
      </c>
      <c r="W316" s="892">
        <f t="shared" si="162"/>
        <v>252000</v>
      </c>
      <c r="X316" s="892">
        <f t="shared" si="162"/>
        <v>178000</v>
      </c>
      <c r="Y316" s="892">
        <f t="shared" si="162"/>
        <v>152000</v>
      </c>
      <c r="Z316" s="892">
        <f t="shared" si="162"/>
        <v>195000</v>
      </c>
      <c r="AA316" s="991">
        <f t="shared" si="162"/>
        <v>142000</v>
      </c>
      <c r="AB316" s="991">
        <f t="shared" ref="AB316" si="163">AB304</f>
        <v>300000</v>
      </c>
    </row>
    <row r="317" spans="1:28" s="776" customFormat="1">
      <c r="A317" s="793"/>
      <c r="B317" s="242" t="s">
        <v>6</v>
      </c>
      <c r="C317" s="73"/>
      <c r="D317" s="895"/>
      <c r="E317" s="242"/>
      <c r="F317" s="793">
        <v>0</v>
      </c>
      <c r="G317" s="793">
        <v>0</v>
      </c>
      <c r="H317" s="793">
        <v>0</v>
      </c>
      <c r="I317" s="793">
        <v>0</v>
      </c>
      <c r="J317" s="793">
        <v>0</v>
      </c>
      <c r="K317" s="793">
        <v>0</v>
      </c>
      <c r="L317" s="793">
        <v>0</v>
      </c>
      <c r="M317" s="793">
        <f>M255</f>
        <v>60553</v>
      </c>
      <c r="N317" s="793">
        <f>SUM(N315:N316)</f>
        <v>40943</v>
      </c>
      <c r="O317" s="793">
        <f t="shared" ref="O317:AA317" si="164">SUM(O315:O316)</f>
        <v>139142</v>
      </c>
      <c r="P317" s="793">
        <f t="shared" si="164"/>
        <v>127016</v>
      </c>
      <c r="Q317" s="793">
        <f t="shared" si="164"/>
        <v>182895</v>
      </c>
      <c r="R317" s="793">
        <f t="shared" si="164"/>
        <v>53998</v>
      </c>
      <c r="S317" s="793">
        <f t="shared" si="164"/>
        <v>134600</v>
      </c>
      <c r="T317" s="793">
        <f t="shared" si="164"/>
        <v>185700</v>
      </c>
      <c r="U317" s="793">
        <f t="shared" si="164"/>
        <v>83000</v>
      </c>
      <c r="V317" s="793">
        <f t="shared" si="164"/>
        <v>102000</v>
      </c>
      <c r="W317" s="793">
        <f t="shared" si="164"/>
        <v>344000</v>
      </c>
      <c r="X317" s="793">
        <f t="shared" si="164"/>
        <v>230000</v>
      </c>
      <c r="Y317" s="793">
        <f t="shared" si="164"/>
        <v>213000</v>
      </c>
      <c r="Z317" s="793">
        <f t="shared" si="164"/>
        <v>309000</v>
      </c>
      <c r="AA317" s="882">
        <f t="shared" si="164"/>
        <v>365000</v>
      </c>
      <c r="AB317" s="882">
        <f t="shared" ref="AB317" si="165">SUM(AB315:AB316)</f>
        <v>406000</v>
      </c>
    </row>
    <row r="318" spans="1:28" s="776" customFormat="1">
      <c r="A318" s="793"/>
      <c r="B318" s="791" t="s">
        <v>401</v>
      </c>
      <c r="C318" s="73"/>
      <c r="D318" s="895"/>
      <c r="E318" s="242"/>
      <c r="F318" s="793"/>
      <c r="G318" s="793"/>
      <c r="H318" s="793"/>
      <c r="I318" s="793"/>
      <c r="J318" s="793"/>
      <c r="K318" s="793"/>
      <c r="L318" s="793"/>
      <c r="M318" s="793"/>
      <c r="N318" s="793"/>
      <c r="O318" s="793"/>
      <c r="P318" s="793"/>
      <c r="Q318" s="793"/>
      <c r="R318" s="793"/>
      <c r="S318" s="793"/>
      <c r="T318" s="793"/>
      <c r="U318" s="793"/>
      <c r="V318" s="793"/>
      <c r="W318" s="793"/>
      <c r="X318" s="793">
        <v>0</v>
      </c>
      <c r="Y318" s="793">
        <v>0</v>
      </c>
      <c r="Z318" s="793">
        <v>0</v>
      </c>
      <c r="AA318" s="882">
        <v>0</v>
      </c>
      <c r="AB318" s="882">
        <v>0</v>
      </c>
    </row>
    <row r="319" spans="1:28" s="776" customFormat="1">
      <c r="A319" s="793"/>
      <c r="B319" s="242" t="s">
        <v>419</v>
      </c>
      <c r="C319" s="73"/>
      <c r="D319" s="895"/>
      <c r="E319" s="242"/>
      <c r="F319" s="793">
        <v>0</v>
      </c>
      <c r="G319" s="793">
        <v>0</v>
      </c>
      <c r="H319" s="793">
        <v>0</v>
      </c>
      <c r="I319" s="793">
        <v>0</v>
      </c>
      <c r="J319" s="793">
        <v>0</v>
      </c>
      <c r="K319" s="793">
        <v>0</v>
      </c>
      <c r="L319" s="793">
        <v>0</v>
      </c>
      <c r="M319" s="793">
        <v>0</v>
      </c>
      <c r="N319" s="793">
        <f t="shared" ref="N319:AA319" si="166">N308</f>
        <v>124669</v>
      </c>
      <c r="O319" s="793">
        <f t="shared" si="166"/>
        <v>56448</v>
      </c>
      <c r="P319" s="793">
        <f t="shared" si="166"/>
        <v>52054</v>
      </c>
      <c r="Q319" s="793">
        <f t="shared" si="166"/>
        <v>84752</v>
      </c>
      <c r="R319" s="793">
        <f t="shared" si="166"/>
        <v>111076</v>
      </c>
      <c r="S319" s="793">
        <f t="shared" si="166"/>
        <v>203400</v>
      </c>
      <c r="T319" s="793">
        <f t="shared" si="166"/>
        <v>99000</v>
      </c>
      <c r="U319" s="793">
        <f t="shared" si="166"/>
        <v>113000</v>
      </c>
      <c r="V319" s="793">
        <f t="shared" si="166"/>
        <v>1000</v>
      </c>
      <c r="W319" s="793">
        <f t="shared" si="166"/>
        <v>166000</v>
      </c>
      <c r="X319" s="793">
        <f t="shared" si="166"/>
        <v>114000</v>
      </c>
      <c r="Y319" s="793">
        <f t="shared" si="166"/>
        <v>114000</v>
      </c>
      <c r="Z319" s="793">
        <f t="shared" si="166"/>
        <v>184000</v>
      </c>
      <c r="AA319" s="882">
        <f t="shared" si="166"/>
        <v>238000</v>
      </c>
      <c r="AB319" s="882">
        <f t="shared" ref="AB319" si="167">AB308</f>
        <v>145000</v>
      </c>
    </row>
    <row r="320" spans="1:28" s="776" customFormat="1">
      <c r="A320" s="793"/>
      <c r="B320" s="74" t="s">
        <v>420</v>
      </c>
      <c r="C320" s="74"/>
      <c r="D320" s="895"/>
      <c r="E320" s="242"/>
      <c r="F320" s="793">
        <v>0</v>
      </c>
      <c r="G320" s="793">
        <v>0</v>
      </c>
      <c r="H320" s="793">
        <v>0</v>
      </c>
      <c r="I320" s="793">
        <v>0</v>
      </c>
      <c r="J320" s="793">
        <v>0</v>
      </c>
      <c r="K320" s="793">
        <v>0</v>
      </c>
      <c r="L320" s="793">
        <v>0</v>
      </c>
      <c r="M320" s="793">
        <v>0</v>
      </c>
      <c r="N320" s="892">
        <f t="shared" ref="N320:AA320" si="168">N309</f>
        <v>3033</v>
      </c>
      <c r="O320" s="892">
        <f t="shared" si="168"/>
        <v>114454</v>
      </c>
      <c r="P320" s="892">
        <f t="shared" si="168"/>
        <v>87915</v>
      </c>
      <c r="Q320" s="892">
        <f t="shared" si="168"/>
        <v>106229</v>
      </c>
      <c r="R320" s="892">
        <f t="shared" si="168"/>
        <v>142449</v>
      </c>
      <c r="S320" s="892">
        <f t="shared" si="168"/>
        <v>78200</v>
      </c>
      <c r="T320" s="892">
        <f t="shared" si="168"/>
        <v>70500</v>
      </c>
      <c r="U320" s="892">
        <f t="shared" si="168"/>
        <v>50000</v>
      </c>
      <c r="V320" s="892">
        <f t="shared" si="168"/>
        <v>42000</v>
      </c>
      <c r="W320" s="892">
        <f t="shared" si="168"/>
        <v>85000</v>
      </c>
      <c r="X320" s="892">
        <f t="shared" si="168"/>
        <v>77000</v>
      </c>
      <c r="Y320" s="892">
        <f t="shared" si="168"/>
        <v>67000</v>
      </c>
      <c r="Z320" s="892">
        <f t="shared" si="168"/>
        <v>61000</v>
      </c>
      <c r="AA320" s="991">
        <f t="shared" si="168"/>
        <v>104000</v>
      </c>
      <c r="AB320" s="991">
        <f t="shared" ref="AB320" si="169">AB309</f>
        <v>49000</v>
      </c>
    </row>
    <row r="321" spans="1:28" s="776" customFormat="1">
      <c r="A321" s="793"/>
      <c r="B321" s="242" t="s">
        <v>7</v>
      </c>
      <c r="C321" s="73"/>
      <c r="D321" s="895"/>
      <c r="E321" s="242"/>
      <c r="F321" s="793">
        <v>0</v>
      </c>
      <c r="G321" s="793">
        <v>0</v>
      </c>
      <c r="H321" s="793">
        <v>0</v>
      </c>
      <c r="I321" s="793">
        <v>0</v>
      </c>
      <c r="J321" s="793">
        <v>0</v>
      </c>
      <c r="K321" s="793">
        <v>0</v>
      </c>
      <c r="L321" s="793">
        <v>0</v>
      </c>
      <c r="M321" s="793">
        <f>M256</f>
        <v>21004</v>
      </c>
      <c r="N321" s="793">
        <f>SUM(N319:N320)</f>
        <v>127702</v>
      </c>
      <c r="O321" s="793">
        <f t="shared" ref="O321:AA321" si="170">SUM(O319:O320)</f>
        <v>170902</v>
      </c>
      <c r="P321" s="793">
        <f t="shared" si="170"/>
        <v>139969</v>
      </c>
      <c r="Q321" s="793">
        <f t="shared" si="170"/>
        <v>190981</v>
      </c>
      <c r="R321" s="793">
        <f t="shared" si="170"/>
        <v>253525</v>
      </c>
      <c r="S321" s="793">
        <f t="shared" si="170"/>
        <v>281600</v>
      </c>
      <c r="T321" s="793">
        <f t="shared" si="170"/>
        <v>169500</v>
      </c>
      <c r="U321" s="793">
        <f t="shared" si="170"/>
        <v>163000</v>
      </c>
      <c r="V321" s="793">
        <f t="shared" si="170"/>
        <v>43000</v>
      </c>
      <c r="W321" s="793">
        <f t="shared" si="170"/>
        <v>251000</v>
      </c>
      <c r="X321" s="793">
        <f t="shared" si="170"/>
        <v>191000</v>
      </c>
      <c r="Y321" s="793">
        <f t="shared" si="170"/>
        <v>181000</v>
      </c>
      <c r="Z321" s="793">
        <f t="shared" si="170"/>
        <v>245000</v>
      </c>
      <c r="AA321" s="882">
        <f t="shared" si="170"/>
        <v>342000</v>
      </c>
      <c r="AB321" s="882">
        <f t="shared" ref="AB321" si="171">SUM(AB319:AB320)</f>
        <v>194000</v>
      </c>
    </row>
    <row r="322" spans="1:28" s="776" customFormat="1">
      <c r="A322" s="793"/>
      <c r="B322" s="791" t="s">
        <v>422</v>
      </c>
      <c r="C322" s="73"/>
      <c r="D322" s="895"/>
      <c r="E322" s="242"/>
      <c r="F322" s="793">
        <v>0</v>
      </c>
      <c r="G322" s="793">
        <v>0</v>
      </c>
      <c r="H322" s="793">
        <v>0</v>
      </c>
      <c r="I322" s="793">
        <v>0</v>
      </c>
      <c r="J322" s="793">
        <v>0</v>
      </c>
      <c r="K322" s="793">
        <v>0</v>
      </c>
      <c r="L322" s="793">
        <v>0</v>
      </c>
      <c r="M322" s="793">
        <f t="shared" ref="M322:AA322" si="172">M317-M321</f>
        <v>39549</v>
      </c>
      <c r="N322" s="793">
        <f t="shared" si="172"/>
        <v>-86759</v>
      </c>
      <c r="O322" s="793">
        <f t="shared" si="172"/>
        <v>-31760</v>
      </c>
      <c r="P322" s="793">
        <f t="shared" si="172"/>
        <v>-12953</v>
      </c>
      <c r="Q322" s="793">
        <f t="shared" si="172"/>
        <v>-8086</v>
      </c>
      <c r="R322" s="793">
        <f t="shared" si="172"/>
        <v>-199527</v>
      </c>
      <c r="S322" s="793">
        <f t="shared" si="172"/>
        <v>-147000</v>
      </c>
      <c r="T322" s="793">
        <f t="shared" si="172"/>
        <v>16200</v>
      </c>
      <c r="U322" s="793">
        <f t="shared" si="172"/>
        <v>-80000</v>
      </c>
      <c r="V322" s="793">
        <f t="shared" si="172"/>
        <v>59000</v>
      </c>
      <c r="W322" s="793">
        <f t="shared" si="172"/>
        <v>93000</v>
      </c>
      <c r="X322" s="793">
        <f t="shared" si="172"/>
        <v>39000</v>
      </c>
      <c r="Y322" s="793">
        <f t="shared" si="172"/>
        <v>32000</v>
      </c>
      <c r="Z322" s="793">
        <f t="shared" si="172"/>
        <v>64000</v>
      </c>
      <c r="AA322" s="882">
        <f t="shared" si="172"/>
        <v>23000</v>
      </c>
      <c r="AB322" s="882">
        <f t="shared" ref="AB322" si="173">AB317-AB321</f>
        <v>212000</v>
      </c>
    </row>
    <row r="323" spans="1:28" s="776" customFormat="1">
      <c r="A323" s="793"/>
      <c r="B323" s="73"/>
      <c r="C323" s="73"/>
      <c r="D323" s="266"/>
      <c r="E323" s="73"/>
      <c r="F323" s="793">
        <v>0</v>
      </c>
      <c r="G323" s="793">
        <v>0</v>
      </c>
      <c r="H323" s="793">
        <v>0</v>
      </c>
      <c r="I323" s="793">
        <v>0</v>
      </c>
      <c r="J323" s="793">
        <v>0</v>
      </c>
      <c r="K323" s="793">
        <v>0</v>
      </c>
      <c r="L323" s="793">
        <v>0</v>
      </c>
      <c r="M323" s="793">
        <v>0</v>
      </c>
      <c r="N323" s="793">
        <f t="shared" ref="N323:AA323" si="174">N257-N312</f>
        <v>0</v>
      </c>
      <c r="O323" s="793">
        <f t="shared" si="174"/>
        <v>0</v>
      </c>
      <c r="P323" s="793">
        <f t="shared" si="174"/>
        <v>0</v>
      </c>
      <c r="Q323" s="793">
        <f t="shared" si="174"/>
        <v>0</v>
      </c>
      <c r="R323" s="793">
        <f t="shared" si="174"/>
        <v>0</v>
      </c>
      <c r="S323" s="793">
        <f t="shared" si="174"/>
        <v>0</v>
      </c>
      <c r="T323" s="793">
        <f t="shared" si="174"/>
        <v>0</v>
      </c>
      <c r="U323" s="1284">
        <f t="shared" si="174"/>
        <v>0</v>
      </c>
      <c r="V323" s="1284">
        <f t="shared" si="174"/>
        <v>1000</v>
      </c>
      <c r="W323" s="1284">
        <f t="shared" si="174"/>
        <v>0</v>
      </c>
      <c r="X323" s="1284">
        <f t="shared" si="174"/>
        <v>0</v>
      </c>
      <c r="Y323" s="793">
        <f t="shared" si="174"/>
        <v>0</v>
      </c>
      <c r="Z323" s="793">
        <f t="shared" si="174"/>
        <v>0</v>
      </c>
      <c r="AA323" s="882">
        <f t="shared" si="174"/>
        <v>0</v>
      </c>
      <c r="AB323" s="882">
        <f t="shared" ref="AB323" si="175">AB257-AB312</f>
        <v>0</v>
      </c>
    </row>
    <row r="324" spans="1:28" s="776" customFormat="1">
      <c r="A324" s="1248" t="s">
        <v>423</v>
      </c>
      <c r="B324" s="1248"/>
      <c r="C324" s="1248"/>
      <c r="D324" s="1248"/>
      <c r="E324" s="1187"/>
      <c r="F324" s="793">
        <v>0</v>
      </c>
      <c r="G324" s="793">
        <v>0</v>
      </c>
      <c r="H324" s="793">
        <v>0</v>
      </c>
      <c r="I324" s="793">
        <v>0</v>
      </c>
      <c r="J324" s="793">
        <v>0</v>
      </c>
      <c r="K324" s="793">
        <v>0</v>
      </c>
      <c r="L324" s="793">
        <v>0</v>
      </c>
      <c r="M324" s="793">
        <v>0</v>
      </c>
      <c r="N324" s="793">
        <v>0</v>
      </c>
      <c r="O324" s="793">
        <v>0</v>
      </c>
      <c r="P324" s="793">
        <v>0</v>
      </c>
      <c r="Q324" s="793">
        <v>0</v>
      </c>
      <c r="R324" s="793">
        <v>0</v>
      </c>
      <c r="S324" s="793">
        <v>0</v>
      </c>
      <c r="T324" s="793">
        <v>0</v>
      </c>
      <c r="U324" s="793">
        <v>0</v>
      </c>
      <c r="V324" s="793">
        <v>0</v>
      </c>
      <c r="W324" s="793">
        <v>0</v>
      </c>
      <c r="X324" s="793">
        <v>0</v>
      </c>
      <c r="Y324" s="793">
        <v>0</v>
      </c>
      <c r="Z324" s="793">
        <v>0</v>
      </c>
      <c r="AA324" s="882">
        <v>0</v>
      </c>
      <c r="AB324" s="882">
        <v>0</v>
      </c>
    </row>
    <row r="325" spans="1:28" s="776" customFormat="1">
      <c r="A325" s="793"/>
      <c r="B325" s="791" t="s">
        <v>424</v>
      </c>
      <c r="C325" s="73"/>
      <c r="D325" s="895"/>
      <c r="E325" s="242"/>
      <c r="F325" s="793">
        <v>0</v>
      </c>
      <c r="G325" s="793">
        <v>0</v>
      </c>
      <c r="H325" s="793">
        <v>0</v>
      </c>
      <c r="I325" s="793">
        <v>0</v>
      </c>
      <c r="J325" s="793">
        <v>0</v>
      </c>
      <c r="K325" s="793">
        <v>0</v>
      </c>
      <c r="L325" s="793">
        <v>0</v>
      </c>
      <c r="M325" s="793">
        <v>0</v>
      </c>
      <c r="N325" s="793">
        <v>23888</v>
      </c>
      <c r="O325" s="793">
        <v>-14332</v>
      </c>
      <c r="P325" s="882">
        <v>-32489</v>
      </c>
      <c r="Q325" s="882">
        <v>-23296</v>
      </c>
      <c r="R325" s="882">
        <v>-14157</v>
      </c>
      <c r="S325" s="882">
        <v>-68000</v>
      </c>
      <c r="T325" s="882">
        <v>42700</v>
      </c>
      <c r="U325" s="882">
        <v>27000</v>
      </c>
      <c r="V325" s="882">
        <v>-32000</v>
      </c>
      <c r="W325" s="882">
        <v>-68000</v>
      </c>
      <c r="X325" s="882">
        <v>55000</v>
      </c>
      <c r="Y325" s="891">
        <v>-4000</v>
      </c>
      <c r="Z325" s="891">
        <v>-63000</v>
      </c>
      <c r="AA325" s="882">
        <v>-48000</v>
      </c>
      <c r="AB325" s="882">
        <v>79000</v>
      </c>
    </row>
    <row r="326" spans="1:28" s="776" customFormat="1">
      <c r="A326" s="793"/>
      <c r="B326" s="922" t="s">
        <v>425</v>
      </c>
      <c r="C326" s="73"/>
      <c r="D326" s="266"/>
      <c r="E326" s="242"/>
      <c r="F326" s="793">
        <v>0</v>
      </c>
      <c r="G326" s="793">
        <v>0</v>
      </c>
      <c r="H326" s="793">
        <v>0</v>
      </c>
      <c r="I326" s="793">
        <v>0</v>
      </c>
      <c r="J326" s="793">
        <v>0</v>
      </c>
      <c r="K326" s="793">
        <v>0</v>
      </c>
      <c r="L326" s="793">
        <v>0</v>
      </c>
      <c r="M326" s="793">
        <v>0</v>
      </c>
      <c r="N326" s="892">
        <v>658</v>
      </c>
      <c r="O326" s="892">
        <v>45497</v>
      </c>
      <c r="P326" s="991">
        <v>-114109</v>
      </c>
      <c r="Q326" s="991">
        <v>-14872</v>
      </c>
      <c r="R326" s="991">
        <v>89270</v>
      </c>
      <c r="S326" s="991">
        <v>121300</v>
      </c>
      <c r="T326" s="991">
        <v>51100</v>
      </c>
      <c r="U326" s="991">
        <v>-9000</v>
      </c>
      <c r="V326" s="991">
        <v>-1000</v>
      </c>
      <c r="W326" s="991">
        <v>-15000</v>
      </c>
      <c r="X326" s="991">
        <v>-76000</v>
      </c>
      <c r="Y326" s="995">
        <v>-22000</v>
      </c>
      <c r="Z326" s="995">
        <v>58000</v>
      </c>
      <c r="AA326" s="991">
        <v>-113000</v>
      </c>
      <c r="AB326" s="991">
        <v>169000</v>
      </c>
    </row>
    <row r="327" spans="1:28" s="776" customFormat="1">
      <c r="A327" s="793"/>
      <c r="B327" s="791" t="s">
        <v>26</v>
      </c>
      <c r="C327" s="73"/>
      <c r="D327" s="895"/>
      <c r="E327" s="242"/>
      <c r="F327" s="793">
        <v>0</v>
      </c>
      <c r="G327" s="793">
        <v>0</v>
      </c>
      <c r="H327" s="793">
        <v>0</v>
      </c>
      <c r="I327" s="793">
        <v>0</v>
      </c>
      <c r="J327" s="793">
        <v>0</v>
      </c>
      <c r="K327" s="793">
        <v>0</v>
      </c>
      <c r="L327" s="793">
        <v>0</v>
      </c>
      <c r="M327" s="793">
        <v>0</v>
      </c>
      <c r="N327" s="1378">
        <f>SUM(N325:N326)</f>
        <v>24546</v>
      </c>
      <c r="O327" s="1378">
        <f t="shared" ref="O327:Q327" si="176">SUM(O325:O326)</f>
        <v>31165</v>
      </c>
      <c r="P327" s="1378">
        <f t="shared" si="176"/>
        <v>-146598</v>
      </c>
      <c r="Q327" s="1378">
        <f t="shared" si="176"/>
        <v>-38168</v>
      </c>
      <c r="R327" s="1378">
        <f t="shared" ref="R327" si="177">SUM(R325:R326)</f>
        <v>75113</v>
      </c>
      <c r="S327" s="1378">
        <f t="shared" ref="S327:T327" si="178">SUM(S325:S326)</f>
        <v>53300</v>
      </c>
      <c r="T327" s="1378">
        <f t="shared" si="178"/>
        <v>93800</v>
      </c>
      <c r="U327" s="1378">
        <f t="shared" ref="U327" si="179">SUM(U325:U326)</f>
        <v>18000</v>
      </c>
      <c r="V327" s="1378">
        <f t="shared" ref="V327:W327" si="180">SUM(V325:V326)</f>
        <v>-33000</v>
      </c>
      <c r="W327" s="1378">
        <f t="shared" si="180"/>
        <v>-83000</v>
      </c>
      <c r="X327" s="1378">
        <f t="shared" ref="X327" si="181">SUM(X325:X326)</f>
        <v>-21000</v>
      </c>
      <c r="Y327" s="1378">
        <f t="shared" ref="Y327:Z327" si="182">SUM(Y325:Y326)</f>
        <v>-26000</v>
      </c>
      <c r="Z327" s="1378">
        <f t="shared" si="182"/>
        <v>-5000</v>
      </c>
      <c r="AA327" s="1378">
        <f>SUM(AA325:AA326)</f>
        <v>-161000</v>
      </c>
      <c r="AB327" s="1378">
        <f>SUM(AB324:AB326)</f>
        <v>248000</v>
      </c>
    </row>
    <row r="328" spans="1:28" s="776" customFormat="1">
      <c r="A328" s="793"/>
      <c r="B328" s="242"/>
      <c r="C328" s="73"/>
      <c r="D328" s="895"/>
      <c r="E328" s="242"/>
      <c r="F328" s="793"/>
      <c r="G328" s="793"/>
      <c r="H328" s="793"/>
      <c r="I328" s="793"/>
      <c r="J328" s="793"/>
      <c r="K328" s="793"/>
      <c r="L328" s="793"/>
      <c r="M328" s="793"/>
      <c r="N328" s="793"/>
      <c r="O328" s="793"/>
      <c r="P328" s="793"/>
      <c r="Q328" s="793"/>
      <c r="R328" s="793"/>
      <c r="S328" s="793"/>
      <c r="T328" s="793"/>
      <c r="U328" s="793"/>
      <c r="V328" s="793"/>
      <c r="W328" s="793"/>
      <c r="X328" s="793"/>
      <c r="Y328" s="793"/>
      <c r="Z328" s="793"/>
      <c r="AA328" s="882"/>
      <c r="AB328" s="890"/>
    </row>
    <row r="329" spans="1:28" s="776" customFormat="1">
      <c r="A329" s="921" t="s">
        <v>426</v>
      </c>
      <c r="B329" s="74"/>
      <c r="C329" s="74"/>
      <c r="D329" s="74"/>
      <c r="E329" s="74"/>
      <c r="F329" s="793"/>
      <c r="G329" s="793"/>
      <c r="H329" s="793"/>
      <c r="I329" s="793"/>
      <c r="J329" s="793"/>
      <c r="K329" s="793"/>
      <c r="L329" s="793"/>
      <c r="M329" s="793"/>
      <c r="N329" s="793"/>
      <c r="O329" s="793"/>
      <c r="P329" s="793"/>
      <c r="Q329" s="793"/>
      <c r="R329" s="793"/>
      <c r="S329" s="793"/>
      <c r="T329" s="793"/>
      <c r="U329" s="793"/>
      <c r="V329" s="793"/>
      <c r="W329" s="793"/>
      <c r="X329" s="793"/>
      <c r="Y329" s="793"/>
      <c r="Z329" s="793"/>
      <c r="AA329" s="882"/>
      <c r="AB329" s="890"/>
    </row>
    <row r="330" spans="1:28" s="776" customFormat="1">
      <c r="A330" s="242"/>
      <c r="B330" s="1198" t="s">
        <v>427</v>
      </c>
      <c r="C330" s="1323"/>
      <c r="D330" s="242"/>
      <c r="E330" s="242"/>
      <c r="F330" s="793"/>
      <c r="G330" s="793"/>
      <c r="H330" s="793"/>
      <c r="I330" s="793"/>
      <c r="J330" s="793"/>
      <c r="K330" s="793"/>
      <c r="L330" s="793"/>
      <c r="M330" s="793"/>
      <c r="N330" s="793"/>
      <c r="O330" s="793"/>
      <c r="P330" s="793"/>
      <c r="Q330" s="793"/>
      <c r="R330" s="793"/>
      <c r="S330" s="793"/>
      <c r="T330" s="793"/>
      <c r="U330" s="793"/>
      <c r="V330" s="793"/>
      <c r="W330" s="793"/>
      <c r="X330" s="793"/>
      <c r="Y330" s="793"/>
      <c r="Z330" s="793"/>
      <c r="AA330" s="882"/>
      <c r="AB330" s="890"/>
    </row>
    <row r="331" spans="1:28" s="776" customFormat="1">
      <c r="A331" s="242"/>
      <c r="B331" s="242" t="s">
        <v>428</v>
      </c>
      <c r="C331" s="242"/>
      <c r="D331" s="242"/>
      <c r="E331" s="242"/>
      <c r="F331" s="793">
        <v>0</v>
      </c>
      <c r="G331" s="793">
        <v>0</v>
      </c>
      <c r="H331" s="793">
        <v>0</v>
      </c>
      <c r="I331" s="793">
        <v>0</v>
      </c>
      <c r="J331" s="793">
        <v>0</v>
      </c>
      <c r="K331" s="793">
        <v>0</v>
      </c>
      <c r="L331" s="793">
        <v>0</v>
      </c>
      <c r="M331" s="793">
        <v>0</v>
      </c>
      <c r="N331" s="883">
        <v>35</v>
      </c>
      <c r="O331" s="883">
        <v>39282</v>
      </c>
      <c r="P331" s="883">
        <v>0</v>
      </c>
      <c r="Q331" s="883">
        <v>7629</v>
      </c>
      <c r="R331" s="883">
        <v>2019</v>
      </c>
      <c r="S331" s="883">
        <v>71900</v>
      </c>
      <c r="T331" s="883">
        <v>15000</v>
      </c>
      <c r="U331" s="883">
        <v>73000</v>
      </c>
      <c r="V331" s="883">
        <v>78000</v>
      </c>
      <c r="W331" s="883">
        <v>13000</v>
      </c>
      <c r="X331" s="883">
        <v>38000</v>
      </c>
      <c r="Y331" s="883">
        <v>26000</v>
      </c>
      <c r="Z331" s="883">
        <v>9000</v>
      </c>
      <c r="AA331" s="882">
        <v>27000</v>
      </c>
      <c r="AB331" s="890">
        <v>27000</v>
      </c>
    </row>
    <row r="332" spans="1:28" s="776" customFormat="1">
      <c r="A332" s="242"/>
      <c r="B332" s="921" t="s">
        <v>419</v>
      </c>
      <c r="C332" s="74"/>
      <c r="D332" s="242"/>
      <c r="E332" s="242"/>
      <c r="F332" s="793">
        <v>0</v>
      </c>
      <c r="G332" s="793">
        <v>0</v>
      </c>
      <c r="H332" s="793">
        <v>0</v>
      </c>
      <c r="I332" s="793">
        <v>0</v>
      </c>
      <c r="J332" s="793">
        <v>0</v>
      </c>
      <c r="K332" s="793">
        <v>0</v>
      </c>
      <c r="L332" s="793">
        <v>0</v>
      </c>
      <c r="M332" s="793">
        <v>0</v>
      </c>
      <c r="N332" s="793">
        <v>0</v>
      </c>
      <c r="O332" s="793">
        <v>0</v>
      </c>
      <c r="P332" s="793">
        <v>0</v>
      </c>
      <c r="Q332" s="793">
        <v>0</v>
      </c>
      <c r="R332" s="793">
        <v>0</v>
      </c>
      <c r="S332" s="793">
        <v>0</v>
      </c>
      <c r="T332" s="793">
        <v>0</v>
      </c>
      <c r="U332" s="793">
        <v>0</v>
      </c>
      <c r="V332" s="793">
        <v>0</v>
      </c>
      <c r="W332" s="793">
        <v>0</v>
      </c>
      <c r="X332" s="793">
        <v>0</v>
      </c>
      <c r="Y332" s="793">
        <v>0</v>
      </c>
      <c r="Z332" s="793">
        <v>0</v>
      </c>
      <c r="AA332" s="882">
        <v>0</v>
      </c>
      <c r="AB332" s="890"/>
    </row>
    <row r="333" spans="1:28" s="776" customFormat="1">
      <c r="A333" s="242"/>
      <c r="B333" s="242" t="s">
        <v>428</v>
      </c>
      <c r="C333" s="242"/>
      <c r="D333" s="242"/>
      <c r="E333" s="242"/>
      <c r="F333" s="793">
        <v>0</v>
      </c>
      <c r="G333" s="793">
        <v>0</v>
      </c>
      <c r="H333" s="793">
        <v>0</v>
      </c>
      <c r="I333" s="793">
        <v>0</v>
      </c>
      <c r="J333" s="793">
        <v>0</v>
      </c>
      <c r="K333" s="793">
        <v>0</v>
      </c>
      <c r="L333" s="793">
        <v>0</v>
      </c>
      <c r="M333" s="793">
        <v>0</v>
      </c>
      <c r="N333" s="883">
        <v>0</v>
      </c>
      <c r="O333" s="883">
        <v>-8454</v>
      </c>
      <c r="P333" s="883">
        <f>-2370+15840</f>
        <v>13470</v>
      </c>
      <c r="Q333" s="883">
        <v>12219</v>
      </c>
      <c r="R333" s="883">
        <v>29980</v>
      </c>
      <c r="S333" s="883">
        <v>31600</v>
      </c>
      <c r="T333" s="883">
        <v>32700</v>
      </c>
      <c r="U333" s="883">
        <v>22800</v>
      </c>
      <c r="V333" s="883">
        <v>26000</v>
      </c>
      <c r="W333" s="883">
        <v>25000</v>
      </c>
      <c r="X333" s="883">
        <v>32000</v>
      </c>
      <c r="Y333" s="883">
        <v>29000</v>
      </c>
      <c r="Z333" s="883">
        <v>29000</v>
      </c>
      <c r="AA333" s="882">
        <v>43000</v>
      </c>
      <c r="AB333" s="890">
        <v>40000</v>
      </c>
    </row>
    <row r="334" spans="1:28" s="776" customFormat="1">
      <c r="A334" s="242"/>
      <c r="B334" s="242"/>
      <c r="C334" s="242"/>
      <c r="D334" s="242"/>
      <c r="E334" s="242"/>
      <c r="F334" s="793">
        <v>0</v>
      </c>
      <c r="G334" s="793">
        <v>0</v>
      </c>
      <c r="H334" s="793">
        <v>0</v>
      </c>
      <c r="I334" s="793">
        <v>0</v>
      </c>
      <c r="J334" s="793">
        <v>0</v>
      </c>
      <c r="K334" s="793">
        <v>0</v>
      </c>
      <c r="L334" s="793">
        <v>0</v>
      </c>
      <c r="M334" s="793">
        <v>0</v>
      </c>
      <c r="N334" s="793">
        <v>0</v>
      </c>
      <c r="O334" s="793">
        <v>0</v>
      </c>
      <c r="P334" s="793">
        <v>0</v>
      </c>
      <c r="Q334" s="793">
        <v>0</v>
      </c>
      <c r="R334" s="793">
        <v>0</v>
      </c>
      <c r="S334" s="793">
        <v>0</v>
      </c>
      <c r="T334" s="793">
        <v>0</v>
      </c>
      <c r="U334" s="793">
        <v>0</v>
      </c>
      <c r="V334" s="793">
        <v>0</v>
      </c>
      <c r="W334" s="793">
        <v>0</v>
      </c>
      <c r="X334" s="793">
        <v>0</v>
      </c>
      <c r="Y334" s="793">
        <v>0</v>
      </c>
      <c r="Z334" s="793">
        <v>0</v>
      </c>
      <c r="AA334" s="793">
        <v>0</v>
      </c>
      <c r="AB334" s="793">
        <v>0</v>
      </c>
    </row>
    <row r="335" spans="1:28" s="776" customFormat="1">
      <c r="A335" s="242"/>
      <c r="B335" s="921" t="s">
        <v>429</v>
      </c>
      <c r="C335" s="74"/>
      <c r="D335" s="74"/>
      <c r="E335" s="74"/>
      <c r="F335" s="793">
        <v>0</v>
      </c>
      <c r="G335" s="793">
        <v>0</v>
      </c>
      <c r="H335" s="793">
        <v>0</v>
      </c>
      <c r="I335" s="793">
        <v>0</v>
      </c>
      <c r="J335" s="793">
        <v>0</v>
      </c>
      <c r="K335" s="793">
        <v>0</v>
      </c>
      <c r="L335" s="793">
        <v>0</v>
      </c>
      <c r="M335" s="793">
        <v>0</v>
      </c>
      <c r="N335" s="793">
        <v>0</v>
      </c>
      <c r="O335" s="793">
        <v>0</v>
      </c>
      <c r="P335" s="793">
        <v>0</v>
      </c>
      <c r="Q335" s="793">
        <v>0</v>
      </c>
      <c r="R335" s="793">
        <v>0</v>
      </c>
      <c r="S335" s="793">
        <v>0</v>
      </c>
      <c r="T335" s="793">
        <v>0</v>
      </c>
      <c r="U335" s="793">
        <v>0</v>
      </c>
      <c r="V335" s="793">
        <v>0</v>
      </c>
      <c r="W335" s="793">
        <v>0</v>
      </c>
      <c r="X335" s="793">
        <v>0</v>
      </c>
      <c r="Y335" s="793">
        <v>0</v>
      </c>
      <c r="Z335" s="793">
        <v>0</v>
      </c>
      <c r="AA335" s="793">
        <v>0</v>
      </c>
      <c r="AB335" s="793">
        <v>0</v>
      </c>
    </row>
    <row r="336" spans="1:28" s="776" customFormat="1">
      <c r="A336" s="242"/>
      <c r="B336" s="1198" t="s">
        <v>427</v>
      </c>
      <c r="C336" s="1323"/>
      <c r="D336" s="242"/>
      <c r="E336" s="242"/>
      <c r="F336" s="793">
        <v>0</v>
      </c>
      <c r="G336" s="793">
        <v>0</v>
      </c>
      <c r="H336" s="793">
        <v>0</v>
      </c>
      <c r="I336" s="793">
        <v>0</v>
      </c>
      <c r="J336" s="793">
        <v>0</v>
      </c>
      <c r="K336" s="793">
        <v>0</v>
      </c>
      <c r="L336" s="793">
        <v>0</v>
      </c>
      <c r="M336" s="793">
        <v>0</v>
      </c>
      <c r="N336" s="793">
        <v>0</v>
      </c>
      <c r="O336" s="793">
        <v>0</v>
      </c>
      <c r="P336" s="793">
        <v>0</v>
      </c>
      <c r="Q336" s="793">
        <v>0</v>
      </c>
      <c r="R336" s="793">
        <v>0</v>
      </c>
      <c r="S336" s="793">
        <v>0</v>
      </c>
      <c r="T336" s="793">
        <v>0</v>
      </c>
      <c r="U336" s="793">
        <v>0</v>
      </c>
      <c r="V336" s="793">
        <v>0</v>
      </c>
      <c r="W336" s="793">
        <v>0</v>
      </c>
      <c r="X336" s="793">
        <v>0</v>
      </c>
      <c r="Y336" s="793">
        <v>0</v>
      </c>
      <c r="Z336" s="793">
        <v>0</v>
      </c>
      <c r="AA336" s="793">
        <v>0</v>
      </c>
      <c r="AB336" s="793">
        <v>0</v>
      </c>
    </row>
    <row r="337" spans="1:28" s="776" customFormat="1">
      <c r="A337" s="242"/>
      <c r="B337" s="242" t="s">
        <v>428</v>
      </c>
      <c r="C337" s="242"/>
      <c r="D337" s="242"/>
      <c r="E337" s="242"/>
      <c r="F337" s="793">
        <v>0</v>
      </c>
      <c r="G337" s="793">
        <v>0</v>
      </c>
      <c r="H337" s="793">
        <v>0</v>
      </c>
      <c r="I337" s="793">
        <v>0</v>
      </c>
      <c r="J337" s="793">
        <v>0</v>
      </c>
      <c r="K337" s="793">
        <v>0</v>
      </c>
      <c r="L337" s="793">
        <v>0</v>
      </c>
      <c r="M337" s="793">
        <v>0</v>
      </c>
      <c r="N337" s="793">
        <v>0</v>
      </c>
      <c r="O337" s="793">
        <v>0</v>
      </c>
      <c r="P337" s="793">
        <v>0</v>
      </c>
      <c r="Q337" s="883">
        <v>20716</v>
      </c>
      <c r="R337" s="883">
        <v>7489</v>
      </c>
      <c r="S337" s="883">
        <v>4700</v>
      </c>
      <c r="T337" s="883">
        <v>5100</v>
      </c>
      <c r="U337" s="883">
        <v>9700</v>
      </c>
      <c r="V337" s="1447" t="s">
        <v>430</v>
      </c>
      <c r="W337" s="1447"/>
      <c r="X337" s="1447"/>
      <c r="Y337" s="1447"/>
      <c r="Z337" s="1447"/>
      <c r="AA337" s="1447"/>
      <c r="AB337" s="1359"/>
    </row>
    <row r="338" spans="1:28" s="776" customFormat="1">
      <c r="A338" s="242"/>
      <c r="B338" s="921" t="s">
        <v>419</v>
      </c>
      <c r="C338" s="74"/>
      <c r="D338" s="242"/>
      <c r="E338" s="242"/>
      <c r="F338" s="793">
        <v>0</v>
      </c>
      <c r="G338" s="793">
        <v>0</v>
      </c>
      <c r="H338" s="793">
        <v>0</v>
      </c>
      <c r="I338" s="793">
        <v>0</v>
      </c>
      <c r="J338" s="793">
        <v>0</v>
      </c>
      <c r="K338" s="793">
        <v>0</v>
      </c>
      <c r="L338" s="793">
        <v>0</v>
      </c>
      <c r="M338" s="793">
        <v>0</v>
      </c>
      <c r="N338" s="793">
        <v>0</v>
      </c>
      <c r="O338" s="793">
        <v>0</v>
      </c>
      <c r="P338" s="793">
        <v>0</v>
      </c>
      <c r="Q338" s="793">
        <v>0</v>
      </c>
      <c r="R338" s="793">
        <v>0</v>
      </c>
      <c r="S338" s="793">
        <v>0</v>
      </c>
      <c r="T338" s="793">
        <v>0</v>
      </c>
      <c r="U338" s="793">
        <v>0</v>
      </c>
      <c r="V338" s="793">
        <v>0</v>
      </c>
      <c r="W338" s="793">
        <v>0</v>
      </c>
      <c r="X338" s="793">
        <v>0</v>
      </c>
      <c r="Y338" s="793">
        <v>0</v>
      </c>
      <c r="Z338" s="793">
        <v>0</v>
      </c>
      <c r="AA338" s="793">
        <v>0</v>
      </c>
      <c r="AB338" s="793">
        <v>0</v>
      </c>
    </row>
    <row r="339" spans="1:28" s="776" customFormat="1">
      <c r="A339" s="242"/>
      <c r="B339" s="242" t="s">
        <v>428</v>
      </c>
      <c r="C339" s="242"/>
      <c r="D339" s="242"/>
      <c r="E339" s="242"/>
      <c r="F339" s="793">
        <v>0</v>
      </c>
      <c r="G339" s="793">
        <v>0</v>
      </c>
      <c r="H339" s="793">
        <v>0</v>
      </c>
      <c r="I339" s="793">
        <v>0</v>
      </c>
      <c r="J339" s="793">
        <v>0</v>
      </c>
      <c r="K339" s="793">
        <v>0</v>
      </c>
      <c r="L339" s="793">
        <v>0</v>
      </c>
      <c r="M339" s="793">
        <v>0</v>
      </c>
      <c r="N339" s="793">
        <v>0</v>
      </c>
      <c r="O339" s="793">
        <v>0</v>
      </c>
      <c r="P339" s="793">
        <v>0</v>
      </c>
      <c r="Q339" s="891">
        <v>1468</v>
      </c>
      <c r="R339" s="891">
        <v>3052</v>
      </c>
      <c r="S339" s="891">
        <v>5300</v>
      </c>
      <c r="T339" s="891">
        <v>-10400</v>
      </c>
      <c r="U339" s="891">
        <v>4700</v>
      </c>
      <c r="V339" s="1447" t="s">
        <v>430</v>
      </c>
      <c r="W339" s="1447"/>
      <c r="X339" s="1447"/>
      <c r="Y339" s="1447"/>
      <c r="Z339" s="1447"/>
      <c r="AA339" s="1447"/>
      <c r="AB339" s="1359"/>
    </row>
    <row r="340" spans="1:28" s="776" customFormat="1" ht="18">
      <c r="A340" s="904" t="s">
        <v>0</v>
      </c>
      <c r="B340" s="904"/>
      <c r="C340" s="904"/>
      <c r="D340" s="1267"/>
      <c r="E340" s="1439" t="s">
        <v>1407</v>
      </c>
      <c r="F340" s="1440"/>
      <c r="G340" s="1440"/>
      <c r="H340" s="1440"/>
      <c r="I340" s="1442"/>
      <c r="J340" s="1442"/>
      <c r="K340" s="1442"/>
      <c r="L340" s="1455"/>
      <c r="M340" s="1455"/>
      <c r="N340" s="1455"/>
      <c r="O340" s="649"/>
      <c r="P340" s="911"/>
      <c r="Q340" s="52"/>
      <c r="R340" s="242"/>
      <c r="S340" s="52"/>
      <c r="T340" s="52"/>
      <c r="U340" s="52"/>
      <c r="V340" s="52"/>
      <c r="W340" s="1451" t="s">
        <v>10</v>
      </c>
      <c r="X340" s="1452"/>
      <c r="Y340" s="1452"/>
      <c r="Z340" s="1452"/>
      <c r="AA340" s="1453">
        <f>$AA$46+0.21</f>
        <v>0.21</v>
      </c>
      <c r="AB340" s="1381">
        <v>3.7</v>
      </c>
    </row>
    <row r="341" spans="1:28" s="776" customFormat="1">
      <c r="A341" s="1448"/>
      <c r="B341" s="1448"/>
      <c r="C341" s="1448"/>
      <c r="D341" s="1448"/>
      <c r="E341" s="1448"/>
      <c r="F341" s="69">
        <v>0</v>
      </c>
      <c r="G341" s="69">
        <f t="shared" ref="G341:G342" si="183">F341+1</f>
        <v>1</v>
      </c>
      <c r="H341" s="69">
        <f t="shared" ref="H341:H342" si="184">G341+1</f>
        <v>2</v>
      </c>
      <c r="I341" s="69">
        <f t="shared" ref="I341:I342" si="185">H341+1</f>
        <v>3</v>
      </c>
      <c r="J341" s="69">
        <f t="shared" ref="J341:J342" si="186">I341+1</f>
        <v>4</v>
      </c>
      <c r="K341" s="69">
        <f>J341+1</f>
        <v>5</v>
      </c>
      <c r="L341" s="69">
        <f t="shared" ref="L341:AB342" si="187">K341+1</f>
        <v>6</v>
      </c>
      <c r="M341" s="69">
        <f t="shared" si="187"/>
        <v>7</v>
      </c>
      <c r="N341" s="69">
        <f t="shared" si="187"/>
        <v>8</v>
      </c>
      <c r="O341" s="69">
        <f t="shared" si="187"/>
        <v>9</v>
      </c>
      <c r="P341" s="69">
        <f t="shared" si="187"/>
        <v>10</v>
      </c>
      <c r="Q341" s="69">
        <f t="shared" si="187"/>
        <v>11</v>
      </c>
      <c r="R341" s="69">
        <f t="shared" si="187"/>
        <v>12</v>
      </c>
      <c r="S341" s="69">
        <f t="shared" si="187"/>
        <v>13</v>
      </c>
      <c r="T341" s="69">
        <f t="shared" si="187"/>
        <v>14</v>
      </c>
      <c r="U341" s="69">
        <f t="shared" si="187"/>
        <v>15</v>
      </c>
      <c r="V341" s="69">
        <f t="shared" si="187"/>
        <v>16</v>
      </c>
      <c r="W341" s="69">
        <f t="shared" si="187"/>
        <v>17</v>
      </c>
      <c r="X341" s="69">
        <f t="shared" si="187"/>
        <v>18</v>
      </c>
      <c r="Y341" s="69">
        <f t="shared" si="187"/>
        <v>19</v>
      </c>
      <c r="Z341" s="69">
        <f t="shared" si="187"/>
        <v>20</v>
      </c>
      <c r="AA341" s="69">
        <f t="shared" si="187"/>
        <v>21</v>
      </c>
      <c r="AB341" s="890">
        <f t="shared" si="187"/>
        <v>22</v>
      </c>
    </row>
    <row r="342" spans="1:28" s="776" customFormat="1" ht="12.75" customHeight="1">
      <c r="A342" s="10"/>
      <c r="B342" s="10"/>
      <c r="C342" s="10"/>
      <c r="D342" s="10"/>
      <c r="E342" s="649" t="s">
        <v>3</v>
      </c>
      <c r="F342" s="953">
        <v>1999</v>
      </c>
      <c r="G342" s="953">
        <f t="shared" si="183"/>
        <v>2000</v>
      </c>
      <c r="H342" s="953">
        <f t="shared" si="184"/>
        <v>2001</v>
      </c>
      <c r="I342" s="953">
        <f t="shared" si="185"/>
        <v>2002</v>
      </c>
      <c r="J342" s="953">
        <f t="shared" si="186"/>
        <v>2003</v>
      </c>
      <c r="K342" s="953">
        <f t="shared" ref="K342" si="188">J342+1</f>
        <v>2004</v>
      </c>
      <c r="L342" s="953">
        <f t="shared" si="187"/>
        <v>2005</v>
      </c>
      <c r="M342" s="953">
        <f t="shared" si="187"/>
        <v>2006</v>
      </c>
      <c r="N342" s="953">
        <v>2007</v>
      </c>
      <c r="O342" s="953">
        <f>N342+1</f>
        <v>2008</v>
      </c>
      <c r="P342" s="953">
        <f t="shared" si="187"/>
        <v>2009</v>
      </c>
      <c r="Q342" s="953">
        <f t="shared" si="187"/>
        <v>2010</v>
      </c>
      <c r="R342" s="953">
        <f t="shared" si="187"/>
        <v>2011</v>
      </c>
      <c r="S342" s="953">
        <f t="shared" si="187"/>
        <v>2012</v>
      </c>
      <c r="T342" s="953">
        <f t="shared" si="187"/>
        <v>2013</v>
      </c>
      <c r="U342" s="953">
        <f t="shared" si="187"/>
        <v>2014</v>
      </c>
      <c r="V342" s="953">
        <f t="shared" si="187"/>
        <v>2015</v>
      </c>
      <c r="W342" s="953">
        <f t="shared" si="187"/>
        <v>2016</v>
      </c>
      <c r="X342" s="953">
        <f t="shared" si="187"/>
        <v>2017</v>
      </c>
      <c r="Y342" s="953">
        <f t="shared" si="187"/>
        <v>2018</v>
      </c>
      <c r="Z342" s="953">
        <f>Y342+1</f>
        <v>2019</v>
      </c>
      <c r="AA342" s="953">
        <f t="shared" si="187"/>
        <v>2020</v>
      </c>
      <c r="AB342" s="953">
        <f t="shared" si="187"/>
        <v>2021</v>
      </c>
    </row>
    <row r="343" spans="1:28" s="776" customFormat="1" ht="12.75" customHeight="1">
      <c r="A343" s="1441" t="s">
        <v>10</v>
      </c>
      <c r="B343" s="1441"/>
      <c r="C343" s="1441"/>
      <c r="D343" s="1441"/>
      <c r="E343" s="649"/>
      <c r="F343" s="909"/>
      <c r="G343" s="909"/>
      <c r="H343" s="909"/>
      <c r="I343" s="909"/>
      <c r="J343" s="909"/>
      <c r="K343" s="909"/>
      <c r="L343" s="909"/>
      <c r="M343" s="909"/>
      <c r="N343" s="909"/>
      <c r="O343" s="909"/>
      <c r="P343" s="909"/>
      <c r="Q343" s="909"/>
      <c r="R343" s="909"/>
      <c r="S343" s="909"/>
      <c r="T343" s="909"/>
      <c r="U343" s="909"/>
      <c r="V343" s="909"/>
      <c r="W343" s="909"/>
      <c r="X343" s="909"/>
      <c r="Y343" s="909"/>
      <c r="Z343" s="909"/>
      <c r="AA343" s="909"/>
      <c r="AB343" s="890"/>
    </row>
    <row r="344" spans="1:28" s="776" customFormat="1">
      <c r="A344" s="793"/>
      <c r="B344" s="922" t="s">
        <v>431</v>
      </c>
      <c r="C344" s="791"/>
      <c r="D344" s="791"/>
      <c r="E344" s="593" t="s">
        <v>432</v>
      </c>
      <c r="F344" s="793">
        <v>5014</v>
      </c>
      <c r="G344" s="793">
        <v>28728</v>
      </c>
      <c r="H344" s="793">
        <v>66401</v>
      </c>
      <c r="I344" s="793">
        <v>92031</v>
      </c>
      <c r="J344" s="793">
        <v>138871</v>
      </c>
      <c r="K344" s="793">
        <v>145260</v>
      </c>
      <c r="L344" s="793">
        <v>179168</v>
      </c>
      <c r="M344" s="793">
        <v>970959</v>
      </c>
      <c r="N344" s="793">
        <v>1331772</v>
      </c>
      <c r="O344" s="793">
        <v>1329478</v>
      </c>
      <c r="P344" s="793">
        <v>1301231</v>
      </c>
      <c r="Q344" s="793">
        <v>1559507</v>
      </c>
      <c r="R344" s="793">
        <v>1412330</v>
      </c>
      <c r="S344" s="793">
        <v>1444200</v>
      </c>
      <c r="T344" s="793">
        <v>1364200</v>
      </c>
      <c r="U344" s="971">
        <v>1350000</v>
      </c>
      <c r="V344" s="971">
        <v>1400000</v>
      </c>
      <c r="W344" s="971">
        <v>1617000</v>
      </c>
      <c r="X344" s="971">
        <v>1715000</v>
      </c>
      <c r="Y344" s="971">
        <v>1683000</v>
      </c>
      <c r="Z344" s="971">
        <v>1968000</v>
      </c>
      <c r="AA344" s="971">
        <v>1850000</v>
      </c>
      <c r="AB344" s="971">
        <v>1940000</v>
      </c>
    </row>
    <row r="345" spans="1:28" s="776" customFormat="1">
      <c r="A345" s="793"/>
      <c r="B345" s="922" t="s">
        <v>433</v>
      </c>
      <c r="C345" s="791"/>
      <c r="D345" s="791"/>
      <c r="E345" s="593"/>
      <c r="F345" s="892">
        <v>0</v>
      </c>
      <c r="G345" s="892">
        <v>0</v>
      </c>
      <c r="H345" s="892">
        <v>0</v>
      </c>
      <c r="I345" s="892">
        <v>0</v>
      </c>
      <c r="J345" s="892">
        <v>0</v>
      </c>
      <c r="K345" s="892">
        <v>0</v>
      </c>
      <c r="L345" s="892">
        <v>0</v>
      </c>
      <c r="M345" s="892">
        <v>132</v>
      </c>
      <c r="N345" s="892">
        <v>37</v>
      </c>
      <c r="O345" s="892">
        <v>1122</v>
      </c>
      <c r="P345" s="892">
        <v>449</v>
      </c>
      <c r="Q345" s="892">
        <v>3399</v>
      </c>
      <c r="R345" s="892">
        <v>7947</v>
      </c>
      <c r="S345" s="892">
        <v>8400</v>
      </c>
      <c r="T345" s="892">
        <v>12700</v>
      </c>
      <c r="U345" s="892">
        <v>21000</v>
      </c>
      <c r="V345" s="892">
        <v>36000</v>
      </c>
      <c r="W345" s="892">
        <v>40000</v>
      </c>
      <c r="X345" s="892">
        <v>43000</v>
      </c>
      <c r="Y345" s="892">
        <v>46000</v>
      </c>
      <c r="Z345" s="892">
        <v>40000</v>
      </c>
      <c r="AA345" s="892">
        <v>34000</v>
      </c>
      <c r="AB345" s="990">
        <v>35000</v>
      </c>
    </row>
    <row r="346" spans="1:28" s="776" customFormat="1">
      <c r="A346" s="793"/>
      <c r="B346" s="922" t="s">
        <v>486</v>
      </c>
      <c r="C346" s="791"/>
      <c r="D346" s="791"/>
      <c r="E346" s="593"/>
      <c r="F346" s="937">
        <f t="shared" ref="F346:AB346" si="189">F344-F345</f>
        <v>5014</v>
      </c>
      <c r="G346" s="937">
        <f t="shared" si="189"/>
        <v>28728</v>
      </c>
      <c r="H346" s="937">
        <f t="shared" si="189"/>
        <v>66401</v>
      </c>
      <c r="I346" s="937">
        <f t="shared" si="189"/>
        <v>92031</v>
      </c>
      <c r="J346" s="937">
        <f t="shared" si="189"/>
        <v>138871</v>
      </c>
      <c r="K346" s="937">
        <f t="shared" si="189"/>
        <v>145260</v>
      </c>
      <c r="L346" s="937">
        <f t="shared" si="189"/>
        <v>179168</v>
      </c>
      <c r="M346" s="937">
        <f t="shared" si="189"/>
        <v>970827</v>
      </c>
      <c r="N346" s="937">
        <f t="shared" si="189"/>
        <v>1331735</v>
      </c>
      <c r="O346" s="937">
        <f t="shared" si="189"/>
        <v>1328356</v>
      </c>
      <c r="P346" s="937">
        <f t="shared" si="189"/>
        <v>1300782</v>
      </c>
      <c r="Q346" s="937">
        <f t="shared" si="189"/>
        <v>1556108</v>
      </c>
      <c r="R346" s="937">
        <f t="shared" si="189"/>
        <v>1404383</v>
      </c>
      <c r="S346" s="937">
        <f t="shared" si="189"/>
        <v>1435800</v>
      </c>
      <c r="T346" s="937">
        <f t="shared" si="189"/>
        <v>1351500</v>
      </c>
      <c r="U346" s="937">
        <f t="shared" si="189"/>
        <v>1329000</v>
      </c>
      <c r="V346" s="937">
        <f t="shared" si="189"/>
        <v>1364000</v>
      </c>
      <c r="W346" s="937">
        <f t="shared" si="189"/>
        <v>1577000</v>
      </c>
      <c r="X346" s="937">
        <f t="shared" si="189"/>
        <v>1672000</v>
      </c>
      <c r="Y346" s="937">
        <f t="shared" si="189"/>
        <v>1637000</v>
      </c>
      <c r="Z346" s="937">
        <f t="shared" si="189"/>
        <v>1928000</v>
      </c>
      <c r="AA346" s="937">
        <f t="shared" si="189"/>
        <v>1816000</v>
      </c>
      <c r="AB346" s="937">
        <f t="shared" si="189"/>
        <v>1905000</v>
      </c>
    </row>
    <row r="347" spans="1:28" s="776" customFormat="1">
      <c r="A347" s="793"/>
      <c r="B347" s="922"/>
      <c r="C347" s="791"/>
      <c r="D347" s="791"/>
      <c r="E347" s="593"/>
      <c r="F347" s="937"/>
      <c r="G347" s="937"/>
      <c r="H347" s="937"/>
      <c r="I347" s="937"/>
      <c r="J347" s="937"/>
      <c r="K347" s="937"/>
      <c r="L347" s="937"/>
      <c r="M347" s="937"/>
      <c r="N347" s="937"/>
      <c r="O347" s="937"/>
      <c r="P347" s="937"/>
      <c r="Q347" s="937"/>
      <c r="R347" s="937"/>
      <c r="S347" s="937"/>
      <c r="T347" s="937"/>
      <c r="U347" s="937"/>
      <c r="V347" s="937"/>
      <c r="W347" s="937"/>
      <c r="X347" s="937"/>
      <c r="Y347" s="937"/>
      <c r="Z347" s="937"/>
      <c r="AA347" s="937"/>
      <c r="AB347" s="890"/>
    </row>
    <row r="348" spans="1:28" s="776" customFormat="1">
      <c r="A348" s="922" t="s">
        <v>434</v>
      </c>
      <c r="B348" s="922"/>
      <c r="C348" s="242"/>
      <c r="D348" s="791"/>
      <c r="E348" s="242"/>
      <c r="F348" s="900"/>
      <c r="G348" s="900"/>
      <c r="H348" s="900"/>
      <c r="I348" s="900"/>
      <c r="J348" s="900"/>
      <c r="K348" s="900"/>
      <c r="L348" s="900"/>
      <c r="M348" s="900"/>
      <c r="N348" s="900"/>
      <c r="O348" s="900"/>
      <c r="P348" s="900"/>
      <c r="Q348" s="900"/>
      <c r="R348" s="900"/>
      <c r="S348" s="900"/>
      <c r="T348" s="900"/>
      <c r="U348" s="900"/>
      <c r="V348" s="900"/>
      <c r="W348" s="900"/>
      <c r="X348" s="900"/>
      <c r="Y348" s="900"/>
      <c r="Z348" s="900"/>
      <c r="AA348" s="900"/>
      <c r="AB348" s="890"/>
    </row>
    <row r="349" spans="1:28" s="776" customFormat="1">
      <c r="A349" s="997" t="s">
        <v>153</v>
      </c>
      <c r="B349" s="921" t="s">
        <v>168</v>
      </c>
      <c r="C349" s="921"/>
      <c r="D349" s="921"/>
      <c r="E349" s="74"/>
      <c r="F349" s="900"/>
      <c r="G349" s="900"/>
      <c r="H349" s="900"/>
      <c r="I349" s="900"/>
      <c r="J349" s="900"/>
      <c r="K349" s="900"/>
      <c r="L349" s="900"/>
      <c r="M349" s="900"/>
      <c r="N349" s="900">
        <v>11328</v>
      </c>
      <c r="O349" s="900">
        <v>11507</v>
      </c>
      <c r="P349" s="900">
        <v>-35128</v>
      </c>
      <c r="Q349" s="900">
        <v>-16032</v>
      </c>
      <c r="R349" s="900">
        <v>-37604</v>
      </c>
      <c r="S349" s="900">
        <v>25215</v>
      </c>
      <c r="T349" s="900">
        <v>37600</v>
      </c>
      <c r="U349" s="900">
        <v>-17800</v>
      </c>
      <c r="V349" s="900">
        <v>-58000</v>
      </c>
      <c r="W349" s="900">
        <v>-37000</v>
      </c>
      <c r="X349" s="900">
        <v>-29000</v>
      </c>
      <c r="Y349" s="900">
        <v>-35000</v>
      </c>
      <c r="Z349" s="900">
        <v>-28000</v>
      </c>
      <c r="AA349" s="900">
        <v>-106000</v>
      </c>
      <c r="AB349" s="890">
        <v>29000</v>
      </c>
    </row>
    <row r="350" spans="1:28" s="776" customFormat="1">
      <c r="A350" s="793"/>
      <c r="B350" s="242" t="s">
        <v>435</v>
      </c>
      <c r="C350" s="242"/>
      <c r="D350" s="791"/>
      <c r="E350" s="242"/>
      <c r="F350" s="793">
        <v>5014</v>
      </c>
      <c r="G350" s="900"/>
      <c r="H350" s="793">
        <v>25486</v>
      </c>
      <c r="I350" s="793">
        <v>26554</v>
      </c>
      <c r="J350" s="793">
        <v>24702</v>
      </c>
      <c r="K350" s="793">
        <v>8037</v>
      </c>
      <c r="L350" s="793">
        <v>34138</v>
      </c>
      <c r="M350" s="793">
        <v>-3498</v>
      </c>
      <c r="N350" s="900"/>
      <c r="O350" s="900"/>
      <c r="P350" s="900"/>
      <c r="Q350" s="900"/>
      <c r="R350" s="900"/>
      <c r="S350" s="900"/>
      <c r="T350" s="900"/>
      <c r="U350" s="900"/>
      <c r="V350" s="900"/>
      <c r="W350" s="900"/>
      <c r="X350" s="900"/>
      <c r="Y350" s="900"/>
      <c r="Z350" s="900"/>
      <c r="AA350" s="900"/>
      <c r="AB350" s="890"/>
    </row>
    <row r="351" spans="1:28" s="776" customFormat="1">
      <c r="A351" s="793"/>
      <c r="B351" s="242" t="s">
        <v>349</v>
      </c>
      <c r="C351" s="242"/>
      <c r="D351" s="791"/>
      <c r="E351" s="242"/>
      <c r="F351" s="900"/>
      <c r="G351" s="900"/>
      <c r="H351" s="900"/>
      <c r="I351" s="900"/>
      <c r="J351" s="900"/>
      <c r="K351" s="900"/>
      <c r="L351" s="900"/>
      <c r="M351" s="900"/>
      <c r="N351" s="1004">
        <v>476073</v>
      </c>
      <c r="O351" s="900">
        <v>-13341</v>
      </c>
      <c r="P351" s="900">
        <v>8274</v>
      </c>
      <c r="Q351" s="1004">
        <v>366738</v>
      </c>
      <c r="R351" s="900"/>
      <c r="S351" s="900"/>
      <c r="T351" s="900">
        <v>0</v>
      </c>
      <c r="U351" s="900"/>
      <c r="V351" s="900"/>
      <c r="W351" s="900"/>
      <c r="X351" s="900"/>
      <c r="Y351" s="900"/>
      <c r="Z351" s="900"/>
      <c r="AA351" s="900"/>
      <c r="AB351" s="890"/>
    </row>
    <row r="352" spans="1:28" s="776" customFormat="1">
      <c r="A352" s="793"/>
      <c r="B352" s="242" t="s">
        <v>436</v>
      </c>
      <c r="C352" s="242"/>
      <c r="D352" s="791"/>
      <c r="E352" s="242"/>
      <c r="F352" s="900"/>
      <c r="G352" s="900">
        <v>23714</v>
      </c>
      <c r="H352" s="900"/>
      <c r="I352" s="900"/>
      <c r="J352" s="900"/>
      <c r="K352" s="900"/>
      <c r="L352" s="900"/>
      <c r="M352" s="900"/>
      <c r="N352" s="900"/>
      <c r="O352" s="900"/>
      <c r="P352" s="900"/>
      <c r="Q352" s="900"/>
      <c r="R352" s="900"/>
      <c r="S352" s="900"/>
      <c r="T352" s="900"/>
      <c r="U352" s="900"/>
      <c r="V352" s="900"/>
      <c r="W352" s="900"/>
      <c r="X352" s="900"/>
      <c r="Y352" s="900"/>
      <c r="Z352" s="900"/>
      <c r="AA352" s="900"/>
      <c r="AB352" s="890"/>
    </row>
    <row r="353" spans="1:28" s="776" customFormat="1">
      <c r="A353" s="793"/>
      <c r="B353" s="242" t="s">
        <v>437</v>
      </c>
      <c r="C353" s="242"/>
      <c r="D353" s="791"/>
      <c r="E353" s="242"/>
      <c r="F353" s="900"/>
      <c r="G353" s="900"/>
      <c r="H353" s="793">
        <v>12187</v>
      </c>
      <c r="I353" s="900"/>
      <c r="J353" s="793">
        <v>21576</v>
      </c>
      <c r="K353" s="900"/>
      <c r="L353" s="900"/>
      <c r="M353" s="900"/>
      <c r="N353" s="900"/>
      <c r="O353" s="900"/>
      <c r="P353" s="900"/>
      <c r="Q353" s="900">
        <v>2613</v>
      </c>
      <c r="R353" s="900">
        <v>0</v>
      </c>
      <c r="S353" s="900"/>
      <c r="T353" s="900">
        <v>0</v>
      </c>
      <c r="U353" s="900"/>
      <c r="V353" s="900"/>
      <c r="W353" s="900"/>
      <c r="X353" s="900"/>
      <c r="Y353" s="900"/>
      <c r="Z353" s="900"/>
      <c r="AA353" s="900"/>
      <c r="AB353" s="890"/>
    </row>
    <row r="354" spans="1:28" s="776" customFormat="1">
      <c r="A354" s="793"/>
      <c r="B354" s="73" t="s">
        <v>386</v>
      </c>
      <c r="C354" s="73"/>
      <c r="D354" s="922"/>
      <c r="E354" s="73"/>
      <c r="F354" s="900"/>
      <c r="G354" s="900"/>
      <c r="H354" s="900"/>
      <c r="I354" s="900"/>
      <c r="J354" s="900"/>
      <c r="K354" s="900"/>
      <c r="L354" s="900"/>
      <c r="M354" s="900"/>
      <c r="N354" s="1002">
        <v>4424</v>
      </c>
      <c r="O354" s="900">
        <v>0</v>
      </c>
      <c r="P354" s="900">
        <v>0</v>
      </c>
      <c r="Q354" s="900"/>
      <c r="R354" s="900"/>
      <c r="S354" s="900"/>
      <c r="T354" s="900">
        <v>0</v>
      </c>
      <c r="U354" s="900"/>
      <c r="V354" s="900"/>
      <c r="W354" s="900"/>
      <c r="X354" s="900"/>
      <c r="Y354" s="900"/>
      <c r="Z354" s="900"/>
      <c r="AA354" s="900"/>
      <c r="AB354" s="890"/>
    </row>
    <row r="355" spans="1:28" s="776" customFormat="1">
      <c r="A355" s="793"/>
      <c r="B355" s="1151" t="s">
        <v>438</v>
      </c>
      <c r="C355" s="1151"/>
      <c r="D355" s="1342"/>
      <c r="E355" s="242"/>
      <c r="F355" s="900"/>
      <c r="G355" s="900"/>
      <c r="H355" s="900"/>
      <c r="I355" s="900"/>
      <c r="J355" s="900"/>
      <c r="K355" s="900"/>
      <c r="L355" s="900"/>
      <c r="M355" s="926">
        <v>-22865</v>
      </c>
      <c r="N355" s="900"/>
      <c r="O355" s="900"/>
      <c r="P355" s="900"/>
      <c r="Q355" s="900"/>
      <c r="R355" s="900">
        <v>17410</v>
      </c>
      <c r="S355" s="900"/>
      <c r="T355" s="900"/>
      <c r="U355" s="900"/>
      <c r="V355" s="900"/>
      <c r="W355" s="900"/>
      <c r="X355" s="900"/>
      <c r="Y355" s="900"/>
      <c r="Z355" s="900"/>
      <c r="AA355" s="900"/>
      <c r="AB355" s="890"/>
    </row>
    <row r="356" spans="1:28" s="776" customFormat="1">
      <c r="A356" s="793"/>
      <c r="B356" s="1343" t="s">
        <v>439</v>
      </c>
      <c r="C356" s="1151"/>
      <c r="D356" s="1342"/>
      <c r="E356" s="242"/>
      <c r="F356" s="900"/>
      <c r="G356" s="900"/>
      <c r="H356" s="900"/>
      <c r="I356" s="900"/>
      <c r="J356" s="900"/>
      <c r="K356" s="900"/>
      <c r="L356" s="900"/>
      <c r="M356" s="900"/>
      <c r="N356" s="1004">
        <v>-16744</v>
      </c>
      <c r="O356" s="900">
        <v>-2859</v>
      </c>
      <c r="P356" s="900">
        <v>-720</v>
      </c>
      <c r="Q356" s="900"/>
      <c r="R356" s="900">
        <v>2410</v>
      </c>
      <c r="S356" s="900">
        <v>554</v>
      </c>
      <c r="T356" s="900"/>
      <c r="U356" s="900"/>
      <c r="V356" s="900"/>
      <c r="W356" s="900"/>
      <c r="X356" s="900"/>
      <c r="Y356" s="900"/>
      <c r="Z356" s="900"/>
      <c r="AA356" s="900"/>
      <c r="AB356" s="890"/>
    </row>
    <row r="357" spans="1:28" s="776" customFormat="1">
      <c r="A357" s="793"/>
      <c r="B357" s="242" t="s">
        <v>440</v>
      </c>
      <c r="C357" s="242"/>
      <c r="D357" s="791"/>
      <c r="E357" s="242"/>
      <c r="F357" s="900"/>
      <c r="G357" s="900"/>
      <c r="H357" s="900"/>
      <c r="I357" s="900"/>
      <c r="J357" s="900"/>
      <c r="K357" s="900"/>
      <c r="L357" s="900"/>
      <c r="M357" s="900"/>
      <c r="N357" s="900"/>
      <c r="O357" s="900"/>
      <c r="P357" s="900"/>
      <c r="Q357" s="900"/>
      <c r="R357" s="900">
        <v>0</v>
      </c>
      <c r="S357" s="900">
        <v>7648</v>
      </c>
      <c r="T357" s="900"/>
      <c r="U357" s="900"/>
      <c r="V357" s="900"/>
      <c r="W357" s="900"/>
      <c r="X357" s="900"/>
      <c r="Y357" s="900"/>
      <c r="Z357" s="900"/>
      <c r="AA357" s="900"/>
      <c r="AB357" s="890"/>
    </row>
    <row r="358" spans="1:28" s="776" customFormat="1">
      <c r="A358" s="793"/>
      <c r="B358" s="1344" t="s">
        <v>441</v>
      </c>
      <c r="C358" s="1344"/>
      <c r="D358" s="1345"/>
      <c r="E358" s="74"/>
      <c r="F358" s="902"/>
      <c r="G358" s="902"/>
      <c r="H358" s="902"/>
      <c r="I358" s="902"/>
      <c r="J358" s="902"/>
      <c r="K358" s="902"/>
      <c r="L358" s="902"/>
      <c r="M358" s="902"/>
      <c r="N358" s="902"/>
      <c r="O358" s="902"/>
      <c r="P358" s="902"/>
      <c r="Q358" s="902"/>
      <c r="R358" s="902">
        <v>0</v>
      </c>
      <c r="S358" s="1197">
        <v>23640</v>
      </c>
      <c r="T358" s="902"/>
      <c r="U358" s="902"/>
      <c r="V358" s="902"/>
      <c r="W358" s="902"/>
      <c r="X358" s="902"/>
      <c r="Y358" s="902"/>
      <c r="Z358" s="902"/>
      <c r="AA358" s="902"/>
      <c r="AB358" s="990"/>
    </row>
    <row r="359" spans="1:28" s="776" customFormat="1">
      <c r="A359" s="793"/>
      <c r="B359" s="242" t="s">
        <v>162</v>
      </c>
      <c r="C359" s="242"/>
      <c r="D359" s="791"/>
      <c r="E359" s="242"/>
      <c r="F359" s="900">
        <f>SUM(F349:F358)</f>
        <v>5014</v>
      </c>
      <c r="G359" s="900">
        <f t="shared" ref="G359:AB359" si="190">SUM(G349:G358)</f>
        <v>23714</v>
      </c>
      <c r="H359" s="900">
        <f t="shared" si="190"/>
        <v>37673</v>
      </c>
      <c r="I359" s="900">
        <f t="shared" si="190"/>
        <v>26554</v>
      </c>
      <c r="J359" s="900">
        <f t="shared" si="190"/>
        <v>46278</v>
      </c>
      <c r="K359" s="900">
        <f t="shared" si="190"/>
        <v>8037</v>
      </c>
      <c r="L359" s="900">
        <f t="shared" si="190"/>
        <v>34138</v>
      </c>
      <c r="M359" s="900">
        <f t="shared" si="190"/>
        <v>-26363</v>
      </c>
      <c r="N359" s="900">
        <f t="shared" si="190"/>
        <v>475081</v>
      </c>
      <c r="O359" s="900">
        <f t="shared" si="190"/>
        <v>-4693</v>
      </c>
      <c r="P359" s="900">
        <f t="shared" si="190"/>
        <v>-27574</v>
      </c>
      <c r="Q359" s="900">
        <f t="shared" si="190"/>
        <v>353319</v>
      </c>
      <c r="R359" s="900">
        <f t="shared" si="190"/>
        <v>-17784</v>
      </c>
      <c r="S359" s="900">
        <f t="shared" si="190"/>
        <v>57057</v>
      </c>
      <c r="T359" s="900">
        <f t="shared" si="190"/>
        <v>37600</v>
      </c>
      <c r="U359" s="900">
        <f t="shared" si="190"/>
        <v>-17800</v>
      </c>
      <c r="V359" s="900">
        <f t="shared" si="190"/>
        <v>-58000</v>
      </c>
      <c r="W359" s="900">
        <f t="shared" si="190"/>
        <v>-37000</v>
      </c>
      <c r="X359" s="900">
        <f t="shared" si="190"/>
        <v>-29000</v>
      </c>
      <c r="Y359" s="900">
        <f t="shared" si="190"/>
        <v>-35000</v>
      </c>
      <c r="Z359" s="900">
        <f t="shared" si="190"/>
        <v>-28000</v>
      </c>
      <c r="AA359" s="900">
        <f t="shared" si="190"/>
        <v>-106000</v>
      </c>
      <c r="AB359" s="900">
        <f t="shared" si="190"/>
        <v>29000</v>
      </c>
    </row>
    <row r="360" spans="1:28" s="776" customFormat="1">
      <c r="A360" s="997" t="s">
        <v>154</v>
      </c>
      <c r="B360" s="921" t="s">
        <v>442</v>
      </c>
      <c r="C360" s="74"/>
      <c r="D360" s="921"/>
      <c r="E360" s="921"/>
      <c r="F360" s="900"/>
      <c r="G360" s="900"/>
      <c r="H360" s="900"/>
      <c r="I360" s="900"/>
      <c r="J360" s="900"/>
      <c r="K360" s="900"/>
      <c r="L360" s="900"/>
      <c r="M360" s="900"/>
      <c r="N360" s="900"/>
      <c r="O360" s="900"/>
      <c r="P360" s="900"/>
      <c r="Q360" s="900"/>
      <c r="R360" s="900"/>
      <c r="S360" s="900"/>
      <c r="T360" s="900"/>
      <c r="U360" s="900"/>
      <c r="V360" s="900"/>
      <c r="W360" s="900"/>
      <c r="X360" s="900"/>
      <c r="Y360" s="900"/>
      <c r="Z360" s="900"/>
      <c r="AA360" s="900"/>
      <c r="AB360" s="890"/>
    </row>
    <row r="361" spans="1:28" s="776" customFormat="1">
      <c r="A361" s="793"/>
      <c r="B361" s="242" t="s">
        <v>443</v>
      </c>
      <c r="C361" s="242"/>
      <c r="D361" s="791"/>
      <c r="E361" s="242"/>
      <c r="F361" s="900"/>
      <c r="G361" s="900"/>
      <c r="H361" s="900"/>
      <c r="I361" s="900"/>
      <c r="J361" s="900"/>
      <c r="K361" s="900"/>
      <c r="L361" s="900"/>
      <c r="M361" s="900"/>
      <c r="N361" s="900">
        <v>-113928</v>
      </c>
      <c r="O361" s="900">
        <v>1191</v>
      </c>
      <c r="P361" s="900">
        <v>0</v>
      </c>
      <c r="Q361" s="900">
        <v>-103270</v>
      </c>
      <c r="R361" s="900">
        <v>0</v>
      </c>
      <c r="S361" s="900">
        <v>-4338</v>
      </c>
      <c r="T361" s="900">
        <v>-133300</v>
      </c>
      <c r="U361" s="900">
        <v>0</v>
      </c>
      <c r="V361" s="900">
        <v>92000</v>
      </c>
      <c r="W361" s="900">
        <v>248000</v>
      </c>
      <c r="X361" s="900">
        <v>120000</v>
      </c>
      <c r="Y361" s="900">
        <v>0</v>
      </c>
      <c r="Z361" s="900">
        <v>320000</v>
      </c>
      <c r="AA361" s="900">
        <v>-7000</v>
      </c>
      <c r="AB361" s="890">
        <v>58000</v>
      </c>
    </row>
    <row r="362" spans="1:28" s="776" customFormat="1">
      <c r="A362" s="793"/>
      <c r="B362" s="242" t="s">
        <v>1350</v>
      </c>
      <c r="C362" s="242"/>
      <c r="D362" s="791"/>
      <c r="E362" s="242"/>
      <c r="F362" s="900"/>
      <c r="G362" s="900"/>
      <c r="H362" s="900"/>
      <c r="I362" s="900"/>
      <c r="J362" s="900"/>
      <c r="K362" s="900"/>
      <c r="L362" s="900"/>
      <c r="M362" s="900"/>
      <c r="N362" s="900"/>
      <c r="O362" s="900"/>
      <c r="P362" s="900"/>
      <c r="Q362" s="900"/>
      <c r="R362" s="1004">
        <v>38691</v>
      </c>
      <c r="S362" s="1004">
        <v>-18013</v>
      </c>
      <c r="T362" s="900">
        <v>9200</v>
      </c>
      <c r="U362" s="900">
        <v>-4700</v>
      </c>
      <c r="V362" s="900">
        <v>0</v>
      </c>
      <c r="W362" s="900"/>
      <c r="X362" s="900"/>
      <c r="Y362" s="900"/>
      <c r="Z362" s="900"/>
      <c r="AA362" s="900"/>
      <c r="AB362" s="890"/>
    </row>
    <row r="363" spans="1:28" s="776" customFormat="1">
      <c r="A363" s="793"/>
      <c r="B363" s="242" t="s">
        <v>28</v>
      </c>
      <c r="C363" s="242"/>
      <c r="D363" s="791"/>
      <c r="E363" s="242"/>
      <c r="F363" s="900"/>
      <c r="G363" s="900"/>
      <c r="H363" s="900"/>
      <c r="I363" s="900"/>
      <c r="J363" s="900"/>
      <c r="K363" s="900"/>
      <c r="L363" s="900"/>
      <c r="M363" s="900"/>
      <c r="N363" s="900"/>
      <c r="O363" s="900"/>
      <c r="P363" s="900"/>
      <c r="Q363" s="900"/>
      <c r="R363" s="900"/>
      <c r="S363" s="900"/>
      <c r="T363" s="900"/>
      <c r="U363" s="900"/>
      <c r="V363" s="900"/>
      <c r="W363" s="900"/>
      <c r="X363" s="900"/>
      <c r="Y363" s="900"/>
      <c r="Z363" s="900">
        <v>-1000</v>
      </c>
      <c r="AA363" s="900">
        <v>1000</v>
      </c>
      <c r="AB363" s="890">
        <v>2000</v>
      </c>
    </row>
    <row r="364" spans="1:28" s="776" customFormat="1">
      <c r="A364" s="793"/>
      <c r="B364" s="1344" t="s">
        <v>444</v>
      </c>
      <c r="C364" s="1344"/>
      <c r="D364" s="1345"/>
      <c r="E364" s="74"/>
      <c r="F364" s="902"/>
      <c r="G364" s="902"/>
      <c r="H364" s="902"/>
      <c r="I364" s="902"/>
      <c r="J364" s="902"/>
      <c r="K364" s="902"/>
      <c r="L364" s="902"/>
      <c r="M364" s="902"/>
      <c r="N364" s="902"/>
      <c r="O364" s="902"/>
      <c r="P364" s="902"/>
      <c r="Q364" s="902"/>
      <c r="R364" s="1197">
        <v>-147153</v>
      </c>
      <c r="S364" s="902">
        <v>0</v>
      </c>
      <c r="T364" s="902"/>
      <c r="U364" s="902"/>
      <c r="V364" s="902"/>
      <c r="W364" s="902"/>
      <c r="X364" s="902"/>
      <c r="Y364" s="902"/>
      <c r="Z364" s="902"/>
      <c r="AA364" s="902"/>
      <c r="AB364" s="990"/>
    </row>
    <row r="365" spans="1:28" s="776" customFormat="1">
      <c r="A365" s="793"/>
      <c r="B365" s="242" t="s">
        <v>162</v>
      </c>
      <c r="C365" s="242"/>
      <c r="D365" s="791"/>
      <c r="E365" s="242"/>
      <c r="F365" s="900">
        <f t="shared" ref="F365:AB365" si="191">SUM(F361:F364)</f>
        <v>0</v>
      </c>
      <c r="G365" s="900">
        <f t="shared" si="191"/>
        <v>0</v>
      </c>
      <c r="H365" s="900">
        <f t="shared" si="191"/>
        <v>0</v>
      </c>
      <c r="I365" s="900">
        <f t="shared" si="191"/>
        <v>0</v>
      </c>
      <c r="J365" s="900">
        <f t="shared" si="191"/>
        <v>0</v>
      </c>
      <c r="K365" s="900">
        <f t="shared" si="191"/>
        <v>0</v>
      </c>
      <c r="L365" s="900">
        <f t="shared" si="191"/>
        <v>0</v>
      </c>
      <c r="M365" s="900">
        <f t="shared" si="191"/>
        <v>0</v>
      </c>
      <c r="N365" s="900">
        <f t="shared" si="191"/>
        <v>-113928</v>
      </c>
      <c r="O365" s="900">
        <f t="shared" si="191"/>
        <v>1191</v>
      </c>
      <c r="P365" s="900">
        <f t="shared" si="191"/>
        <v>0</v>
      </c>
      <c r="Q365" s="900">
        <f t="shared" si="191"/>
        <v>-103270</v>
      </c>
      <c r="R365" s="900">
        <f t="shared" si="191"/>
        <v>-108462</v>
      </c>
      <c r="S365" s="900">
        <f t="shared" si="191"/>
        <v>-22351</v>
      </c>
      <c r="T365" s="900">
        <f t="shared" si="191"/>
        <v>-124100</v>
      </c>
      <c r="U365" s="900">
        <f t="shared" si="191"/>
        <v>-4700</v>
      </c>
      <c r="V365" s="900">
        <f t="shared" si="191"/>
        <v>92000</v>
      </c>
      <c r="W365" s="900">
        <f t="shared" si="191"/>
        <v>248000</v>
      </c>
      <c r="X365" s="900">
        <f t="shared" si="191"/>
        <v>120000</v>
      </c>
      <c r="Y365" s="900">
        <f t="shared" si="191"/>
        <v>0</v>
      </c>
      <c r="Z365" s="900">
        <f t="shared" si="191"/>
        <v>319000</v>
      </c>
      <c r="AA365" s="900">
        <f t="shared" si="191"/>
        <v>-6000</v>
      </c>
      <c r="AB365" s="900">
        <f t="shared" si="191"/>
        <v>60000</v>
      </c>
    </row>
    <row r="366" spans="1:28" s="776" customFormat="1">
      <c r="A366" s="997" t="s">
        <v>445</v>
      </c>
      <c r="B366" s="1345" t="s">
        <v>439</v>
      </c>
      <c r="C366" s="1344"/>
      <c r="D366" s="1345"/>
      <c r="E366" s="74"/>
      <c r="F366" s="900"/>
      <c r="G366" s="900"/>
      <c r="H366" s="900"/>
      <c r="I366" s="900"/>
      <c r="J366" s="900"/>
      <c r="K366" s="900"/>
      <c r="L366" s="900"/>
      <c r="M366" s="900"/>
      <c r="N366" s="900"/>
      <c r="O366" s="900"/>
      <c r="P366" s="900"/>
      <c r="Q366" s="900"/>
      <c r="R366" s="900"/>
      <c r="S366" s="900"/>
      <c r="T366" s="900"/>
      <c r="U366" s="900"/>
      <c r="V366" s="900"/>
      <c r="W366" s="900"/>
      <c r="X366" s="900"/>
      <c r="Y366" s="900"/>
      <c r="Z366" s="900"/>
      <c r="AA366" s="900"/>
      <c r="AB366" s="890"/>
    </row>
    <row r="367" spans="1:28" s="776" customFormat="1">
      <c r="A367" s="793"/>
      <c r="B367" s="242" t="s">
        <v>343</v>
      </c>
      <c r="C367" s="242"/>
      <c r="D367" s="791"/>
      <c r="E367" s="242"/>
      <c r="F367" s="900"/>
      <c r="G367" s="900"/>
      <c r="H367" s="900"/>
      <c r="I367" s="900"/>
      <c r="J367" s="900"/>
      <c r="K367" s="900"/>
      <c r="L367" s="900"/>
      <c r="M367" s="900"/>
      <c r="N367" s="900"/>
      <c r="O367" s="900"/>
      <c r="P367" s="900"/>
      <c r="Q367" s="900"/>
      <c r="R367" s="1004">
        <v>-2610</v>
      </c>
      <c r="S367" s="900">
        <v>0</v>
      </c>
      <c r="T367" s="900">
        <v>0</v>
      </c>
      <c r="U367" s="900"/>
      <c r="V367" s="900"/>
      <c r="W367" s="900"/>
      <c r="X367" s="900"/>
      <c r="Y367" s="900"/>
      <c r="Z367" s="900"/>
      <c r="AA367" s="900"/>
      <c r="AB367" s="890"/>
    </row>
    <row r="368" spans="1:28" s="776" customFormat="1">
      <c r="A368" s="793"/>
      <c r="B368" s="242" t="s">
        <v>404</v>
      </c>
      <c r="C368" s="242"/>
      <c r="D368" s="791"/>
      <c r="E368" s="242"/>
      <c r="F368" s="900"/>
      <c r="G368" s="900"/>
      <c r="H368" s="900"/>
      <c r="I368" s="900"/>
      <c r="J368" s="900"/>
      <c r="K368" s="900"/>
      <c r="L368" s="900"/>
      <c r="M368" s="900"/>
      <c r="N368" s="900"/>
      <c r="O368" s="900"/>
      <c r="P368" s="900"/>
      <c r="Q368" s="900"/>
      <c r="R368" s="900">
        <v>24</v>
      </c>
      <c r="S368" s="900">
        <v>0</v>
      </c>
      <c r="T368" s="900">
        <v>0</v>
      </c>
      <c r="U368" s="900"/>
      <c r="V368" s="900"/>
      <c r="W368" s="900"/>
      <c r="X368" s="900"/>
      <c r="Y368" s="900"/>
      <c r="Z368" s="900"/>
      <c r="AA368" s="900"/>
      <c r="AB368" s="890"/>
    </row>
    <row r="369" spans="1:28" s="776" customFormat="1">
      <c r="A369" s="793"/>
      <c r="B369" s="74" t="s">
        <v>446</v>
      </c>
      <c r="C369" s="74"/>
      <c r="D369" s="921"/>
      <c r="E369" s="74"/>
      <c r="F369" s="902"/>
      <c r="G369" s="902"/>
      <c r="H369" s="902"/>
      <c r="I369" s="902"/>
      <c r="J369" s="902"/>
      <c r="K369" s="902"/>
      <c r="L369" s="902"/>
      <c r="M369" s="902"/>
      <c r="N369" s="902"/>
      <c r="O369" s="902"/>
      <c r="P369" s="902"/>
      <c r="Q369" s="902"/>
      <c r="R369" s="902">
        <v>6</v>
      </c>
      <c r="S369" s="902">
        <v>0</v>
      </c>
      <c r="T369" s="902">
        <v>0</v>
      </c>
      <c r="U369" s="902"/>
      <c r="V369" s="902"/>
      <c r="W369" s="902"/>
      <c r="X369" s="902"/>
      <c r="Y369" s="902"/>
      <c r="Z369" s="902"/>
      <c r="AA369" s="902"/>
      <c r="AB369" s="990"/>
    </row>
    <row r="370" spans="1:28" s="776" customFormat="1">
      <c r="A370" s="793"/>
      <c r="B370" s="242" t="s">
        <v>162</v>
      </c>
      <c r="C370" s="242"/>
      <c r="D370" s="791"/>
      <c r="E370" s="242"/>
      <c r="F370" s="900">
        <f t="shared" ref="F370:AA370" si="192">SUM(F367:F369)</f>
        <v>0</v>
      </c>
      <c r="G370" s="900">
        <f t="shared" si="192"/>
        <v>0</v>
      </c>
      <c r="H370" s="900">
        <f t="shared" si="192"/>
        <v>0</v>
      </c>
      <c r="I370" s="900">
        <f t="shared" si="192"/>
        <v>0</v>
      </c>
      <c r="J370" s="900">
        <f t="shared" si="192"/>
        <v>0</v>
      </c>
      <c r="K370" s="900">
        <f t="shared" si="192"/>
        <v>0</v>
      </c>
      <c r="L370" s="900">
        <f t="shared" si="192"/>
        <v>0</v>
      </c>
      <c r="M370" s="900">
        <f t="shared" si="192"/>
        <v>0</v>
      </c>
      <c r="N370" s="900">
        <f t="shared" si="192"/>
        <v>0</v>
      </c>
      <c r="O370" s="900">
        <f t="shared" si="192"/>
        <v>0</v>
      </c>
      <c r="P370" s="900">
        <f t="shared" si="192"/>
        <v>0</v>
      </c>
      <c r="Q370" s="900">
        <f t="shared" si="192"/>
        <v>0</v>
      </c>
      <c r="R370" s="900">
        <f t="shared" si="192"/>
        <v>-2580</v>
      </c>
      <c r="S370" s="900">
        <f t="shared" si="192"/>
        <v>0</v>
      </c>
      <c r="T370" s="900">
        <f t="shared" si="192"/>
        <v>0</v>
      </c>
      <c r="U370" s="900">
        <f t="shared" si="192"/>
        <v>0</v>
      </c>
      <c r="V370" s="900">
        <f t="shared" si="192"/>
        <v>0</v>
      </c>
      <c r="W370" s="900">
        <f t="shared" si="192"/>
        <v>0</v>
      </c>
      <c r="X370" s="900">
        <f t="shared" si="192"/>
        <v>0</v>
      </c>
      <c r="Y370" s="900">
        <f t="shared" si="192"/>
        <v>0</v>
      </c>
      <c r="Z370" s="900">
        <f t="shared" si="192"/>
        <v>0</v>
      </c>
      <c r="AA370" s="900">
        <f t="shared" si="192"/>
        <v>0</v>
      </c>
      <c r="AB370" s="890"/>
    </row>
    <row r="371" spans="1:28" s="776" customFormat="1">
      <c r="A371" s="793" t="s">
        <v>447</v>
      </c>
      <c r="B371" s="921" t="s">
        <v>28</v>
      </c>
      <c r="C371" s="921"/>
      <c r="D371" s="921"/>
      <c r="E371" s="921"/>
      <c r="F371" s="900"/>
      <c r="G371" s="900"/>
      <c r="H371" s="900"/>
      <c r="I371" s="900"/>
      <c r="J371" s="900"/>
      <c r="K371" s="900"/>
      <c r="L371" s="900"/>
      <c r="M371" s="900"/>
      <c r="N371" s="900"/>
      <c r="O371" s="900"/>
      <c r="P371" s="900"/>
      <c r="Q371" s="900"/>
      <c r="R371" s="900"/>
      <c r="S371" s="900"/>
      <c r="T371" s="900"/>
      <c r="U371" s="900"/>
      <c r="V371" s="900"/>
      <c r="W371" s="900"/>
      <c r="X371" s="900"/>
      <c r="Y371" s="900"/>
      <c r="Z371" s="900"/>
      <c r="AA371" s="900"/>
      <c r="AB371" s="890"/>
    </row>
    <row r="372" spans="1:28" s="776" customFormat="1">
      <c r="A372" s="793"/>
      <c r="B372" s="242" t="s">
        <v>448</v>
      </c>
      <c r="C372" s="242"/>
      <c r="D372" s="791"/>
      <c r="E372" s="242"/>
      <c r="F372" s="900"/>
      <c r="G372" s="900"/>
      <c r="H372" s="900"/>
      <c r="I372" s="900"/>
      <c r="J372" s="900"/>
      <c r="K372" s="900"/>
      <c r="L372" s="900"/>
      <c r="M372" s="900"/>
      <c r="N372" s="900"/>
      <c r="O372" s="900"/>
      <c r="P372" s="900"/>
      <c r="Q372" s="900"/>
      <c r="R372" s="1004">
        <v>-22899</v>
      </c>
      <c r="S372" s="900">
        <v>0</v>
      </c>
      <c r="T372" s="900">
        <v>0</v>
      </c>
      <c r="U372" s="900"/>
      <c r="V372" s="900"/>
      <c r="W372" s="900"/>
      <c r="X372" s="900"/>
      <c r="Y372" s="900"/>
      <c r="Z372" s="900"/>
      <c r="AA372" s="900"/>
      <c r="AB372" s="890"/>
    </row>
    <row r="373" spans="1:28" s="776" customFormat="1">
      <c r="A373" s="793"/>
      <c r="B373" s="242" t="s">
        <v>449</v>
      </c>
      <c r="C373" s="242"/>
      <c r="D373" s="791"/>
      <c r="E373" s="242"/>
      <c r="F373" s="900"/>
      <c r="G373" s="900"/>
      <c r="H373" s="900"/>
      <c r="I373" s="900"/>
      <c r="J373" s="900"/>
      <c r="K373" s="900"/>
      <c r="L373" s="900"/>
      <c r="M373" s="900"/>
      <c r="N373" s="900"/>
      <c r="O373" s="900"/>
      <c r="P373" s="900"/>
      <c r="Q373" s="900"/>
      <c r="R373" s="900">
        <v>0</v>
      </c>
      <c r="S373" s="900">
        <v>100</v>
      </c>
      <c r="T373" s="900">
        <v>-100</v>
      </c>
      <c r="U373" s="900">
        <v>300</v>
      </c>
      <c r="V373" s="900">
        <v>-1000</v>
      </c>
      <c r="W373" s="900">
        <v>3000</v>
      </c>
      <c r="X373" s="900"/>
      <c r="Y373" s="900"/>
      <c r="Z373" s="900"/>
      <c r="AA373" s="900"/>
      <c r="AB373" s="890"/>
    </row>
    <row r="374" spans="1:28" s="776" customFormat="1">
      <c r="A374" s="793"/>
      <c r="B374" s="242" t="s">
        <v>450</v>
      </c>
      <c r="C374" s="242"/>
      <c r="D374" s="791"/>
      <c r="E374" s="242"/>
      <c r="F374" s="900"/>
      <c r="G374" s="900"/>
      <c r="H374" s="900"/>
      <c r="I374" s="900"/>
      <c r="J374" s="900"/>
      <c r="K374" s="900"/>
      <c r="L374" s="900"/>
      <c r="M374" s="900"/>
      <c r="N374" s="900"/>
      <c r="O374" s="900"/>
      <c r="P374" s="900"/>
      <c r="Q374" s="900"/>
      <c r="R374" s="900"/>
      <c r="S374" s="900"/>
      <c r="T374" s="900">
        <v>-400</v>
      </c>
      <c r="U374" s="900"/>
      <c r="V374" s="900">
        <v>4000</v>
      </c>
      <c r="W374" s="900">
        <v>0</v>
      </c>
      <c r="X374" s="900"/>
      <c r="Y374" s="900"/>
      <c r="Z374" s="900"/>
      <c r="AA374" s="900"/>
      <c r="AB374" s="890"/>
    </row>
    <row r="375" spans="1:28" s="776" customFormat="1">
      <c r="A375" s="793"/>
      <c r="B375" s="1343" t="s">
        <v>451</v>
      </c>
      <c r="C375" s="1151"/>
      <c r="D375" s="1342"/>
      <c r="E375" s="242"/>
      <c r="F375" s="900"/>
      <c r="G375" s="900"/>
      <c r="H375" s="900"/>
      <c r="I375" s="900"/>
      <c r="J375" s="900"/>
      <c r="K375" s="900"/>
      <c r="L375" s="900"/>
      <c r="M375" s="900"/>
      <c r="N375" s="900"/>
      <c r="O375" s="900"/>
      <c r="P375" s="900"/>
      <c r="Q375" s="1004">
        <v>14748</v>
      </c>
      <c r="R375" s="900"/>
      <c r="S375" s="900"/>
      <c r="T375" s="900"/>
      <c r="U375" s="900"/>
      <c r="V375" s="900"/>
      <c r="W375" s="900"/>
      <c r="X375" s="900"/>
      <c r="Y375" s="900"/>
      <c r="Z375" s="900"/>
      <c r="AA375" s="900"/>
      <c r="AB375" s="890"/>
    </row>
    <row r="376" spans="1:28" s="776" customFormat="1">
      <c r="A376" s="793"/>
      <c r="B376" s="242" t="s">
        <v>404</v>
      </c>
      <c r="C376" s="242"/>
      <c r="D376" s="791"/>
      <c r="E376" s="242"/>
      <c r="F376" s="900"/>
      <c r="G376" s="900"/>
      <c r="H376" s="900"/>
      <c r="I376" s="900"/>
      <c r="J376" s="900"/>
      <c r="K376" s="900"/>
      <c r="L376" s="900"/>
      <c r="M376" s="900"/>
      <c r="N376" s="900">
        <v>-126</v>
      </c>
      <c r="O376" s="900">
        <v>123</v>
      </c>
      <c r="P376" s="900">
        <v>0</v>
      </c>
      <c r="Q376" s="900">
        <v>-18</v>
      </c>
      <c r="R376" s="900"/>
      <c r="S376" s="900"/>
      <c r="T376" s="900"/>
      <c r="U376" s="900"/>
      <c r="V376" s="900"/>
      <c r="W376" s="900"/>
      <c r="X376" s="900"/>
      <c r="Y376" s="900"/>
      <c r="Z376" s="900"/>
      <c r="AA376" s="900"/>
      <c r="AB376" s="890"/>
    </row>
    <row r="377" spans="1:28" s="776" customFormat="1">
      <c r="A377" s="793"/>
      <c r="B377" s="242" t="s">
        <v>446</v>
      </c>
      <c r="C377" s="242"/>
      <c r="D377" s="791"/>
      <c r="E377" s="242"/>
      <c r="F377" s="900"/>
      <c r="G377" s="900"/>
      <c r="H377" s="900"/>
      <c r="I377" s="900"/>
      <c r="J377" s="900"/>
      <c r="K377" s="900"/>
      <c r="L377" s="900"/>
      <c r="M377" s="900"/>
      <c r="N377" s="900">
        <v>-119</v>
      </c>
      <c r="O377" s="900"/>
      <c r="P377" s="900">
        <v>0</v>
      </c>
      <c r="Q377" s="900">
        <v>-11</v>
      </c>
      <c r="R377" s="900"/>
      <c r="S377" s="900"/>
      <c r="T377" s="900"/>
      <c r="U377" s="900"/>
      <c r="V377" s="900"/>
      <c r="W377" s="900"/>
      <c r="X377" s="900"/>
      <c r="Y377" s="900"/>
      <c r="Z377" s="900"/>
      <c r="AA377" s="900"/>
      <c r="AB377" s="890"/>
    </row>
    <row r="378" spans="1:28" s="776" customFormat="1">
      <c r="A378" s="793"/>
      <c r="B378" s="242" t="s">
        <v>28</v>
      </c>
      <c r="C378" s="242"/>
      <c r="D378" s="791"/>
      <c r="E378" s="242"/>
      <c r="F378" s="900"/>
      <c r="G378" s="900"/>
      <c r="H378" s="900"/>
      <c r="I378" s="793">
        <v>-924</v>
      </c>
      <c r="J378" s="793">
        <v>562</v>
      </c>
      <c r="K378" s="793">
        <v>-1648</v>
      </c>
      <c r="L378" s="793">
        <v>-230</v>
      </c>
      <c r="M378" s="793">
        <v>-716</v>
      </c>
      <c r="N378" s="793">
        <v>-230</v>
      </c>
      <c r="O378" s="900"/>
      <c r="P378" s="900"/>
      <c r="Q378" s="900"/>
      <c r="R378" s="900"/>
      <c r="S378" s="900"/>
      <c r="T378" s="900"/>
      <c r="U378" s="900"/>
      <c r="V378" s="900">
        <v>-2000</v>
      </c>
      <c r="W378" s="900">
        <v>-1000</v>
      </c>
      <c r="X378" s="900"/>
      <c r="Y378" s="900"/>
      <c r="Z378" s="900"/>
      <c r="AA378" s="900"/>
      <c r="AB378" s="890"/>
    </row>
    <row r="379" spans="1:28" s="776" customFormat="1">
      <c r="A379" s="793"/>
      <c r="B379" s="242" t="s">
        <v>452</v>
      </c>
      <c r="C379" s="242"/>
      <c r="D379" s="791"/>
      <c r="E379" s="242"/>
      <c r="F379" s="900"/>
      <c r="G379" s="900"/>
      <c r="H379" s="900"/>
      <c r="I379" s="900"/>
      <c r="J379" s="900"/>
      <c r="K379" s="900"/>
      <c r="L379" s="900"/>
      <c r="M379" s="999">
        <v>360908</v>
      </c>
      <c r="N379" s="900"/>
      <c r="O379" s="900"/>
      <c r="P379" s="900"/>
      <c r="Q379" s="900"/>
      <c r="R379" s="900"/>
      <c r="S379" s="900"/>
      <c r="T379" s="900"/>
      <c r="U379" s="900"/>
      <c r="V379" s="900"/>
      <c r="W379" s="900"/>
      <c r="X379" s="900"/>
      <c r="Y379" s="900"/>
      <c r="Z379" s="900"/>
      <c r="AA379" s="900"/>
      <c r="AB379" s="890"/>
    </row>
    <row r="380" spans="1:28" s="776" customFormat="1">
      <c r="A380" s="793"/>
      <c r="B380" s="242" t="s">
        <v>452</v>
      </c>
      <c r="C380" s="242"/>
      <c r="D380" s="791"/>
      <c r="E380" s="242"/>
      <c r="F380" s="900"/>
      <c r="G380" s="900"/>
      <c r="H380" s="900"/>
      <c r="I380" s="900"/>
      <c r="J380" s="900"/>
      <c r="K380" s="900"/>
      <c r="L380" s="900"/>
      <c r="M380" s="1000">
        <v>457962</v>
      </c>
      <c r="N380" s="900"/>
      <c r="O380" s="900"/>
      <c r="P380" s="900"/>
      <c r="Q380" s="900"/>
      <c r="R380" s="900"/>
      <c r="S380" s="900"/>
      <c r="T380" s="900"/>
      <c r="U380" s="900"/>
      <c r="V380" s="900"/>
      <c r="W380" s="900"/>
      <c r="X380" s="900"/>
      <c r="Y380" s="900"/>
      <c r="Z380" s="900"/>
      <c r="AA380" s="900"/>
      <c r="AB380" s="890"/>
    </row>
    <row r="381" spans="1:28" s="776" customFormat="1">
      <c r="A381" s="793" t="s">
        <v>453</v>
      </c>
      <c r="B381" s="74" t="s">
        <v>454</v>
      </c>
      <c r="C381" s="74"/>
      <c r="D381" s="921"/>
      <c r="E381" s="74"/>
      <c r="F381" s="902"/>
      <c r="G381" s="902"/>
      <c r="H381" s="902"/>
      <c r="I381" s="902"/>
      <c r="J381" s="902"/>
      <c r="K381" s="902"/>
      <c r="L381" s="902"/>
      <c r="M381" s="902"/>
      <c r="N381" s="902"/>
      <c r="O381" s="902"/>
      <c r="P381" s="902"/>
      <c r="Q381" s="902"/>
      <c r="R381" s="74"/>
      <c r="S381" s="902">
        <v>-3405</v>
      </c>
      <c r="T381" s="902">
        <v>2700</v>
      </c>
      <c r="U381" s="902"/>
      <c r="V381" s="902"/>
      <c r="W381" s="902"/>
      <c r="X381" s="902"/>
      <c r="Y381" s="902"/>
      <c r="Z381" s="902"/>
      <c r="AA381" s="902"/>
      <c r="AB381" s="990"/>
    </row>
    <row r="382" spans="1:28" s="776" customFormat="1">
      <c r="A382" s="793"/>
      <c r="B382" s="791" t="s">
        <v>455</v>
      </c>
      <c r="C382" s="242"/>
      <c r="D382" s="791"/>
      <c r="E382" s="242"/>
      <c r="F382" s="900">
        <f t="shared" ref="F382:AA382" si="193">SUM(F372:F381)</f>
        <v>0</v>
      </c>
      <c r="G382" s="900">
        <f t="shared" si="193"/>
        <v>0</v>
      </c>
      <c r="H382" s="900">
        <f t="shared" si="193"/>
        <v>0</v>
      </c>
      <c r="I382" s="900">
        <f t="shared" si="193"/>
        <v>-924</v>
      </c>
      <c r="J382" s="900">
        <f t="shared" si="193"/>
        <v>562</v>
      </c>
      <c r="K382" s="900">
        <f t="shared" si="193"/>
        <v>-1648</v>
      </c>
      <c r="L382" s="900">
        <f t="shared" si="193"/>
        <v>-230</v>
      </c>
      <c r="M382" s="900">
        <f t="shared" si="193"/>
        <v>818154</v>
      </c>
      <c r="N382" s="900">
        <f t="shared" si="193"/>
        <v>-475</v>
      </c>
      <c r="O382" s="900">
        <f t="shared" si="193"/>
        <v>123</v>
      </c>
      <c r="P382" s="900">
        <f t="shared" si="193"/>
        <v>0</v>
      </c>
      <c r="Q382" s="900">
        <f t="shared" si="193"/>
        <v>14719</v>
      </c>
      <c r="R382" s="900">
        <f t="shared" si="193"/>
        <v>-22899</v>
      </c>
      <c r="S382" s="900">
        <f t="shared" si="193"/>
        <v>-3305</v>
      </c>
      <c r="T382" s="900">
        <f t="shared" si="193"/>
        <v>2200</v>
      </c>
      <c r="U382" s="900">
        <f t="shared" si="193"/>
        <v>300</v>
      </c>
      <c r="V382" s="900">
        <f t="shared" si="193"/>
        <v>1000</v>
      </c>
      <c r="W382" s="900">
        <f t="shared" si="193"/>
        <v>2000</v>
      </c>
      <c r="X382" s="900">
        <f t="shared" si="193"/>
        <v>0</v>
      </c>
      <c r="Y382" s="900">
        <f t="shared" si="193"/>
        <v>0</v>
      </c>
      <c r="Z382" s="900">
        <f t="shared" si="193"/>
        <v>0</v>
      </c>
      <c r="AA382" s="900">
        <f t="shared" si="193"/>
        <v>0</v>
      </c>
      <c r="AB382" s="890"/>
    </row>
    <row r="383" spans="1:28" s="776" customFormat="1">
      <c r="A383" s="793"/>
      <c r="B383" s="242"/>
      <c r="C383" s="242"/>
      <c r="D383" s="791"/>
      <c r="E383" s="242"/>
      <c r="F383" s="900"/>
      <c r="G383" s="900"/>
      <c r="H383" s="900"/>
      <c r="I383" s="900"/>
      <c r="J383" s="900"/>
      <c r="K383" s="900"/>
      <c r="L383" s="900"/>
      <c r="M383" s="900"/>
      <c r="N383" s="900"/>
      <c r="O383" s="900"/>
      <c r="P383" s="900"/>
      <c r="Q383" s="900"/>
      <c r="R383" s="900"/>
      <c r="S383" s="900"/>
      <c r="T383" s="900"/>
      <c r="U383" s="900"/>
      <c r="V383" s="900"/>
      <c r="W383" s="900"/>
      <c r="X383" s="900"/>
      <c r="Y383" s="900"/>
      <c r="Z383" s="900"/>
      <c r="AA383" s="900"/>
      <c r="AB383" s="890"/>
    </row>
    <row r="384" spans="1:28" s="776" customFormat="1">
      <c r="A384" s="793"/>
      <c r="B384" s="242" t="s">
        <v>1341</v>
      </c>
      <c r="C384" s="242"/>
      <c r="D384" s="791"/>
      <c r="E384" s="242"/>
      <c r="F384" s="900">
        <f t="shared" ref="F384:AB384" si="194">F359+F365+F370+F382</f>
        <v>5014</v>
      </c>
      <c r="G384" s="900">
        <f t="shared" si="194"/>
        <v>23714</v>
      </c>
      <c r="H384" s="900">
        <f t="shared" si="194"/>
        <v>37673</v>
      </c>
      <c r="I384" s="900">
        <f t="shared" si="194"/>
        <v>25630</v>
      </c>
      <c r="J384" s="900">
        <f t="shared" si="194"/>
        <v>46840</v>
      </c>
      <c r="K384" s="900">
        <f t="shared" si="194"/>
        <v>6389</v>
      </c>
      <c r="L384" s="900">
        <f t="shared" si="194"/>
        <v>33908</v>
      </c>
      <c r="M384" s="900">
        <f t="shared" si="194"/>
        <v>791791</v>
      </c>
      <c r="N384" s="900">
        <f t="shared" si="194"/>
        <v>360678</v>
      </c>
      <c r="O384" s="900">
        <f t="shared" si="194"/>
        <v>-3379</v>
      </c>
      <c r="P384" s="900">
        <f t="shared" si="194"/>
        <v>-27574</v>
      </c>
      <c r="Q384" s="900">
        <f t="shared" si="194"/>
        <v>264768</v>
      </c>
      <c r="R384" s="900">
        <f t="shared" si="194"/>
        <v>-151725</v>
      </c>
      <c r="S384" s="900">
        <f t="shared" si="194"/>
        <v>31401</v>
      </c>
      <c r="T384" s="900">
        <f t="shared" si="194"/>
        <v>-84300</v>
      </c>
      <c r="U384" s="900">
        <f t="shared" si="194"/>
        <v>-22200</v>
      </c>
      <c r="V384" s="900">
        <f t="shared" si="194"/>
        <v>35000</v>
      </c>
      <c r="W384" s="900">
        <f t="shared" si="194"/>
        <v>213000</v>
      </c>
      <c r="X384" s="900">
        <f t="shared" si="194"/>
        <v>91000</v>
      </c>
      <c r="Y384" s="900">
        <f t="shared" si="194"/>
        <v>-35000</v>
      </c>
      <c r="Z384" s="900">
        <f t="shared" si="194"/>
        <v>291000</v>
      </c>
      <c r="AA384" s="900">
        <f t="shared" si="194"/>
        <v>-112000</v>
      </c>
      <c r="AB384" s="900">
        <f t="shared" si="194"/>
        <v>89000</v>
      </c>
    </row>
    <row r="385" spans="1:28" s="776" customFormat="1">
      <c r="A385" s="793"/>
      <c r="B385" s="242"/>
      <c r="C385" s="242"/>
      <c r="D385" s="791"/>
      <c r="E385" s="242"/>
      <c r="F385" s="902"/>
      <c r="G385" s="902"/>
      <c r="H385" s="902"/>
      <c r="I385" s="902"/>
      <c r="J385" s="902"/>
      <c r="K385" s="902"/>
      <c r="L385" s="902"/>
      <c r="M385" s="902"/>
      <c r="N385" s="902"/>
      <c r="O385" s="902"/>
      <c r="P385" s="902"/>
      <c r="Q385" s="902"/>
      <c r="R385" s="902"/>
      <c r="S385" s="902"/>
      <c r="T385" s="902"/>
      <c r="U385" s="902"/>
      <c r="V385" s="902"/>
      <c r="W385" s="902"/>
      <c r="X385" s="902"/>
      <c r="Y385" s="902"/>
      <c r="Z385" s="902"/>
      <c r="AA385" s="902"/>
      <c r="AB385" s="990"/>
    </row>
    <row r="386" spans="1:28" s="776" customFormat="1">
      <c r="A386" s="793"/>
      <c r="B386" s="791" t="s">
        <v>456</v>
      </c>
      <c r="C386" s="927"/>
      <c r="D386" s="1001"/>
      <c r="E386" s="927"/>
      <c r="F386" s="900">
        <f>F384</f>
        <v>5014</v>
      </c>
      <c r="G386" s="900">
        <f>F386+G384</f>
        <v>28728</v>
      </c>
      <c r="H386" s="900">
        <f t="shared" ref="H386:AB386" si="195">G386+H384</f>
        <v>66401</v>
      </c>
      <c r="I386" s="900">
        <f t="shared" si="195"/>
        <v>92031</v>
      </c>
      <c r="J386" s="900">
        <f t="shared" si="195"/>
        <v>138871</v>
      </c>
      <c r="K386" s="900">
        <f t="shared" si="195"/>
        <v>145260</v>
      </c>
      <c r="L386" s="900">
        <f t="shared" si="195"/>
        <v>179168</v>
      </c>
      <c r="M386" s="900">
        <f t="shared" si="195"/>
        <v>970959</v>
      </c>
      <c r="N386" s="900">
        <f t="shared" si="195"/>
        <v>1331637</v>
      </c>
      <c r="O386" s="900">
        <f t="shared" si="195"/>
        <v>1328258</v>
      </c>
      <c r="P386" s="900">
        <f t="shared" si="195"/>
        <v>1300684</v>
      </c>
      <c r="Q386" s="900">
        <f t="shared" si="195"/>
        <v>1565452</v>
      </c>
      <c r="R386" s="900">
        <f t="shared" si="195"/>
        <v>1413727</v>
      </c>
      <c r="S386" s="900">
        <f t="shared" si="195"/>
        <v>1445128</v>
      </c>
      <c r="T386" s="900">
        <f t="shared" si="195"/>
        <v>1360828</v>
      </c>
      <c r="U386" s="900">
        <f t="shared" si="195"/>
        <v>1338628</v>
      </c>
      <c r="V386" s="900">
        <f t="shared" si="195"/>
        <v>1373628</v>
      </c>
      <c r="W386" s="900">
        <f t="shared" si="195"/>
        <v>1586628</v>
      </c>
      <c r="X386" s="900">
        <f t="shared" si="195"/>
        <v>1677628</v>
      </c>
      <c r="Y386" s="900">
        <f t="shared" si="195"/>
        <v>1642628</v>
      </c>
      <c r="Z386" s="900">
        <f t="shared" si="195"/>
        <v>1933628</v>
      </c>
      <c r="AA386" s="900">
        <f t="shared" si="195"/>
        <v>1821628</v>
      </c>
      <c r="AB386" s="900">
        <f t="shared" si="195"/>
        <v>1910628</v>
      </c>
    </row>
    <row r="387" spans="1:28" s="776" customFormat="1">
      <c r="A387" s="793"/>
      <c r="B387" s="1002" t="s">
        <v>1410</v>
      </c>
      <c r="C387" s="242"/>
      <c r="D387" s="791"/>
      <c r="E387" s="242"/>
      <c r="F387" s="241">
        <f>F345</f>
        <v>0</v>
      </c>
      <c r="G387" s="241">
        <f t="shared" ref="G387:AB387" si="196">G345</f>
        <v>0</v>
      </c>
      <c r="H387" s="241">
        <f t="shared" si="196"/>
        <v>0</v>
      </c>
      <c r="I387" s="241">
        <f t="shared" si="196"/>
        <v>0</v>
      </c>
      <c r="J387" s="241">
        <f t="shared" si="196"/>
        <v>0</v>
      </c>
      <c r="K387" s="241">
        <f t="shared" si="196"/>
        <v>0</v>
      </c>
      <c r="L387" s="241">
        <f t="shared" si="196"/>
        <v>0</v>
      </c>
      <c r="M387" s="241">
        <f t="shared" si="196"/>
        <v>132</v>
      </c>
      <c r="N387" s="241">
        <f t="shared" si="196"/>
        <v>37</v>
      </c>
      <c r="O387" s="241">
        <f t="shared" si="196"/>
        <v>1122</v>
      </c>
      <c r="P387" s="241">
        <f t="shared" si="196"/>
        <v>449</v>
      </c>
      <c r="Q387" s="241">
        <f t="shared" si="196"/>
        <v>3399</v>
      </c>
      <c r="R387" s="241">
        <f t="shared" si="196"/>
        <v>7947</v>
      </c>
      <c r="S387" s="241">
        <f t="shared" si="196"/>
        <v>8400</v>
      </c>
      <c r="T387" s="241">
        <f t="shared" si="196"/>
        <v>12700</v>
      </c>
      <c r="U387" s="241">
        <f t="shared" si="196"/>
        <v>21000</v>
      </c>
      <c r="V387" s="241">
        <f t="shared" si="196"/>
        <v>36000</v>
      </c>
      <c r="W387" s="241">
        <f t="shared" si="196"/>
        <v>40000</v>
      </c>
      <c r="X387" s="241">
        <f t="shared" si="196"/>
        <v>43000</v>
      </c>
      <c r="Y387" s="241">
        <f t="shared" si="196"/>
        <v>46000</v>
      </c>
      <c r="Z387" s="241">
        <f t="shared" si="196"/>
        <v>40000</v>
      </c>
      <c r="AA387" s="241">
        <f t="shared" si="196"/>
        <v>34000</v>
      </c>
      <c r="AB387" s="241">
        <f t="shared" si="196"/>
        <v>35000</v>
      </c>
    </row>
    <row r="388" spans="1:28" s="776" customFormat="1">
      <c r="A388" s="793"/>
      <c r="B388" s="1002" t="s">
        <v>431</v>
      </c>
      <c r="C388" s="242"/>
      <c r="D388" s="242"/>
      <c r="E388" s="242"/>
      <c r="F388" s="1003">
        <f t="shared" ref="F388:AA388" si="197">F344</f>
        <v>5014</v>
      </c>
      <c r="G388" s="1003">
        <f t="shared" si="197"/>
        <v>28728</v>
      </c>
      <c r="H388" s="1003">
        <f t="shared" si="197"/>
        <v>66401</v>
      </c>
      <c r="I388" s="1003">
        <f t="shared" si="197"/>
        <v>92031</v>
      </c>
      <c r="J388" s="1003">
        <f t="shared" si="197"/>
        <v>138871</v>
      </c>
      <c r="K388" s="1003">
        <f t="shared" si="197"/>
        <v>145260</v>
      </c>
      <c r="L388" s="1003">
        <f t="shared" si="197"/>
        <v>179168</v>
      </c>
      <c r="M388" s="1003">
        <f t="shared" si="197"/>
        <v>970959</v>
      </c>
      <c r="N388" s="1003">
        <f t="shared" si="197"/>
        <v>1331772</v>
      </c>
      <c r="O388" s="1003">
        <f t="shared" si="197"/>
        <v>1329478</v>
      </c>
      <c r="P388" s="1003">
        <f t="shared" si="197"/>
        <v>1301231</v>
      </c>
      <c r="Q388" s="1003">
        <f t="shared" si="197"/>
        <v>1559507</v>
      </c>
      <c r="R388" s="1003">
        <f t="shared" si="197"/>
        <v>1412330</v>
      </c>
      <c r="S388" s="1003">
        <f t="shared" si="197"/>
        <v>1444200</v>
      </c>
      <c r="T388" s="1003">
        <f t="shared" si="197"/>
        <v>1364200</v>
      </c>
      <c r="U388" s="1003">
        <f t="shared" si="197"/>
        <v>1350000</v>
      </c>
      <c r="V388" s="1003">
        <f t="shared" si="197"/>
        <v>1400000</v>
      </c>
      <c r="W388" s="1003">
        <f t="shared" si="197"/>
        <v>1617000</v>
      </c>
      <c r="X388" s="1003">
        <f t="shared" si="197"/>
        <v>1715000</v>
      </c>
      <c r="Y388" s="1003">
        <f t="shared" si="197"/>
        <v>1683000</v>
      </c>
      <c r="Z388" s="1003">
        <f t="shared" si="197"/>
        <v>1968000</v>
      </c>
      <c r="AA388" s="1003">
        <f t="shared" si="197"/>
        <v>1850000</v>
      </c>
      <c r="AB388" s="1003">
        <f t="shared" ref="AB388" si="198">AB344</f>
        <v>1940000</v>
      </c>
    </row>
    <row r="389" spans="1:28" s="776" customFormat="1">
      <c r="A389" s="793"/>
      <c r="B389" s="1002"/>
      <c r="C389" s="242"/>
      <c r="D389" s="242"/>
      <c r="E389" s="242"/>
      <c r="F389" s="1003"/>
      <c r="G389" s="1003"/>
      <c r="H389" s="1003"/>
      <c r="I389" s="1003"/>
      <c r="J389" s="1003"/>
      <c r="K389" s="1003"/>
      <c r="L389" s="1003"/>
      <c r="M389" s="1003"/>
      <c r="N389" s="1003"/>
      <c r="O389" s="1003"/>
      <c r="P389" s="1003"/>
      <c r="Q389" s="1003"/>
      <c r="R389" s="1003"/>
      <c r="S389" s="1003"/>
      <c r="T389" s="1003"/>
      <c r="U389" s="1003"/>
      <c r="V389" s="1003"/>
      <c r="W389" s="1003"/>
      <c r="X389" s="1003"/>
      <c r="Y389" s="1003"/>
      <c r="Z389" s="1003"/>
      <c r="AA389" s="1003"/>
      <c r="AB389" s="1003"/>
    </row>
    <row r="390" spans="1:28" s="776" customFormat="1">
      <c r="C390" s="242"/>
      <c r="D390" s="791"/>
      <c r="E390" s="242"/>
      <c r="F390" s="900"/>
      <c r="G390" s="900"/>
      <c r="H390" s="900"/>
      <c r="I390" s="900"/>
      <c r="J390" s="900"/>
      <c r="K390" s="900"/>
      <c r="L390" s="900"/>
      <c r="M390" s="900"/>
      <c r="N390" s="900"/>
      <c r="O390" s="900"/>
      <c r="P390" s="900"/>
      <c r="Q390" s="900"/>
      <c r="R390" s="900"/>
      <c r="S390" s="900"/>
      <c r="T390" s="900"/>
      <c r="U390" s="900"/>
      <c r="V390" s="900"/>
      <c r="W390" s="900"/>
      <c r="X390" s="900"/>
      <c r="Y390" s="900"/>
      <c r="Z390" s="900"/>
      <c r="AA390" s="900"/>
      <c r="AB390" s="900"/>
    </row>
    <row r="391" spans="1:28" s="776" customFormat="1" ht="18">
      <c r="A391" s="904" t="s">
        <v>0</v>
      </c>
      <c r="B391" s="904"/>
      <c r="C391" s="904"/>
      <c r="D391" s="1267"/>
      <c r="E391" s="1439" t="s">
        <v>1407</v>
      </c>
      <c r="F391" s="1440"/>
      <c r="G391" s="1440"/>
      <c r="H391" s="1440"/>
      <c r="I391" s="900"/>
      <c r="J391" s="900"/>
      <c r="K391" s="900"/>
      <c r="L391" s="900"/>
      <c r="M391" s="900"/>
      <c r="N391" s="900"/>
      <c r="O391" s="900"/>
      <c r="P391" s="900"/>
      <c r="Q391" s="900"/>
      <c r="R391" s="900"/>
      <c r="S391" s="900"/>
      <c r="T391" s="900"/>
      <c r="U391" s="900"/>
      <c r="V391" s="900"/>
      <c r="W391" s="1451" t="s">
        <v>10</v>
      </c>
      <c r="X391" s="1452"/>
      <c r="Y391" s="1452"/>
      <c r="Z391" s="1452"/>
      <c r="AA391" s="1453"/>
      <c r="AB391" s="1381">
        <v>3.7</v>
      </c>
    </row>
    <row r="392" spans="1:28" s="776" customFormat="1">
      <c r="A392" s="791"/>
      <c r="B392" s="242"/>
      <c r="C392" s="242"/>
      <c r="D392" s="791"/>
      <c r="E392" s="242"/>
      <c r="F392" s="69">
        <v>0</v>
      </c>
      <c r="G392" s="69">
        <f t="shared" ref="G392:G393" si="199">F392+1</f>
        <v>1</v>
      </c>
      <c r="H392" s="69">
        <f t="shared" ref="H392:H393" si="200">G392+1</f>
        <v>2</v>
      </c>
      <c r="I392" s="69">
        <f t="shared" ref="I392:I393" si="201">H392+1</f>
        <v>3</v>
      </c>
      <c r="J392" s="69">
        <f t="shared" ref="J392:J393" si="202">I392+1</f>
        <v>4</v>
      </c>
      <c r="K392" s="69">
        <f>J392+1</f>
        <v>5</v>
      </c>
      <c r="L392" s="69">
        <f t="shared" ref="L392:L393" si="203">K392+1</f>
        <v>6</v>
      </c>
      <c r="M392" s="69">
        <f t="shared" ref="M392:M393" si="204">L392+1</f>
        <v>7</v>
      </c>
      <c r="N392" s="69">
        <f t="shared" ref="N392" si="205">M392+1</f>
        <v>8</v>
      </c>
      <c r="O392" s="69">
        <f t="shared" ref="O392" si="206">N392+1</f>
        <v>9</v>
      </c>
      <c r="P392" s="69">
        <f t="shared" ref="P392:P393" si="207">O392+1</f>
        <v>10</v>
      </c>
      <c r="Q392" s="69">
        <f t="shared" ref="Q392:Q393" si="208">P392+1</f>
        <v>11</v>
      </c>
      <c r="R392" s="69">
        <f t="shared" ref="R392:R393" si="209">Q392+1</f>
        <v>12</v>
      </c>
      <c r="S392" s="69">
        <f t="shared" ref="S392:S393" si="210">R392+1</f>
        <v>13</v>
      </c>
      <c r="T392" s="69">
        <f t="shared" ref="T392:T393" si="211">S392+1</f>
        <v>14</v>
      </c>
      <c r="U392" s="69">
        <f t="shared" ref="U392:U393" si="212">T392+1</f>
        <v>15</v>
      </c>
      <c r="V392" s="69">
        <f t="shared" ref="V392:V393" si="213">U392+1</f>
        <v>16</v>
      </c>
      <c r="W392" s="69">
        <f t="shared" ref="W392:W393" si="214">V392+1</f>
        <v>17</v>
      </c>
      <c r="X392" s="69">
        <f t="shared" ref="X392:X393" si="215">W392+1</f>
        <v>18</v>
      </c>
      <c r="Y392" s="69">
        <f t="shared" ref="Y392:Y393" si="216">X392+1</f>
        <v>19</v>
      </c>
      <c r="Z392" s="69">
        <f t="shared" ref="Z392" si="217">Y392+1</f>
        <v>20</v>
      </c>
      <c r="AA392" s="69">
        <f t="shared" ref="AA392:AB393" si="218">Z392+1</f>
        <v>21</v>
      </c>
      <c r="AB392" s="69">
        <f t="shared" si="218"/>
        <v>22</v>
      </c>
    </row>
    <row r="393" spans="1:28" s="776" customFormat="1">
      <c r="B393" s="80"/>
      <c r="E393" s="1245"/>
      <c r="F393" s="953">
        <v>1999</v>
      </c>
      <c r="G393" s="953">
        <f t="shared" si="199"/>
        <v>2000</v>
      </c>
      <c r="H393" s="953">
        <f t="shared" si="200"/>
        <v>2001</v>
      </c>
      <c r="I393" s="953">
        <f t="shared" si="201"/>
        <v>2002</v>
      </c>
      <c r="J393" s="953">
        <f t="shared" si="202"/>
        <v>2003</v>
      </c>
      <c r="K393" s="953">
        <f t="shared" ref="K393" si="219">J393+1</f>
        <v>2004</v>
      </c>
      <c r="L393" s="953">
        <f t="shared" si="203"/>
        <v>2005</v>
      </c>
      <c r="M393" s="953">
        <f t="shared" si="204"/>
        <v>2006</v>
      </c>
      <c r="N393" s="953">
        <v>2007</v>
      </c>
      <c r="O393" s="953">
        <f>N393+1</f>
        <v>2008</v>
      </c>
      <c r="P393" s="953">
        <f t="shared" si="207"/>
        <v>2009</v>
      </c>
      <c r="Q393" s="953">
        <f t="shared" si="208"/>
        <v>2010</v>
      </c>
      <c r="R393" s="953">
        <f t="shared" si="209"/>
        <v>2011</v>
      </c>
      <c r="S393" s="953">
        <f t="shared" si="210"/>
        <v>2012</v>
      </c>
      <c r="T393" s="953">
        <f t="shared" si="211"/>
        <v>2013</v>
      </c>
      <c r="U393" s="953">
        <f t="shared" si="212"/>
        <v>2014</v>
      </c>
      <c r="V393" s="953">
        <f t="shared" si="213"/>
        <v>2015</v>
      </c>
      <c r="W393" s="953">
        <f t="shared" si="214"/>
        <v>2016</v>
      </c>
      <c r="X393" s="953">
        <f t="shared" si="215"/>
        <v>2017</v>
      </c>
      <c r="Y393" s="953">
        <f t="shared" si="216"/>
        <v>2018</v>
      </c>
      <c r="Z393" s="953">
        <f>Y393+1</f>
        <v>2019</v>
      </c>
      <c r="AA393" s="953">
        <f t="shared" si="218"/>
        <v>2020</v>
      </c>
      <c r="AB393" s="953">
        <f t="shared" si="218"/>
        <v>2021</v>
      </c>
    </row>
    <row r="394" spans="1:28" s="776" customFormat="1">
      <c r="A394" s="1239" t="s">
        <v>459</v>
      </c>
      <c r="B394" s="936"/>
      <c r="C394" s="936"/>
      <c r="D394" s="936"/>
      <c r="E394" s="1245"/>
      <c r="F394" s="909"/>
      <c r="G394" s="909"/>
      <c r="H394" s="909"/>
      <c r="I394" s="909"/>
      <c r="J394" s="909"/>
      <c r="K394" s="909"/>
      <c r="L394" s="909"/>
      <c r="M394" s="909"/>
      <c r="N394" s="909"/>
      <c r="O394" s="909"/>
      <c r="P394" s="909"/>
      <c r="Q394" s="909"/>
      <c r="R394" s="909"/>
      <c r="S394" s="909"/>
      <c r="T394" s="909"/>
      <c r="U394" s="909"/>
      <c r="V394" s="909"/>
      <c r="W394" s="909"/>
      <c r="X394" s="909"/>
      <c r="Y394" s="909"/>
      <c r="Z394" s="909"/>
      <c r="AA394" s="909"/>
      <c r="AB394" s="882"/>
    </row>
    <row r="395" spans="1:28" s="776" customFormat="1">
      <c r="A395" s="793"/>
      <c r="B395" s="242" t="s">
        <v>460</v>
      </c>
      <c r="C395" s="242"/>
      <c r="D395" s="791"/>
      <c r="E395" s="242"/>
      <c r="F395" s="900">
        <v>0</v>
      </c>
      <c r="G395" s="900">
        <v>0</v>
      </c>
      <c r="H395" s="900">
        <v>0</v>
      </c>
      <c r="I395" s="900">
        <v>0</v>
      </c>
      <c r="J395" s="900">
        <v>0</v>
      </c>
      <c r="K395" s="900">
        <v>0</v>
      </c>
      <c r="L395" s="900">
        <v>0</v>
      </c>
      <c r="M395" s="900">
        <v>0</v>
      </c>
      <c r="N395" s="900">
        <v>1317989</v>
      </c>
      <c r="O395" s="900">
        <v>1320348</v>
      </c>
      <c r="P395" s="900">
        <v>1326830</v>
      </c>
      <c r="Q395" s="900">
        <v>1607115</v>
      </c>
      <c r="R395" s="900">
        <v>1080813</v>
      </c>
      <c r="S395" s="900">
        <v>439400</v>
      </c>
      <c r="T395" s="900">
        <v>428900</v>
      </c>
      <c r="U395" s="900">
        <v>434000</v>
      </c>
      <c r="V395" s="900">
        <v>395000</v>
      </c>
      <c r="W395" s="900">
        <v>438000</v>
      </c>
      <c r="X395" s="900">
        <v>1760000</v>
      </c>
      <c r="Y395" s="900">
        <v>1731000</v>
      </c>
      <c r="Z395" s="900">
        <v>2009000</v>
      </c>
      <c r="AA395" s="900">
        <v>1935000</v>
      </c>
      <c r="AB395" s="900">
        <v>1941000</v>
      </c>
    </row>
    <row r="396" spans="1:28" s="776" customFormat="1">
      <c r="A396" s="793"/>
      <c r="B396" s="242" t="s">
        <v>461</v>
      </c>
      <c r="C396" s="242"/>
      <c r="D396" s="791"/>
      <c r="E396" s="242"/>
      <c r="F396" s="900">
        <v>0</v>
      </c>
      <c r="G396" s="900">
        <v>0</v>
      </c>
      <c r="H396" s="900">
        <v>0</v>
      </c>
      <c r="I396" s="900">
        <v>0</v>
      </c>
      <c r="J396" s="900">
        <v>0</v>
      </c>
      <c r="K396" s="900">
        <v>0</v>
      </c>
      <c r="L396" s="900">
        <v>0</v>
      </c>
      <c r="M396" s="900">
        <v>0</v>
      </c>
      <c r="N396" s="902">
        <v>0</v>
      </c>
      <c r="O396" s="902">
        <v>0</v>
      </c>
      <c r="P396" s="902">
        <v>0</v>
      </c>
      <c r="Q396" s="902">
        <v>0</v>
      </c>
      <c r="R396" s="902">
        <v>398223</v>
      </c>
      <c r="S396" s="902">
        <v>1076500</v>
      </c>
      <c r="T396" s="902">
        <v>942000</v>
      </c>
      <c r="U396" s="902">
        <v>942000</v>
      </c>
      <c r="V396" s="902">
        <v>1034000</v>
      </c>
      <c r="W396" s="902">
        <v>1227000</v>
      </c>
      <c r="X396" s="902">
        <v>0</v>
      </c>
      <c r="Y396" s="902">
        <v>0</v>
      </c>
      <c r="Z396" s="902">
        <v>0</v>
      </c>
      <c r="AA396" s="902">
        <v>0</v>
      </c>
      <c r="AB396" s="902"/>
    </row>
    <row r="397" spans="1:28" s="776" customFormat="1">
      <c r="A397" s="793"/>
      <c r="B397" s="810" t="s">
        <v>462</v>
      </c>
      <c r="C397" s="810"/>
      <c r="D397" s="912"/>
      <c r="E397" s="242"/>
      <c r="F397" s="1002">
        <f t="shared" ref="F397:M397" si="220">SUM(F395:F396)</f>
        <v>0</v>
      </c>
      <c r="G397" s="1002">
        <f t="shared" si="220"/>
        <v>0</v>
      </c>
      <c r="H397" s="1002">
        <f t="shared" si="220"/>
        <v>0</v>
      </c>
      <c r="I397" s="1002">
        <f t="shared" si="220"/>
        <v>0</v>
      </c>
      <c r="J397" s="1002">
        <f t="shared" si="220"/>
        <v>0</v>
      </c>
      <c r="K397" s="1002">
        <f t="shared" si="220"/>
        <v>0</v>
      </c>
      <c r="L397" s="1002">
        <f t="shared" si="220"/>
        <v>0</v>
      </c>
      <c r="M397" s="1002">
        <f t="shared" si="220"/>
        <v>0</v>
      </c>
      <c r="N397" s="1004">
        <f>SUM(N395:N396)</f>
        <v>1317989</v>
      </c>
      <c r="O397" s="1004">
        <f t="shared" ref="O397:AB397" si="221">SUM(O395:O396)</f>
        <v>1320348</v>
      </c>
      <c r="P397" s="1004">
        <f t="shared" si="221"/>
        <v>1326830</v>
      </c>
      <c r="Q397" s="1004">
        <f t="shared" si="221"/>
        <v>1607115</v>
      </c>
      <c r="R397" s="1004">
        <f t="shared" si="221"/>
        <v>1479036</v>
      </c>
      <c r="S397" s="1004">
        <f t="shared" si="221"/>
        <v>1515900</v>
      </c>
      <c r="T397" s="1004">
        <f t="shared" si="221"/>
        <v>1370900</v>
      </c>
      <c r="U397" s="1004">
        <f t="shared" si="221"/>
        <v>1376000</v>
      </c>
      <c r="V397" s="1004">
        <f t="shared" si="221"/>
        <v>1429000</v>
      </c>
      <c r="W397" s="1004">
        <f t="shared" si="221"/>
        <v>1665000</v>
      </c>
      <c r="X397" s="1004">
        <f t="shared" si="221"/>
        <v>1760000</v>
      </c>
      <c r="Y397" s="1004">
        <f t="shared" si="221"/>
        <v>1731000</v>
      </c>
      <c r="Z397" s="1004">
        <f t="shared" si="221"/>
        <v>2009000</v>
      </c>
      <c r="AA397" s="1004">
        <f t="shared" si="221"/>
        <v>1935000</v>
      </c>
      <c r="AB397" s="1004">
        <f t="shared" si="221"/>
        <v>1941000</v>
      </c>
    </row>
    <row r="398" spans="1:28" s="776" customFormat="1">
      <c r="A398" s="793"/>
      <c r="B398" s="242"/>
      <c r="C398" s="242"/>
      <c r="D398" s="791"/>
      <c r="E398" s="242"/>
      <c r="F398" s="1002"/>
      <c r="G398" s="1002"/>
      <c r="H398" s="1002"/>
      <c r="I398" s="1002"/>
      <c r="J398" s="1002"/>
      <c r="K398" s="1002"/>
      <c r="L398" s="1002"/>
      <c r="M398" s="1002"/>
      <c r="N398" s="1002"/>
      <c r="O398" s="1002"/>
      <c r="P398" s="1002"/>
      <c r="Q398" s="1002"/>
      <c r="R398" s="1002"/>
      <c r="S398" s="1002"/>
      <c r="T398" s="1002"/>
      <c r="U398" s="1002"/>
      <c r="V398" s="1002"/>
      <c r="W398" s="1002"/>
      <c r="X398" s="1002"/>
      <c r="Y398" s="1002"/>
      <c r="Z398" s="1002"/>
      <c r="AA398" s="1002"/>
      <c r="AB398" s="900"/>
    </row>
    <row r="399" spans="1:28" s="776" customFormat="1">
      <c r="A399" s="793"/>
      <c r="B399" s="242" t="s">
        <v>463</v>
      </c>
      <c r="C399" s="242"/>
      <c r="D399" s="791"/>
      <c r="E399" s="242"/>
      <c r="F399" s="900">
        <v>0</v>
      </c>
      <c r="G399" s="900">
        <v>0</v>
      </c>
      <c r="H399" s="900">
        <v>0</v>
      </c>
      <c r="I399" s="900">
        <v>0</v>
      </c>
      <c r="J399" s="900">
        <v>0</v>
      </c>
      <c r="K399" s="900">
        <v>0</v>
      </c>
      <c r="L399" s="900">
        <v>0</v>
      </c>
      <c r="M399" s="900">
        <v>0</v>
      </c>
      <c r="N399" s="900">
        <v>9503</v>
      </c>
      <c r="O399" s="900">
        <v>-7413</v>
      </c>
      <c r="P399" s="900">
        <v>-27977</v>
      </c>
      <c r="Q399" s="900">
        <v>-23505</v>
      </c>
      <c r="R399" s="900">
        <v>-51370</v>
      </c>
      <c r="S399" s="900">
        <v>-34200</v>
      </c>
      <c r="T399" s="900">
        <v>900</v>
      </c>
      <c r="U399" s="900">
        <v>-20000</v>
      </c>
      <c r="V399" s="900">
        <v>-23000</v>
      </c>
      <c r="W399" s="900">
        <v>-19000</v>
      </c>
      <c r="X399" s="900">
        <v>-12000</v>
      </c>
      <c r="Y399" s="900">
        <v>-18000</v>
      </c>
      <c r="Z399" s="900">
        <v>-19000</v>
      </c>
      <c r="AA399" s="900">
        <v>-64000</v>
      </c>
      <c r="AB399" s="900">
        <v>6000</v>
      </c>
    </row>
    <row r="400" spans="1:28" s="776" customFormat="1">
      <c r="A400" s="793"/>
      <c r="B400" s="242" t="s">
        <v>339</v>
      </c>
      <c r="C400" s="242"/>
      <c r="D400" s="791"/>
      <c r="E400" s="242"/>
      <c r="F400" s="900">
        <v>0</v>
      </c>
      <c r="G400" s="900">
        <v>0</v>
      </c>
      <c r="H400" s="900">
        <v>0</v>
      </c>
      <c r="I400" s="900">
        <v>0</v>
      </c>
      <c r="J400" s="900">
        <v>0</v>
      </c>
      <c r="K400" s="900">
        <v>0</v>
      </c>
      <c r="L400" s="900">
        <v>0</v>
      </c>
      <c r="M400" s="900">
        <v>0</v>
      </c>
      <c r="N400" s="900">
        <v>0</v>
      </c>
      <c r="O400" s="900">
        <v>0</v>
      </c>
      <c r="P400" s="900">
        <v>0</v>
      </c>
      <c r="Q400" s="900">
        <v>-22595</v>
      </c>
      <c r="R400" s="900">
        <v>-19497</v>
      </c>
      <c r="S400" s="900">
        <v>-41800</v>
      </c>
      <c r="T400" s="900">
        <v>-8600</v>
      </c>
      <c r="U400" s="900">
        <v>0</v>
      </c>
      <c r="V400" s="900">
        <v>-1000</v>
      </c>
      <c r="W400" s="900">
        <v>-24000</v>
      </c>
      <c r="X400" s="900">
        <v>-39000</v>
      </c>
      <c r="Y400" s="900">
        <v>-37000</v>
      </c>
      <c r="Z400" s="900">
        <v>-27000</v>
      </c>
      <c r="AA400" s="900">
        <v>-22000</v>
      </c>
      <c r="AB400" s="900">
        <v>-13000</v>
      </c>
    </row>
    <row r="401" spans="1:28" s="776" customFormat="1">
      <c r="A401" s="793"/>
      <c r="B401" s="242" t="s">
        <v>464</v>
      </c>
      <c r="C401" s="242"/>
      <c r="D401" s="791"/>
      <c r="E401" s="242"/>
      <c r="F401" s="900">
        <v>0</v>
      </c>
      <c r="G401" s="900">
        <v>0</v>
      </c>
      <c r="H401" s="900">
        <v>0</v>
      </c>
      <c r="I401" s="900">
        <v>0</v>
      </c>
      <c r="J401" s="900">
        <v>0</v>
      </c>
      <c r="K401" s="900">
        <v>0</v>
      </c>
      <c r="L401" s="900">
        <v>0</v>
      </c>
      <c r="M401" s="900">
        <v>0</v>
      </c>
      <c r="N401" s="900">
        <v>0</v>
      </c>
      <c r="O401" s="900">
        <v>0</v>
      </c>
      <c r="P401" s="900">
        <v>0</v>
      </c>
      <c r="Q401" s="900">
        <v>0</v>
      </c>
      <c r="R401" s="900">
        <v>0</v>
      </c>
      <c r="S401" s="900">
        <v>0</v>
      </c>
      <c r="T401" s="900">
        <v>0</v>
      </c>
      <c r="U401" s="900">
        <v>0</v>
      </c>
      <c r="V401" s="900">
        <v>0</v>
      </c>
      <c r="W401" s="900">
        <v>0</v>
      </c>
      <c r="X401" s="900">
        <v>5000</v>
      </c>
      <c r="Y401" s="900">
        <v>6000</v>
      </c>
      <c r="Z401" s="900">
        <v>6000</v>
      </c>
      <c r="AA401" s="900">
        <v>7000</v>
      </c>
      <c r="AB401" s="900">
        <v>7000</v>
      </c>
    </row>
    <row r="402" spans="1:28" s="776" customFormat="1">
      <c r="A402" s="793"/>
      <c r="B402" s="242" t="s">
        <v>28</v>
      </c>
      <c r="C402" s="242"/>
      <c r="D402" s="791"/>
      <c r="E402" s="242"/>
      <c r="F402" s="902">
        <v>0</v>
      </c>
      <c r="G402" s="902">
        <v>0</v>
      </c>
      <c r="H402" s="902">
        <v>0</v>
      </c>
      <c r="I402" s="902">
        <v>0</v>
      </c>
      <c r="J402" s="902">
        <v>0</v>
      </c>
      <c r="K402" s="902">
        <v>0</v>
      </c>
      <c r="L402" s="902">
        <v>0</v>
      </c>
      <c r="M402" s="902">
        <v>0</v>
      </c>
      <c r="N402" s="902">
        <v>4243</v>
      </c>
      <c r="O402" s="902">
        <v>15421</v>
      </c>
      <c r="P402" s="902">
        <v>1929</v>
      </c>
      <c r="Q402" s="902">
        <v>-4907</v>
      </c>
      <c r="R402" s="902">
        <v>4161</v>
      </c>
      <c r="S402" s="902">
        <v>4300</v>
      </c>
      <c r="T402" s="902">
        <v>1000</v>
      </c>
      <c r="U402" s="902">
        <v>-6000</v>
      </c>
      <c r="V402" s="902">
        <v>-5000</v>
      </c>
      <c r="W402" s="902">
        <v>-5000</v>
      </c>
      <c r="X402" s="902">
        <v>1000</v>
      </c>
      <c r="Y402" s="902">
        <v>1000</v>
      </c>
      <c r="Z402" s="902">
        <v>-1000</v>
      </c>
      <c r="AA402" s="902">
        <v>-6000</v>
      </c>
      <c r="AB402" s="902">
        <v>-1000</v>
      </c>
    </row>
    <row r="403" spans="1:28" s="776" customFormat="1">
      <c r="A403" s="793"/>
      <c r="B403" s="791" t="s">
        <v>1342</v>
      </c>
      <c r="C403" s="242"/>
      <c r="D403" s="791"/>
      <c r="E403" s="242"/>
      <c r="F403" s="1002">
        <f t="shared" ref="F403:AB403" si="222">SUM(F397:F402)</f>
        <v>0</v>
      </c>
      <c r="G403" s="1002">
        <f t="shared" si="222"/>
        <v>0</v>
      </c>
      <c r="H403" s="1002">
        <f t="shared" si="222"/>
        <v>0</v>
      </c>
      <c r="I403" s="1002">
        <f t="shared" si="222"/>
        <v>0</v>
      </c>
      <c r="J403" s="1002">
        <f t="shared" si="222"/>
        <v>0</v>
      </c>
      <c r="K403" s="1002">
        <f t="shared" si="222"/>
        <v>0</v>
      </c>
      <c r="L403" s="1002">
        <f t="shared" si="222"/>
        <v>0</v>
      </c>
      <c r="M403" s="1002">
        <f t="shared" si="222"/>
        <v>0</v>
      </c>
      <c r="N403" s="1002">
        <f t="shared" si="222"/>
        <v>1331735</v>
      </c>
      <c r="O403" s="1002">
        <f t="shared" si="222"/>
        <v>1328356</v>
      </c>
      <c r="P403" s="1002">
        <f t="shared" si="222"/>
        <v>1300782</v>
      </c>
      <c r="Q403" s="1002">
        <f t="shared" si="222"/>
        <v>1556108</v>
      </c>
      <c r="R403" s="1002">
        <f t="shared" si="222"/>
        <v>1412330</v>
      </c>
      <c r="S403" s="1002">
        <f t="shared" si="222"/>
        <v>1444200</v>
      </c>
      <c r="T403" s="1002">
        <f t="shared" si="222"/>
        <v>1364200</v>
      </c>
      <c r="U403" s="1002">
        <f t="shared" si="222"/>
        <v>1350000</v>
      </c>
      <c r="V403" s="1002">
        <f t="shared" si="222"/>
        <v>1400000</v>
      </c>
      <c r="W403" s="1002">
        <f t="shared" si="222"/>
        <v>1617000</v>
      </c>
      <c r="X403" s="1002">
        <f t="shared" si="222"/>
        <v>1715000</v>
      </c>
      <c r="Y403" s="1002">
        <f t="shared" si="222"/>
        <v>1683000</v>
      </c>
      <c r="Z403" s="1002">
        <f t="shared" si="222"/>
        <v>1968000</v>
      </c>
      <c r="AA403" s="1002">
        <f t="shared" si="222"/>
        <v>1850000</v>
      </c>
      <c r="AB403" s="1002">
        <f t="shared" si="222"/>
        <v>1940000</v>
      </c>
    </row>
    <row r="404" spans="1:28" s="776" customFormat="1">
      <c r="A404" s="793"/>
      <c r="B404" s="791"/>
      <c r="C404" s="242"/>
      <c r="D404" s="791"/>
      <c r="E404" s="242"/>
      <c r="F404" s="1002"/>
      <c r="G404" s="1002"/>
      <c r="H404" s="1002"/>
      <c r="I404" s="1002"/>
      <c r="J404" s="1002"/>
      <c r="K404" s="1002"/>
      <c r="L404" s="1002"/>
      <c r="M404" s="1002"/>
      <c r="N404" s="1002"/>
      <c r="O404" s="1002"/>
      <c r="P404" s="1002"/>
      <c r="Q404" s="1002"/>
      <c r="R404" s="1002"/>
      <c r="S404" s="1002"/>
      <c r="T404" s="1002"/>
      <c r="U404" s="1002"/>
      <c r="V404" s="1002"/>
      <c r="W404" s="1002"/>
      <c r="X404" s="1002"/>
      <c r="Y404" s="1002"/>
      <c r="Z404" s="1002"/>
      <c r="AA404" s="1002"/>
      <c r="AB404" s="900"/>
    </row>
    <row r="405" spans="1:28" s="776" customFormat="1">
      <c r="A405" s="793"/>
      <c r="B405" s="242" t="s">
        <v>1344</v>
      </c>
      <c r="C405" s="242"/>
      <c r="D405" s="242"/>
      <c r="E405" s="242"/>
      <c r="F405" s="900"/>
      <c r="G405" s="900"/>
      <c r="H405" s="900"/>
      <c r="I405" s="900"/>
      <c r="J405" s="900"/>
      <c r="K405" s="900"/>
      <c r="L405" s="900"/>
      <c r="M405" s="900"/>
      <c r="N405" s="900">
        <f>N403-N397</f>
        <v>13746</v>
      </c>
      <c r="O405" s="900">
        <f t="shared" ref="O405:AB405" si="223">O403-O397</f>
        <v>8008</v>
      </c>
      <c r="P405" s="900">
        <f t="shared" si="223"/>
        <v>-26048</v>
      </c>
      <c r="Q405" s="900">
        <f t="shared" si="223"/>
        <v>-51007</v>
      </c>
      <c r="R405" s="900">
        <f t="shared" si="223"/>
        <v>-66706</v>
      </c>
      <c r="S405" s="900">
        <f t="shared" si="223"/>
        <v>-71700</v>
      </c>
      <c r="T405" s="900">
        <f t="shared" si="223"/>
        <v>-6700</v>
      </c>
      <c r="U405" s="900">
        <f t="shared" si="223"/>
        <v>-26000</v>
      </c>
      <c r="V405" s="900">
        <f t="shared" si="223"/>
        <v>-29000</v>
      </c>
      <c r="W405" s="900">
        <f t="shared" si="223"/>
        <v>-48000</v>
      </c>
      <c r="X405" s="900">
        <f t="shared" si="223"/>
        <v>-45000</v>
      </c>
      <c r="Y405" s="900">
        <f t="shared" si="223"/>
        <v>-48000</v>
      </c>
      <c r="Z405" s="900">
        <f t="shared" si="223"/>
        <v>-41000</v>
      </c>
      <c r="AA405" s="900">
        <f t="shared" si="223"/>
        <v>-85000</v>
      </c>
      <c r="AB405" s="900">
        <f t="shared" si="223"/>
        <v>-1000</v>
      </c>
    </row>
    <row r="406" spans="1:28" s="776" customFormat="1">
      <c r="A406" s="793"/>
      <c r="B406" s="242"/>
      <c r="C406" s="242"/>
      <c r="D406" s="791"/>
      <c r="E406" s="242"/>
      <c r="F406" s="900"/>
      <c r="G406" s="900"/>
      <c r="H406" s="900"/>
      <c r="I406" s="900"/>
      <c r="J406" s="900"/>
      <c r="K406" s="900"/>
      <c r="L406" s="900"/>
      <c r="M406" s="900"/>
      <c r="N406" s="188">
        <f>N405/N403</f>
        <v>1.0321873345673126E-2</v>
      </c>
      <c r="O406" s="188">
        <f t="shared" ref="O406:AB406" si="224">O405/O403</f>
        <v>6.0285044069511486E-3</v>
      </c>
      <c r="P406" s="188">
        <f t="shared" si="224"/>
        <v>-2.0024877343013663E-2</v>
      </c>
      <c r="Q406" s="188">
        <f t="shared" si="224"/>
        <v>-3.2778573209571574E-2</v>
      </c>
      <c r="R406" s="188">
        <f t="shared" si="224"/>
        <v>-4.723117118520459E-2</v>
      </c>
      <c r="S406" s="188">
        <f t="shared" si="224"/>
        <v>-4.9646863315330289E-2</v>
      </c>
      <c r="T406" s="188">
        <f t="shared" si="224"/>
        <v>-4.9113033279577778E-3</v>
      </c>
      <c r="U406" s="188">
        <f t="shared" si="224"/>
        <v>-1.9259259259259261E-2</v>
      </c>
      <c r="V406" s="188">
        <f t="shared" si="224"/>
        <v>-2.0714285714285713E-2</v>
      </c>
      <c r="W406" s="188">
        <f t="shared" si="224"/>
        <v>-2.9684601113172542E-2</v>
      </c>
      <c r="X406" s="188">
        <f t="shared" si="224"/>
        <v>-2.6239067055393587E-2</v>
      </c>
      <c r="Y406" s="188">
        <f t="shared" si="224"/>
        <v>-2.8520499108734401E-2</v>
      </c>
      <c r="Z406" s="188">
        <f t="shared" si="224"/>
        <v>-2.0833333333333332E-2</v>
      </c>
      <c r="AA406" s="188">
        <f t="shared" si="224"/>
        <v>-4.5945945945945948E-2</v>
      </c>
      <c r="AB406" s="188">
        <f t="shared" si="224"/>
        <v>-5.1546391752577321E-4</v>
      </c>
    </row>
    <row r="407" spans="1:28" s="776" customFormat="1">
      <c r="A407" s="793"/>
      <c r="B407" s="242"/>
      <c r="C407" s="242"/>
      <c r="D407" s="791"/>
      <c r="E407" s="242"/>
      <c r="F407" s="900"/>
      <c r="G407" s="900"/>
      <c r="H407" s="900"/>
      <c r="I407" s="900"/>
      <c r="J407" s="900"/>
      <c r="K407" s="900"/>
      <c r="L407" s="900"/>
      <c r="M407" s="900"/>
      <c r="N407" s="1088"/>
      <c r="O407" s="1088"/>
      <c r="P407" s="1088"/>
      <c r="Q407" s="1088"/>
      <c r="R407" s="1088"/>
      <c r="S407" s="1088"/>
      <c r="T407" s="1088"/>
      <c r="U407" s="1088"/>
      <c r="V407" s="1088"/>
      <c r="W407" s="1088"/>
      <c r="X407" s="1088"/>
      <c r="Y407" s="1088"/>
      <c r="Z407" s="1088"/>
      <c r="AA407" s="1088"/>
      <c r="AB407" s="882"/>
    </row>
    <row r="408" spans="1:28" s="776" customFormat="1">
      <c r="A408" s="793"/>
      <c r="B408" s="242" t="s">
        <v>433</v>
      </c>
      <c r="C408" s="242"/>
      <c r="D408" s="242"/>
      <c r="E408" s="242"/>
      <c r="F408" s="173">
        <v>0</v>
      </c>
      <c r="G408" s="173">
        <v>0</v>
      </c>
      <c r="H408" s="173">
        <v>0</v>
      </c>
      <c r="I408" s="173">
        <v>0</v>
      </c>
      <c r="J408" s="173">
        <v>0</v>
      </c>
      <c r="K408" s="173">
        <v>0</v>
      </c>
      <c r="L408" s="173">
        <v>0</v>
      </c>
      <c r="M408" s="173">
        <v>-132</v>
      </c>
      <c r="N408" s="173">
        <v>-37</v>
      </c>
      <c r="O408" s="173">
        <v>-1122</v>
      </c>
      <c r="P408" s="173">
        <v>-449</v>
      </c>
      <c r="Q408" s="173">
        <v>-3399</v>
      </c>
      <c r="R408" s="173">
        <v>0</v>
      </c>
      <c r="S408" s="173">
        <v>0</v>
      </c>
      <c r="T408" s="173">
        <v>0</v>
      </c>
      <c r="U408" s="173">
        <v>0</v>
      </c>
      <c r="V408" s="173">
        <v>0</v>
      </c>
      <c r="W408" s="173">
        <v>0</v>
      </c>
      <c r="X408" s="173">
        <v>0</v>
      </c>
      <c r="Y408" s="173">
        <v>0</v>
      </c>
      <c r="Z408" s="173">
        <v>0</v>
      </c>
      <c r="AA408" s="173">
        <v>0</v>
      </c>
      <c r="AB408" s="173">
        <v>0</v>
      </c>
    </row>
    <row r="409" spans="1:28" s="776" customFormat="1">
      <c r="A409" s="793"/>
      <c r="B409" s="242" t="s">
        <v>467</v>
      </c>
      <c r="C409" s="242"/>
      <c r="D409" s="242" t="s">
        <v>468</v>
      </c>
      <c r="E409" s="242"/>
      <c r="F409" s="173">
        <v>0</v>
      </c>
      <c r="G409" s="173">
        <v>0</v>
      </c>
      <c r="H409" s="173">
        <v>0</v>
      </c>
      <c r="I409" s="173">
        <v>0</v>
      </c>
      <c r="J409" s="173">
        <v>0</v>
      </c>
      <c r="K409" s="173">
        <v>0</v>
      </c>
      <c r="L409" s="173">
        <v>0</v>
      </c>
      <c r="M409" s="173">
        <v>0</v>
      </c>
      <c r="N409" s="173">
        <v>0</v>
      </c>
      <c r="O409" s="173">
        <v>0</v>
      </c>
      <c r="P409" s="173">
        <v>0</v>
      </c>
      <c r="Q409" s="173">
        <v>0</v>
      </c>
      <c r="R409" s="173">
        <v>-7758</v>
      </c>
      <c r="S409" s="173">
        <v>-8200</v>
      </c>
      <c r="T409" s="173">
        <v>-12500</v>
      </c>
      <c r="U409" s="173">
        <v>-21000</v>
      </c>
      <c r="V409" s="173">
        <v>-36000</v>
      </c>
      <c r="W409" s="173">
        <v>-40000</v>
      </c>
      <c r="X409" s="173">
        <v>-43000</v>
      </c>
      <c r="Y409" s="173">
        <v>-46000</v>
      </c>
      <c r="Z409" s="173">
        <v>-38000</v>
      </c>
      <c r="AA409" s="900">
        <v>-32000</v>
      </c>
      <c r="AB409" s="882">
        <v>-33000</v>
      </c>
    </row>
    <row r="410" spans="1:28" s="776" customFormat="1">
      <c r="A410" s="793"/>
      <c r="B410" s="242" t="s">
        <v>28</v>
      </c>
      <c r="C410" s="242"/>
      <c r="D410" s="242"/>
      <c r="E410" s="242"/>
      <c r="F410" s="173">
        <v>0</v>
      </c>
      <c r="G410" s="173">
        <v>0</v>
      </c>
      <c r="H410" s="173">
        <v>0</v>
      </c>
      <c r="I410" s="173">
        <v>0</v>
      </c>
      <c r="J410" s="173">
        <v>0</v>
      </c>
      <c r="K410" s="173">
        <v>0</v>
      </c>
      <c r="L410" s="173">
        <v>0</v>
      </c>
      <c r="M410" s="745">
        <v>0</v>
      </c>
      <c r="N410" s="745">
        <v>0</v>
      </c>
      <c r="O410" s="745">
        <v>0</v>
      </c>
      <c r="P410" s="745">
        <v>0</v>
      </c>
      <c r="Q410" s="745">
        <v>0</v>
      </c>
      <c r="R410" s="745">
        <v>-189</v>
      </c>
      <c r="S410" s="745">
        <v>-200</v>
      </c>
      <c r="T410" s="745">
        <v>-200</v>
      </c>
      <c r="U410" s="745">
        <v>0</v>
      </c>
      <c r="V410" s="745">
        <v>0</v>
      </c>
      <c r="W410" s="745">
        <v>0</v>
      </c>
      <c r="X410" s="745">
        <v>0</v>
      </c>
      <c r="Y410" s="745">
        <v>0</v>
      </c>
      <c r="Z410" s="902">
        <v>-2000</v>
      </c>
      <c r="AA410" s="902">
        <v>-2000</v>
      </c>
      <c r="AB410" s="991">
        <v>-2000</v>
      </c>
    </row>
    <row r="411" spans="1:28" s="776" customFormat="1">
      <c r="A411" s="793"/>
      <c r="B411" s="791" t="s">
        <v>433</v>
      </c>
      <c r="C411" s="242"/>
      <c r="D411" s="242"/>
      <c r="E411" s="242"/>
      <c r="F411" s="173">
        <v>0</v>
      </c>
      <c r="G411" s="173">
        <v>0</v>
      </c>
      <c r="H411" s="173">
        <v>0</v>
      </c>
      <c r="I411" s="173">
        <v>0</v>
      </c>
      <c r="J411" s="173">
        <v>0</v>
      </c>
      <c r="K411" s="173">
        <v>0</v>
      </c>
      <c r="L411" s="173">
        <v>0</v>
      </c>
      <c r="M411" s="900">
        <f t="shared" ref="M411:AB411" si="225">SUM(M408:M410)</f>
        <v>-132</v>
      </c>
      <c r="N411" s="900">
        <f t="shared" si="225"/>
        <v>-37</v>
      </c>
      <c r="O411" s="900">
        <f t="shared" si="225"/>
        <v>-1122</v>
      </c>
      <c r="P411" s="900">
        <f t="shared" si="225"/>
        <v>-449</v>
      </c>
      <c r="Q411" s="900">
        <f t="shared" si="225"/>
        <v>-3399</v>
      </c>
      <c r="R411" s="900">
        <f>SUM(R408:R410)</f>
        <v>-7947</v>
      </c>
      <c r="S411" s="900">
        <f t="shared" si="225"/>
        <v>-8400</v>
      </c>
      <c r="T411" s="900">
        <f t="shared" si="225"/>
        <v>-12700</v>
      </c>
      <c r="U411" s="900">
        <f t="shared" si="225"/>
        <v>-21000</v>
      </c>
      <c r="V411" s="900">
        <f t="shared" si="225"/>
        <v>-36000</v>
      </c>
      <c r="W411" s="900">
        <f t="shared" si="225"/>
        <v>-40000</v>
      </c>
      <c r="X411" s="900">
        <f t="shared" si="225"/>
        <v>-43000</v>
      </c>
      <c r="Y411" s="900">
        <f t="shared" si="225"/>
        <v>-46000</v>
      </c>
      <c r="Z411" s="900">
        <f t="shared" si="225"/>
        <v>-40000</v>
      </c>
      <c r="AA411" s="900">
        <f t="shared" si="225"/>
        <v>-34000</v>
      </c>
      <c r="AB411" s="900">
        <f t="shared" si="225"/>
        <v>-35000</v>
      </c>
    </row>
    <row r="412" spans="1:28" s="776" customFormat="1">
      <c r="A412" s="793"/>
      <c r="B412" s="791"/>
      <c r="C412" s="242"/>
      <c r="D412" s="242"/>
      <c r="E412" s="242"/>
      <c r="F412" s="173"/>
      <c r="G412" s="173"/>
      <c r="H412" s="173"/>
      <c r="I412" s="173"/>
      <c r="J412" s="173"/>
      <c r="K412" s="173"/>
      <c r="L412" s="173"/>
      <c r="M412" s="900"/>
      <c r="N412" s="900"/>
      <c r="O412" s="900"/>
      <c r="P412" s="900"/>
      <c r="Q412" s="900"/>
      <c r="R412" s="900"/>
      <c r="S412" s="900"/>
      <c r="T412" s="900"/>
      <c r="U412" s="900"/>
      <c r="V412" s="900"/>
      <c r="W412" s="900"/>
      <c r="X412" s="900"/>
      <c r="Y412" s="900"/>
      <c r="Z412" s="900"/>
      <c r="AA412" s="900"/>
      <c r="AB412" s="882"/>
    </row>
    <row r="413" spans="1:28" s="776" customFormat="1">
      <c r="A413" s="793"/>
      <c r="B413" s="791" t="s">
        <v>486</v>
      </c>
      <c r="C413" s="242"/>
      <c r="D413" s="791"/>
      <c r="E413" s="242"/>
      <c r="F413" s="1002">
        <f t="shared" ref="F413:AB413" si="226">F403+F411</f>
        <v>0</v>
      </c>
      <c r="G413" s="1002">
        <f t="shared" si="226"/>
        <v>0</v>
      </c>
      <c r="H413" s="1002">
        <f t="shared" si="226"/>
        <v>0</v>
      </c>
      <c r="I413" s="1002">
        <f t="shared" si="226"/>
        <v>0</v>
      </c>
      <c r="J413" s="1002">
        <f t="shared" si="226"/>
        <v>0</v>
      </c>
      <c r="K413" s="1002">
        <f t="shared" si="226"/>
        <v>0</v>
      </c>
      <c r="L413" s="1002">
        <f t="shared" si="226"/>
        <v>0</v>
      </c>
      <c r="M413" s="1004">
        <f t="shared" si="226"/>
        <v>-132</v>
      </c>
      <c r="N413" s="1004">
        <f t="shared" si="226"/>
        <v>1331698</v>
      </c>
      <c r="O413" s="1004">
        <f t="shared" si="226"/>
        <v>1327234</v>
      </c>
      <c r="P413" s="1004">
        <f t="shared" si="226"/>
        <v>1300333</v>
      </c>
      <c r="Q413" s="1004">
        <f t="shared" si="226"/>
        <v>1552709</v>
      </c>
      <c r="R413" s="1004">
        <f t="shared" si="226"/>
        <v>1404383</v>
      </c>
      <c r="S413" s="1004">
        <f t="shared" si="226"/>
        <v>1435800</v>
      </c>
      <c r="T413" s="1004">
        <f t="shared" si="226"/>
        <v>1351500</v>
      </c>
      <c r="U413" s="1004">
        <f t="shared" si="226"/>
        <v>1329000</v>
      </c>
      <c r="V413" s="1004">
        <f t="shared" si="226"/>
        <v>1364000</v>
      </c>
      <c r="W413" s="1004">
        <f t="shared" si="226"/>
        <v>1577000</v>
      </c>
      <c r="X413" s="1004">
        <f t="shared" si="226"/>
        <v>1672000</v>
      </c>
      <c r="Y413" s="1004">
        <f t="shared" si="226"/>
        <v>1637000</v>
      </c>
      <c r="Z413" s="1004">
        <f t="shared" si="226"/>
        <v>1928000</v>
      </c>
      <c r="AA413" s="1004">
        <f t="shared" si="226"/>
        <v>1816000</v>
      </c>
      <c r="AB413" s="1004">
        <f t="shared" si="226"/>
        <v>1905000</v>
      </c>
    </row>
    <row r="414" spans="1:28" s="776" customFormat="1">
      <c r="A414" s="793"/>
      <c r="B414" s="791"/>
      <c r="C414" s="242"/>
      <c r="D414" s="242"/>
      <c r="E414" s="242"/>
      <c r="F414" s="173"/>
      <c r="G414" s="173"/>
      <c r="H414" s="173"/>
      <c r="I414" s="173"/>
      <c r="J414" s="173"/>
      <c r="K414" s="173"/>
      <c r="L414" s="173"/>
      <c r="M414" s="900"/>
      <c r="N414" s="900"/>
      <c r="O414" s="900"/>
      <c r="P414" s="900"/>
      <c r="Q414" s="900"/>
      <c r="R414" s="900"/>
      <c r="S414" s="900"/>
      <c r="T414" s="900"/>
      <c r="U414" s="900"/>
      <c r="V414" s="900"/>
      <c r="W414" s="900"/>
      <c r="X414" s="900"/>
      <c r="Y414" s="900"/>
      <c r="Z414" s="900"/>
      <c r="AA414" s="900"/>
      <c r="AB414" s="882"/>
    </row>
    <row r="415" spans="1:28" s="776" customFormat="1">
      <c r="A415" s="74" t="s">
        <v>469</v>
      </c>
      <c r="B415" s="74"/>
      <c r="C415" s="74"/>
      <c r="D415" s="791"/>
      <c r="E415" s="242"/>
      <c r="F415" s="173">
        <v>0</v>
      </c>
      <c r="G415" s="173">
        <v>0</v>
      </c>
      <c r="H415" s="173">
        <v>0</v>
      </c>
      <c r="I415" s="173">
        <v>0</v>
      </c>
      <c r="J415" s="173">
        <v>0</v>
      </c>
      <c r="K415" s="173">
        <v>0</v>
      </c>
      <c r="L415" s="173">
        <v>0</v>
      </c>
      <c r="M415" s="900">
        <v>152089</v>
      </c>
      <c r="N415" s="900">
        <v>152979</v>
      </c>
      <c r="O415" s="900">
        <v>1328356</v>
      </c>
      <c r="P415" s="900">
        <v>1301231</v>
      </c>
      <c r="Q415" s="900">
        <v>1559507</v>
      </c>
      <c r="R415" s="900">
        <v>1404383</v>
      </c>
      <c r="S415" s="900">
        <v>1435784</v>
      </c>
      <c r="T415" s="900">
        <v>1435800</v>
      </c>
      <c r="U415" s="900">
        <v>1350000</v>
      </c>
      <c r="V415" s="900">
        <v>1617000</v>
      </c>
      <c r="W415" s="900">
        <v>1683000</v>
      </c>
      <c r="X415" s="900">
        <v>1715000</v>
      </c>
      <c r="Y415" s="900">
        <v>1683000</v>
      </c>
      <c r="Z415" s="900">
        <v>1968000</v>
      </c>
      <c r="AA415" s="900">
        <v>1850000</v>
      </c>
      <c r="AB415" s="882">
        <v>1940000</v>
      </c>
    </row>
    <row r="416" spans="1:28" s="776" customFormat="1">
      <c r="B416" s="242" t="s">
        <v>470</v>
      </c>
      <c r="C416" s="242"/>
      <c r="D416" s="791"/>
      <c r="E416" s="242"/>
      <c r="F416" s="745">
        <v>0</v>
      </c>
      <c r="G416" s="745">
        <v>0</v>
      </c>
      <c r="H416" s="745">
        <v>0</v>
      </c>
      <c r="I416" s="745">
        <v>0</v>
      </c>
      <c r="J416" s="745">
        <v>0</v>
      </c>
      <c r="K416" s="745">
        <v>0</v>
      </c>
      <c r="L416" s="745">
        <v>0</v>
      </c>
      <c r="M416" s="902">
        <v>818870</v>
      </c>
      <c r="N416" s="902">
        <v>1178793</v>
      </c>
      <c r="O416" s="902">
        <v>0</v>
      </c>
      <c r="P416" s="902">
        <v>0</v>
      </c>
      <c r="Q416" s="902">
        <v>0</v>
      </c>
      <c r="R416" s="902">
        <v>0</v>
      </c>
      <c r="S416" s="902">
        <v>0</v>
      </c>
      <c r="T416" s="902">
        <v>0</v>
      </c>
      <c r="U416" s="902">
        <v>0</v>
      </c>
      <c r="V416" s="902">
        <v>0</v>
      </c>
      <c r="W416" s="902">
        <v>0</v>
      </c>
      <c r="X416" s="902">
        <v>0</v>
      </c>
      <c r="Y416" s="902">
        <v>0</v>
      </c>
      <c r="Z416" s="902">
        <v>0</v>
      </c>
      <c r="AA416" s="902">
        <v>0</v>
      </c>
      <c r="AB416" s="991"/>
    </row>
    <row r="417" spans="1:28" s="776" customFormat="1">
      <c r="A417" s="242"/>
      <c r="B417" s="242"/>
      <c r="C417" s="242"/>
      <c r="D417" s="791"/>
      <c r="E417" s="242"/>
      <c r="F417" s="900">
        <f t="shared" ref="F417:L417" si="227">SUM(F415:F416)</f>
        <v>0</v>
      </c>
      <c r="G417" s="900">
        <f t="shared" si="227"/>
        <v>0</v>
      </c>
      <c r="H417" s="900">
        <f t="shared" si="227"/>
        <v>0</v>
      </c>
      <c r="I417" s="900">
        <f t="shared" si="227"/>
        <v>0</v>
      </c>
      <c r="J417" s="900">
        <f t="shared" si="227"/>
        <v>0</v>
      </c>
      <c r="K417" s="900">
        <f t="shared" si="227"/>
        <v>0</v>
      </c>
      <c r="L417" s="900">
        <f t="shared" si="227"/>
        <v>0</v>
      </c>
      <c r="M417" s="900">
        <f t="shared" ref="M417:O417" si="228">SUM(M415:M416)</f>
        <v>970959</v>
      </c>
      <c r="N417" s="900">
        <f t="shared" si="228"/>
        <v>1331772</v>
      </c>
      <c r="O417" s="900">
        <f t="shared" si="228"/>
        <v>1328356</v>
      </c>
      <c r="P417" s="900">
        <f t="shared" ref="P417" si="229">SUM(P415:P416)</f>
        <v>1301231</v>
      </c>
      <c r="Q417" s="900">
        <f t="shared" ref="Q417" si="230">SUM(Q415:Q416)</f>
        <v>1559507</v>
      </c>
      <c r="R417" s="900">
        <f t="shared" ref="R417" si="231">SUM(R415:R416)</f>
        <v>1404383</v>
      </c>
      <c r="S417" s="900">
        <f t="shared" ref="S417" si="232">SUM(S415:S416)</f>
        <v>1435784</v>
      </c>
      <c r="T417" s="900">
        <f t="shared" ref="T417" si="233">SUM(T415:T416)</f>
        <v>1435800</v>
      </c>
      <c r="U417" s="900">
        <f t="shared" ref="U417" si="234">SUM(U415:U416)</f>
        <v>1350000</v>
      </c>
      <c r="V417" s="900">
        <f t="shared" ref="V417" si="235">SUM(V415:V416)</f>
        <v>1617000</v>
      </c>
      <c r="W417" s="900">
        <f t="shared" ref="W417" si="236">SUM(W415:W416)</f>
        <v>1683000</v>
      </c>
      <c r="X417" s="900">
        <f t="shared" ref="X417" si="237">SUM(X415:X416)</f>
        <v>1715000</v>
      </c>
      <c r="Y417" s="900">
        <f t="shared" ref="Y417" si="238">SUM(Y415:Y416)</f>
        <v>1683000</v>
      </c>
      <c r="Z417" s="900">
        <f t="shared" ref="Z417" si="239">SUM(Z415:Z416)</f>
        <v>1968000</v>
      </c>
      <c r="AA417" s="900">
        <f t="shared" ref="AA417:AB417" si="240">SUM(AA415:AA416)</f>
        <v>1850000</v>
      </c>
      <c r="AB417" s="900">
        <f t="shared" si="240"/>
        <v>1940000</v>
      </c>
    </row>
    <row r="418" spans="1:28" s="776" customFormat="1">
      <c r="A418" s="1205" t="s">
        <v>482</v>
      </c>
      <c r="B418" s="1205"/>
      <c r="C418" s="1205"/>
      <c r="D418" s="1205"/>
      <c r="E418" s="793"/>
      <c r="F418" s="809"/>
      <c r="G418" s="809"/>
      <c r="H418" s="809"/>
      <c r="I418" s="809"/>
      <c r="J418" s="809"/>
      <c r="K418" s="809"/>
      <c r="L418" s="979"/>
      <c r="M418" s="809"/>
      <c r="N418" s="809"/>
      <c r="O418" s="809"/>
      <c r="P418" s="809"/>
      <c r="Q418" s="809"/>
      <c r="R418" s="809"/>
      <c r="S418" s="809"/>
      <c r="T418" s="809"/>
      <c r="U418" s="809"/>
      <c r="V418" s="809"/>
      <c r="W418" s="809"/>
      <c r="X418" s="809"/>
      <c r="Y418" s="809"/>
      <c r="Z418" s="809"/>
      <c r="AA418" s="793"/>
      <c r="AB418" s="882"/>
    </row>
    <row r="419" spans="1:28" s="776" customFormat="1">
      <c r="A419" s="1008"/>
      <c r="B419" s="1009" t="s">
        <v>486</v>
      </c>
      <c r="C419" s="1009"/>
      <c r="D419" s="1009"/>
      <c r="E419" s="1010"/>
      <c r="F419" s="996">
        <f t="shared" ref="F419:AB419" si="241">F66-F31</f>
        <v>5014</v>
      </c>
      <c r="G419" s="996">
        <f t="shared" si="241"/>
        <v>28728</v>
      </c>
      <c r="H419" s="996">
        <f t="shared" si="241"/>
        <v>66401</v>
      </c>
      <c r="I419" s="996">
        <f t="shared" si="241"/>
        <v>92031</v>
      </c>
      <c r="J419" s="996">
        <f t="shared" si="241"/>
        <v>138871</v>
      </c>
      <c r="K419" s="996">
        <f t="shared" si="241"/>
        <v>145260</v>
      </c>
      <c r="L419" s="996">
        <f t="shared" si="241"/>
        <v>179168</v>
      </c>
      <c r="M419" s="996">
        <f t="shared" si="241"/>
        <v>970827</v>
      </c>
      <c r="N419" s="996">
        <f t="shared" si="241"/>
        <v>1331735</v>
      </c>
      <c r="O419" s="996">
        <f t="shared" si="241"/>
        <v>1328356</v>
      </c>
      <c r="P419" s="996">
        <f t="shared" si="241"/>
        <v>1300782</v>
      </c>
      <c r="Q419" s="996">
        <f t="shared" si="241"/>
        <v>1556108</v>
      </c>
      <c r="R419" s="996">
        <f t="shared" si="241"/>
        <v>1404383</v>
      </c>
      <c r="S419" s="996">
        <f t="shared" si="241"/>
        <v>1435800</v>
      </c>
      <c r="T419" s="996">
        <f t="shared" si="241"/>
        <v>1351500</v>
      </c>
      <c r="U419" s="996">
        <f t="shared" si="241"/>
        <v>1329000</v>
      </c>
      <c r="V419" s="996">
        <f t="shared" si="241"/>
        <v>1364000</v>
      </c>
      <c r="W419" s="996">
        <f t="shared" si="241"/>
        <v>1577000</v>
      </c>
      <c r="X419" s="996">
        <f t="shared" si="241"/>
        <v>1672000</v>
      </c>
      <c r="Y419" s="996">
        <f t="shared" si="241"/>
        <v>1637000</v>
      </c>
      <c r="Z419" s="996">
        <f t="shared" si="241"/>
        <v>1928000</v>
      </c>
      <c r="AA419" s="996">
        <f t="shared" si="241"/>
        <v>1816000</v>
      </c>
      <c r="AB419" s="996">
        <f t="shared" si="241"/>
        <v>1905000</v>
      </c>
    </row>
    <row r="420" spans="1:28" s="776" customFormat="1">
      <c r="A420" s="1008"/>
      <c r="B420" s="1009"/>
      <c r="C420" s="1009"/>
      <c r="D420" s="1009"/>
      <c r="E420" s="1010"/>
      <c r="F420" s="996"/>
      <c r="G420" s="996"/>
      <c r="H420" s="996"/>
      <c r="I420" s="996"/>
      <c r="J420" s="996"/>
      <c r="K420" s="996"/>
      <c r="L420" s="996"/>
      <c r="M420" s="996"/>
      <c r="N420" s="996"/>
      <c r="O420" s="996"/>
      <c r="P420" s="996"/>
      <c r="Q420" s="996"/>
      <c r="R420" s="996"/>
      <c r="S420" s="996"/>
      <c r="T420" s="996"/>
      <c r="U420" s="996"/>
      <c r="V420" s="996"/>
      <c r="W420" s="996"/>
      <c r="X420" s="996"/>
      <c r="Y420" s="996"/>
      <c r="Z420" s="996"/>
      <c r="AA420" s="996"/>
      <c r="AB420" s="882"/>
    </row>
    <row r="421" spans="1:28" s="776" customFormat="1">
      <c r="A421" s="880"/>
      <c r="B421" s="905" t="s">
        <v>431</v>
      </c>
      <c r="C421" s="880"/>
      <c r="D421" s="7"/>
      <c r="E421" s="7"/>
      <c r="F421" s="242"/>
      <c r="G421" s="242"/>
      <c r="H421" s="242"/>
      <c r="I421" s="242"/>
      <c r="J421" s="242"/>
      <c r="K421" s="242"/>
      <c r="L421" s="793"/>
      <c r="M421" s="793"/>
      <c r="N421" s="793"/>
      <c r="O421" s="793"/>
      <c r="P421" s="242"/>
      <c r="Q421" s="242"/>
      <c r="R421" s="242"/>
      <c r="S421" s="242"/>
      <c r="T421" s="242"/>
      <c r="U421" s="242"/>
      <c r="V421" s="242"/>
      <c r="W421" s="242"/>
      <c r="X421" s="242"/>
      <c r="Y421" s="242"/>
      <c r="Z421" s="242"/>
      <c r="AA421" s="242"/>
      <c r="AB421" s="882"/>
    </row>
    <row r="422" spans="1:28" s="776" customFormat="1">
      <c r="A422" s="880"/>
      <c r="B422" s="1333" t="s">
        <v>483</v>
      </c>
      <c r="C422" s="1334"/>
      <c r="D422" s="1335"/>
      <c r="E422" s="1335"/>
      <c r="F422" s="793"/>
      <c r="G422" s="793"/>
      <c r="H422" s="793"/>
      <c r="I422" s="793"/>
      <c r="J422" s="793"/>
      <c r="K422" s="793"/>
      <c r="L422" s="793"/>
      <c r="M422" s="793"/>
      <c r="N422" s="893">
        <v>1317989</v>
      </c>
      <c r="O422" s="893">
        <v>1320348</v>
      </c>
      <c r="P422" s="893">
        <v>1326830</v>
      </c>
      <c r="Q422" s="893">
        <v>1607115</v>
      </c>
      <c r="R422" s="893">
        <v>1080813</v>
      </c>
      <c r="S422" s="893">
        <v>1076500</v>
      </c>
      <c r="T422" s="893">
        <v>942000</v>
      </c>
      <c r="U422" s="893">
        <v>942000</v>
      </c>
      <c r="V422" s="893">
        <v>1034000</v>
      </c>
      <c r="W422" s="893">
        <v>1665000</v>
      </c>
      <c r="X422" s="893">
        <v>1760000</v>
      </c>
      <c r="Y422" s="893">
        <v>1731000</v>
      </c>
      <c r="Z422" s="893">
        <v>2009000</v>
      </c>
      <c r="AA422" s="893">
        <v>1935000</v>
      </c>
      <c r="AB422" s="1240">
        <v>1941000</v>
      </c>
    </row>
    <row r="423" spans="1:28" s="776" customFormat="1">
      <c r="A423" s="880"/>
      <c r="B423" s="1333" t="s">
        <v>484</v>
      </c>
      <c r="C423" s="1334"/>
      <c r="D423" s="1335"/>
      <c r="E423" s="1335"/>
      <c r="F423" s="793"/>
      <c r="G423" s="793"/>
      <c r="H423" s="793"/>
      <c r="I423" s="793"/>
      <c r="J423" s="793"/>
      <c r="K423" s="793"/>
      <c r="L423" s="793"/>
      <c r="M423" s="793"/>
      <c r="N423" s="793"/>
      <c r="O423" s="793"/>
      <c r="P423" s="793"/>
      <c r="Q423" s="793"/>
      <c r="R423" s="893">
        <v>398223</v>
      </c>
      <c r="S423" s="893">
        <v>439400</v>
      </c>
      <c r="T423" s="893">
        <v>428900</v>
      </c>
      <c r="U423" s="893">
        <v>434000</v>
      </c>
      <c r="V423" s="893">
        <v>395000</v>
      </c>
      <c r="W423" s="793"/>
      <c r="X423" s="793"/>
      <c r="Y423" s="793"/>
      <c r="Z423" s="793"/>
      <c r="AA423" s="793"/>
      <c r="AB423" s="882"/>
    </row>
    <row r="424" spans="1:28" s="776" customFormat="1">
      <c r="A424" s="880"/>
      <c r="B424" s="881" t="s">
        <v>339</v>
      </c>
      <c r="C424" s="1011"/>
      <c r="D424" s="7"/>
      <c r="E424" s="7"/>
      <c r="F424" s="793"/>
      <c r="G424" s="793"/>
      <c r="H424" s="793"/>
      <c r="I424" s="793"/>
      <c r="J424" s="793"/>
      <c r="K424" s="793"/>
      <c r="L424" s="793"/>
      <c r="M424" s="793"/>
      <c r="N424" s="793"/>
      <c r="O424" s="793"/>
      <c r="P424" s="793"/>
      <c r="Q424" s="793">
        <v>-22595</v>
      </c>
      <c r="R424" s="793">
        <v>-19497</v>
      </c>
      <c r="S424" s="793">
        <v>-41800</v>
      </c>
      <c r="T424" s="793">
        <v>-8600</v>
      </c>
      <c r="U424" s="793">
        <v>0</v>
      </c>
      <c r="V424" s="793">
        <v>-1000</v>
      </c>
      <c r="W424" s="793">
        <v>-43000</v>
      </c>
      <c r="X424" s="793">
        <v>-39000</v>
      </c>
      <c r="Y424" s="793">
        <v>-37000</v>
      </c>
      <c r="Z424" s="793">
        <v>-27000</v>
      </c>
      <c r="AA424" s="793">
        <v>-22000</v>
      </c>
      <c r="AB424" s="882">
        <v>-13000</v>
      </c>
    </row>
    <row r="425" spans="1:28" s="776" customFormat="1">
      <c r="A425" s="880"/>
      <c r="B425" s="881" t="s">
        <v>463</v>
      </c>
      <c r="C425" s="1011"/>
      <c r="D425" s="7"/>
      <c r="E425" s="7"/>
      <c r="F425" s="793"/>
      <c r="G425" s="793"/>
      <c r="H425" s="793"/>
      <c r="I425" s="793"/>
      <c r="J425" s="793"/>
      <c r="K425" s="793"/>
      <c r="L425" s="793"/>
      <c r="M425" s="793"/>
      <c r="N425" s="793">
        <v>9503</v>
      </c>
      <c r="O425" s="793">
        <v>-7413</v>
      </c>
      <c r="P425" s="793">
        <v>-27977</v>
      </c>
      <c r="Q425" s="793">
        <v>-23505</v>
      </c>
      <c r="R425" s="793">
        <v>-51370</v>
      </c>
      <c r="S425" s="793">
        <v>-34200</v>
      </c>
      <c r="T425" s="793">
        <v>900</v>
      </c>
      <c r="U425" s="793">
        <v>-20000</v>
      </c>
      <c r="V425" s="793">
        <v>-23000</v>
      </c>
      <c r="W425" s="793">
        <v>-7000</v>
      </c>
      <c r="X425" s="793">
        <v>-12000</v>
      </c>
      <c r="Y425" s="793">
        <v>-18000</v>
      </c>
      <c r="Z425" s="793">
        <v>-19000</v>
      </c>
      <c r="AA425" s="793">
        <v>-64000</v>
      </c>
      <c r="AB425" s="882">
        <v>6000</v>
      </c>
    </row>
    <row r="426" spans="1:28" s="776" customFormat="1">
      <c r="A426" s="880"/>
      <c r="B426" s="881" t="s">
        <v>298</v>
      </c>
      <c r="C426" s="1011"/>
      <c r="D426" s="7"/>
      <c r="E426" s="7"/>
      <c r="F426" s="793"/>
      <c r="G426" s="793"/>
      <c r="H426" s="793"/>
      <c r="I426" s="793"/>
      <c r="J426" s="793"/>
      <c r="K426" s="793"/>
      <c r="L426" s="793"/>
      <c r="M426" s="793"/>
      <c r="N426" s="793"/>
      <c r="O426" s="793"/>
      <c r="P426" s="793"/>
      <c r="Q426" s="793">
        <v>0</v>
      </c>
      <c r="R426" s="793"/>
      <c r="S426" s="793"/>
      <c r="T426" s="793"/>
      <c r="U426" s="793"/>
      <c r="V426" s="793"/>
      <c r="W426" s="793">
        <v>0</v>
      </c>
      <c r="X426" s="793">
        <v>5000</v>
      </c>
      <c r="Y426" s="793">
        <v>6000</v>
      </c>
      <c r="Z426" s="793">
        <v>6000</v>
      </c>
      <c r="AA426" s="793">
        <v>7000</v>
      </c>
      <c r="AB426" s="882">
        <v>7000</v>
      </c>
    </row>
    <row r="427" spans="1:28" s="776" customFormat="1">
      <c r="A427" s="880"/>
      <c r="B427" s="881" t="s">
        <v>485</v>
      </c>
      <c r="C427" s="1011"/>
      <c r="D427" s="7"/>
      <c r="E427" s="7"/>
      <c r="F427" s="793"/>
      <c r="G427" s="793"/>
      <c r="H427" s="793"/>
      <c r="I427" s="793"/>
      <c r="J427" s="793"/>
      <c r="K427" s="793"/>
      <c r="L427" s="793"/>
      <c r="M427" s="793"/>
      <c r="N427" s="793">
        <v>4243</v>
      </c>
      <c r="O427" s="793">
        <v>15421</v>
      </c>
      <c r="P427" s="793">
        <v>1929</v>
      </c>
      <c r="Q427" s="793">
        <v>-4907</v>
      </c>
      <c r="R427" s="793">
        <v>4161</v>
      </c>
      <c r="S427" s="793">
        <v>4300</v>
      </c>
      <c r="T427" s="793">
        <v>1000</v>
      </c>
      <c r="U427" s="793">
        <v>-6000</v>
      </c>
      <c r="V427" s="793">
        <v>-5000</v>
      </c>
      <c r="W427" s="793">
        <v>2000</v>
      </c>
      <c r="X427" s="793">
        <v>1000</v>
      </c>
      <c r="Y427" s="793">
        <v>1000</v>
      </c>
      <c r="Z427" s="793">
        <v>-1000</v>
      </c>
      <c r="AA427" s="793">
        <v>-6000</v>
      </c>
      <c r="AB427" s="882">
        <v>-1000</v>
      </c>
    </row>
    <row r="428" spans="1:28" s="776" customFormat="1">
      <c r="A428" s="880"/>
      <c r="B428" s="881"/>
      <c r="C428" s="1011"/>
      <c r="D428" s="7"/>
      <c r="E428" s="7"/>
      <c r="F428" s="793"/>
      <c r="G428" s="793"/>
      <c r="H428" s="793"/>
      <c r="I428" s="793"/>
      <c r="J428" s="793"/>
      <c r="K428" s="793"/>
      <c r="L428" s="793"/>
      <c r="M428" s="793"/>
      <c r="N428" s="793"/>
      <c r="O428" s="793"/>
      <c r="P428" s="793"/>
      <c r="Q428" s="793">
        <v>0</v>
      </c>
      <c r="R428" s="793"/>
      <c r="S428" s="793"/>
      <c r="T428" s="793"/>
      <c r="U428" s="793"/>
      <c r="V428" s="793"/>
      <c r="W428" s="793"/>
      <c r="X428" s="793"/>
      <c r="Y428" s="793"/>
      <c r="Z428" s="793"/>
      <c r="AA428" s="793"/>
      <c r="AB428" s="991"/>
    </row>
    <row r="429" spans="1:28" s="776" customFormat="1">
      <c r="A429" s="880"/>
      <c r="B429" s="1250" t="s">
        <v>1343</v>
      </c>
      <c r="C429" s="7"/>
      <c r="D429" s="7"/>
      <c r="E429" s="7"/>
      <c r="F429" s="52"/>
      <c r="G429" s="52"/>
      <c r="H429" s="52"/>
      <c r="I429" s="52"/>
      <c r="J429" s="52"/>
      <c r="K429" s="793"/>
      <c r="L429" s="793"/>
      <c r="M429" s="793"/>
      <c r="N429" s="898">
        <f t="shared" ref="N429:Y429" si="242">SUM(N422:N428)</f>
        <v>1331735</v>
      </c>
      <c r="O429" s="898">
        <f t="shared" si="242"/>
        <v>1328356</v>
      </c>
      <c r="P429" s="898">
        <f t="shared" si="242"/>
        <v>1300782</v>
      </c>
      <c r="Q429" s="898">
        <f t="shared" si="242"/>
        <v>1556108</v>
      </c>
      <c r="R429" s="898">
        <f t="shared" si="242"/>
        <v>1412330</v>
      </c>
      <c r="S429" s="898">
        <f t="shared" si="242"/>
        <v>1444200</v>
      </c>
      <c r="T429" s="898">
        <f t="shared" si="242"/>
        <v>1364200</v>
      </c>
      <c r="U429" s="898">
        <f t="shared" si="242"/>
        <v>1350000</v>
      </c>
      <c r="V429" s="898">
        <f t="shared" si="242"/>
        <v>1400000</v>
      </c>
      <c r="W429" s="898">
        <f t="shared" si="242"/>
        <v>1617000</v>
      </c>
      <c r="X429" s="898">
        <f t="shared" si="242"/>
        <v>1715000</v>
      </c>
      <c r="Y429" s="898">
        <f t="shared" si="242"/>
        <v>1683000</v>
      </c>
      <c r="Z429" s="898">
        <f>SUM(Z422:Z428)</f>
        <v>1968000</v>
      </c>
      <c r="AA429" s="898">
        <f>SUM(AA422:AA428)</f>
        <v>1850000</v>
      </c>
      <c r="AB429" s="898">
        <f>SUM(AB422:AB428)</f>
        <v>1940000</v>
      </c>
    </row>
    <row r="430" spans="1:28" s="776" customFormat="1">
      <c r="A430" s="880"/>
      <c r="B430" s="7"/>
      <c r="C430" s="7"/>
      <c r="D430" s="7"/>
      <c r="E430" s="7"/>
      <c r="F430" s="52"/>
      <c r="G430" s="52"/>
      <c r="H430" s="52"/>
      <c r="I430" s="52"/>
      <c r="J430" s="52"/>
      <c r="K430" s="793"/>
      <c r="L430" s="793"/>
      <c r="M430" s="793"/>
      <c r="N430" s="793"/>
      <c r="O430" s="793"/>
      <c r="P430" s="793"/>
      <c r="Q430" s="793"/>
      <c r="R430" s="793"/>
      <c r="S430" s="793"/>
      <c r="T430" s="793"/>
      <c r="U430" s="793"/>
      <c r="V430" s="793"/>
      <c r="W430" s="793"/>
      <c r="X430" s="793"/>
      <c r="Y430" s="793"/>
      <c r="Z430" s="793"/>
      <c r="AA430" s="793"/>
      <c r="AB430" s="882"/>
    </row>
    <row r="431" spans="1:28" s="776" customFormat="1">
      <c r="A431" s="880"/>
      <c r="B431" s="881" t="s">
        <v>437</v>
      </c>
      <c r="C431" s="880"/>
      <c r="D431" s="7"/>
      <c r="E431" s="7"/>
      <c r="F431" s="793"/>
      <c r="G431" s="793"/>
      <c r="H431" s="793">
        <v>12187</v>
      </c>
      <c r="I431" s="793">
        <v>0</v>
      </c>
      <c r="J431" s="793">
        <v>21576</v>
      </c>
      <c r="K431" s="793"/>
      <c r="L431" s="793"/>
      <c r="M431" s="793"/>
      <c r="N431" s="793"/>
      <c r="O431" s="793"/>
      <c r="P431" s="793"/>
      <c r="Q431" s="943"/>
      <c r="R431" s="943"/>
      <c r="S431" s="943"/>
      <c r="T431" s="943"/>
      <c r="U431" s="943"/>
      <c r="V431" s="943"/>
      <c r="W431" s="943"/>
      <c r="X431" s="943"/>
      <c r="Y431" s="943"/>
      <c r="Z431" s="943"/>
      <c r="AA431" s="943"/>
      <c r="AB431" s="943"/>
    </row>
    <row r="432" spans="1:28" s="776" customFormat="1">
      <c r="A432" s="880"/>
      <c r="B432" s="881" t="s">
        <v>487</v>
      </c>
      <c r="C432" s="1011"/>
      <c r="D432" s="7"/>
      <c r="E432" s="7"/>
      <c r="F432" s="793"/>
      <c r="G432" s="793"/>
      <c r="H432" s="793"/>
      <c r="I432" s="793"/>
      <c r="J432" s="793"/>
      <c r="K432" s="793"/>
      <c r="L432" s="793"/>
      <c r="M432" s="793"/>
      <c r="N432" s="793">
        <v>11328</v>
      </c>
      <c r="O432" s="793">
        <f>11507</f>
        <v>11507</v>
      </c>
      <c r="P432" s="793">
        <v>-35128</v>
      </c>
      <c r="Q432" s="943"/>
      <c r="R432" s="943"/>
      <c r="S432" s="943"/>
      <c r="T432" s="943"/>
      <c r="U432" s="943"/>
      <c r="V432" s="943"/>
      <c r="W432" s="943"/>
      <c r="X432" s="943"/>
      <c r="Y432" s="943"/>
      <c r="Z432" s="943"/>
      <c r="AA432" s="943"/>
      <c r="AB432" s="943"/>
    </row>
    <row r="433" spans="1:28" s="776" customFormat="1">
      <c r="A433" s="880"/>
      <c r="B433" s="881" t="s">
        <v>488</v>
      </c>
      <c r="C433" s="1011"/>
      <c r="D433" s="7"/>
      <c r="E433" s="7"/>
      <c r="F433" s="793"/>
      <c r="G433" s="793"/>
      <c r="H433" s="793"/>
      <c r="I433" s="793"/>
      <c r="J433" s="793"/>
      <c r="K433" s="793"/>
      <c r="L433" s="793"/>
      <c r="M433" s="793"/>
      <c r="N433" s="899">
        <v>476073</v>
      </c>
      <c r="O433" s="793">
        <f>-13341</f>
        <v>-13341</v>
      </c>
      <c r="P433" s="793">
        <v>8274</v>
      </c>
      <c r="Q433" s="943"/>
      <c r="R433" s="943"/>
      <c r="S433" s="943"/>
      <c r="T433" s="943"/>
      <c r="U433" s="943"/>
      <c r="V433" s="943"/>
      <c r="W433" s="943"/>
      <c r="X433" s="943"/>
      <c r="Y433" s="943"/>
      <c r="Z433" s="943"/>
      <c r="AA433" s="943"/>
      <c r="AB433" s="943"/>
    </row>
    <row r="434" spans="1:28" s="776" customFormat="1">
      <c r="A434" s="880"/>
      <c r="B434" s="881" t="s">
        <v>489</v>
      </c>
      <c r="C434" s="1011"/>
      <c r="D434" s="7"/>
      <c r="E434" s="7"/>
      <c r="F434" s="793"/>
      <c r="G434" s="793"/>
      <c r="H434" s="793"/>
      <c r="I434" s="793"/>
      <c r="J434" s="793"/>
      <c r="K434" s="793"/>
      <c r="L434" s="793"/>
      <c r="M434" s="793"/>
      <c r="N434" s="793">
        <v>4424</v>
      </c>
      <c r="O434" s="793"/>
      <c r="P434" s="793"/>
      <c r="Q434" s="943"/>
      <c r="R434" s="943"/>
      <c r="S434" s="943"/>
      <c r="T434" s="943"/>
      <c r="U434" s="943"/>
      <c r="V434" s="943"/>
      <c r="W434" s="943"/>
      <c r="X434" s="943"/>
      <c r="Y434" s="943"/>
      <c r="Z434" s="943"/>
      <c r="AA434" s="943"/>
      <c r="AB434" s="943"/>
    </row>
    <row r="435" spans="1:28" s="776" customFormat="1">
      <c r="A435" s="880"/>
      <c r="B435" s="881" t="s">
        <v>490</v>
      </c>
      <c r="C435" s="1011"/>
      <c r="D435" s="7"/>
      <c r="E435" s="7"/>
      <c r="F435" s="793"/>
      <c r="G435" s="793"/>
      <c r="H435" s="793"/>
      <c r="I435" s="793"/>
      <c r="J435" s="793"/>
      <c r="K435" s="793"/>
      <c r="L435" s="793"/>
      <c r="M435" s="793"/>
      <c r="N435" s="793">
        <v>-16744</v>
      </c>
      <c r="O435" s="793">
        <f>-2859+1191+123</f>
        <v>-1545</v>
      </c>
      <c r="P435" s="793">
        <v>-720</v>
      </c>
      <c r="Q435" s="943"/>
      <c r="R435" s="943"/>
      <c r="S435" s="943"/>
      <c r="T435" s="943"/>
      <c r="U435" s="943"/>
      <c r="V435" s="943"/>
      <c r="W435" s="943"/>
      <c r="X435" s="943"/>
      <c r="Y435" s="943"/>
      <c r="Z435" s="943"/>
      <c r="AA435" s="943"/>
      <c r="AB435" s="943"/>
    </row>
    <row r="436" spans="1:28" s="776" customFormat="1">
      <c r="A436" s="880"/>
      <c r="B436" s="881" t="s">
        <v>491</v>
      </c>
      <c r="C436" s="1011"/>
      <c r="D436" s="7"/>
      <c r="E436" s="7"/>
      <c r="F436" s="793"/>
      <c r="G436" s="793"/>
      <c r="H436" s="793"/>
      <c r="I436" s="793"/>
      <c r="J436" s="793"/>
      <c r="K436" s="793"/>
      <c r="L436" s="793"/>
      <c r="M436" s="793"/>
      <c r="N436" s="926">
        <v>-113928</v>
      </c>
      <c r="O436" s="793"/>
      <c r="P436" s="793"/>
      <c r="Q436" s="943"/>
      <c r="R436" s="1435" t="s">
        <v>1340</v>
      </c>
      <c r="S436" s="1435"/>
      <c r="T436" s="1435"/>
      <c r="U436" s="1435"/>
      <c r="V436" s="1435"/>
      <c r="W436" s="1435"/>
      <c r="X436" s="1435"/>
      <c r="Y436" s="1435"/>
      <c r="Z436" s="1435"/>
      <c r="AA436" s="943"/>
      <c r="AB436" s="943"/>
    </row>
    <row r="437" spans="1:28" s="776" customFormat="1">
      <c r="A437" s="880"/>
      <c r="B437" s="881" t="s">
        <v>492</v>
      </c>
      <c r="C437" s="1011"/>
      <c r="D437" s="7"/>
      <c r="E437" s="7"/>
      <c r="F437" s="793"/>
      <c r="G437" s="793"/>
      <c r="H437" s="793"/>
      <c r="I437" s="793"/>
      <c r="J437" s="793"/>
      <c r="K437" s="793"/>
      <c r="L437" s="793"/>
      <c r="M437" s="793"/>
      <c r="N437" s="793">
        <v>-126</v>
      </c>
      <c r="O437" s="793"/>
      <c r="P437" s="793"/>
      <c r="Q437" s="943"/>
      <c r="R437" s="943"/>
      <c r="S437" s="943"/>
      <c r="T437" s="943"/>
      <c r="U437" s="943"/>
      <c r="V437" s="943"/>
      <c r="W437" s="943"/>
      <c r="X437" s="943"/>
      <c r="Y437" s="943"/>
      <c r="Z437" s="943"/>
      <c r="AA437" s="943"/>
      <c r="AB437" s="943"/>
    </row>
    <row r="438" spans="1:28" s="776" customFormat="1">
      <c r="A438" s="880"/>
      <c r="B438" s="881" t="s">
        <v>493</v>
      </c>
      <c r="C438" s="1011"/>
      <c r="D438" s="7"/>
      <c r="E438" s="7"/>
      <c r="F438" s="793"/>
      <c r="G438" s="793"/>
      <c r="H438" s="793"/>
      <c r="I438" s="793"/>
      <c r="J438" s="793"/>
      <c r="K438" s="793"/>
      <c r="L438" s="793"/>
      <c r="M438" s="793"/>
      <c r="N438" s="793"/>
      <c r="O438" s="793"/>
      <c r="P438" s="793"/>
      <c r="Q438" s="943"/>
      <c r="R438" s="943"/>
      <c r="S438" s="943"/>
      <c r="T438" s="943"/>
      <c r="U438" s="943"/>
      <c r="V438" s="943"/>
      <c r="W438" s="943"/>
      <c r="X438" s="943"/>
      <c r="Y438" s="943"/>
      <c r="Z438" s="943"/>
      <c r="AA438" s="943"/>
      <c r="AB438" s="943"/>
    </row>
    <row r="439" spans="1:28" s="776" customFormat="1">
      <c r="A439" s="880"/>
      <c r="B439" s="881" t="s">
        <v>494</v>
      </c>
      <c r="C439" s="1011"/>
      <c r="D439" s="7"/>
      <c r="E439" s="7"/>
      <c r="F439" s="793"/>
      <c r="G439" s="793"/>
      <c r="H439" s="793"/>
      <c r="I439" s="793"/>
      <c r="J439" s="793"/>
      <c r="K439" s="793"/>
      <c r="L439" s="793"/>
      <c r="M439" s="793"/>
      <c r="N439" s="793">
        <v>-119</v>
      </c>
      <c r="O439" s="793"/>
      <c r="P439" s="793"/>
      <c r="Q439" s="943"/>
      <c r="R439" s="943"/>
      <c r="S439" s="943"/>
      <c r="T439" s="943"/>
      <c r="U439" s="943"/>
      <c r="V439" s="943"/>
      <c r="W439" s="943"/>
      <c r="X439" s="943"/>
      <c r="Y439" s="943"/>
      <c r="Z439" s="943"/>
      <c r="AA439" s="943"/>
      <c r="AB439" s="943"/>
    </row>
    <row r="440" spans="1:28" s="776" customFormat="1">
      <c r="A440" s="880"/>
      <c r="B440" s="881" t="s">
        <v>345</v>
      </c>
      <c r="C440" s="880"/>
      <c r="D440" s="7"/>
      <c r="E440" s="7"/>
      <c r="F440" s="793"/>
      <c r="G440" s="793"/>
      <c r="H440" s="793"/>
      <c r="I440" s="793">
        <v>-924</v>
      </c>
      <c r="J440" s="793">
        <v>562</v>
      </c>
      <c r="K440" s="793">
        <v>-1648</v>
      </c>
      <c r="L440" s="793">
        <v>-230</v>
      </c>
      <c r="M440" s="793">
        <v>-716</v>
      </c>
      <c r="N440" s="793"/>
      <c r="O440" s="793"/>
      <c r="P440" s="793"/>
      <c r="Q440" s="943"/>
      <c r="R440" s="943"/>
      <c r="S440" s="943"/>
      <c r="T440" s="943"/>
      <c r="U440" s="943"/>
      <c r="V440" s="943"/>
      <c r="W440" s="943"/>
      <c r="X440" s="943"/>
      <c r="Y440" s="943"/>
      <c r="Z440" s="943"/>
      <c r="AA440" s="943"/>
      <c r="AB440" s="943"/>
    </row>
    <row r="441" spans="1:28" s="776" customFormat="1">
      <c r="A441" s="880"/>
      <c r="B441" s="881" t="s">
        <v>271</v>
      </c>
      <c r="C441" s="880"/>
      <c r="D441" s="7"/>
      <c r="E441" s="7"/>
      <c r="F441" s="793"/>
      <c r="G441" s="793"/>
      <c r="H441" s="793"/>
      <c r="I441" s="793"/>
      <c r="J441" s="793"/>
      <c r="K441" s="793"/>
      <c r="L441" s="793"/>
      <c r="M441" s="793">
        <v>-22865</v>
      </c>
      <c r="N441" s="793"/>
      <c r="O441" s="793"/>
      <c r="P441" s="793"/>
      <c r="Q441" s="943"/>
      <c r="R441" s="943"/>
      <c r="S441" s="943"/>
      <c r="T441" s="943"/>
      <c r="U441" s="943"/>
      <c r="V441" s="943"/>
      <c r="W441" s="943"/>
      <c r="X441" s="943"/>
      <c r="Y441" s="943"/>
      <c r="Z441" s="943"/>
      <c r="AA441" s="943"/>
      <c r="AB441" s="943"/>
    </row>
    <row r="442" spans="1:28" s="776" customFormat="1">
      <c r="A442" s="880"/>
      <c r="B442" s="881" t="s">
        <v>435</v>
      </c>
      <c r="C442" s="880"/>
      <c r="D442" s="7"/>
      <c r="E442" s="7"/>
      <c r="F442" s="793">
        <v>5014</v>
      </c>
      <c r="G442" s="793">
        <v>23714</v>
      </c>
      <c r="H442" s="793">
        <v>25486</v>
      </c>
      <c r="I442" s="793">
        <v>26554</v>
      </c>
      <c r="J442" s="793"/>
      <c r="K442" s="793"/>
      <c r="L442" s="793"/>
      <c r="M442" s="793"/>
      <c r="N442" s="793"/>
      <c r="O442" s="793"/>
      <c r="P442" s="793"/>
      <c r="Q442" s="943"/>
      <c r="R442" s="943"/>
      <c r="S442" s="943"/>
      <c r="T442" s="943"/>
      <c r="U442" s="943"/>
      <c r="V442" s="943"/>
      <c r="W442" s="943"/>
      <c r="X442" s="943"/>
      <c r="Y442" s="943"/>
      <c r="Z442" s="943"/>
      <c r="AA442" s="943"/>
      <c r="AB442" s="943"/>
    </row>
    <row r="443" spans="1:28" s="776" customFormat="1">
      <c r="A443" s="880"/>
      <c r="B443" s="881" t="s">
        <v>495</v>
      </c>
      <c r="C443" s="880"/>
      <c r="D443" s="7"/>
      <c r="E443" s="7"/>
      <c r="F443" s="793"/>
      <c r="G443" s="793"/>
      <c r="H443" s="793"/>
      <c r="I443" s="793"/>
      <c r="J443" s="793">
        <v>24702</v>
      </c>
      <c r="K443" s="793">
        <v>8037</v>
      </c>
      <c r="L443" s="793">
        <v>34138</v>
      </c>
      <c r="M443" s="793">
        <v>-3499</v>
      </c>
      <c r="N443" s="793"/>
      <c r="O443" s="793"/>
      <c r="P443" s="793"/>
      <c r="Q443" s="943"/>
      <c r="R443" s="943"/>
      <c r="S443" s="943"/>
      <c r="T443" s="943"/>
      <c r="U443" s="943"/>
      <c r="V443" s="943"/>
      <c r="W443" s="943"/>
      <c r="X443" s="943"/>
      <c r="Y443" s="943"/>
      <c r="Z443" s="943"/>
      <c r="AA443" s="943"/>
      <c r="AB443" s="943"/>
    </row>
    <row r="444" spans="1:28" s="776" customFormat="1">
      <c r="A444" s="880"/>
      <c r="B444" s="881" t="s">
        <v>452</v>
      </c>
      <c r="C444" s="7"/>
      <c r="D444" s="7"/>
      <c r="E444" s="7"/>
      <c r="F444" s="793"/>
      <c r="G444" s="793"/>
      <c r="H444" s="793"/>
      <c r="I444" s="793"/>
      <c r="J444" s="793"/>
      <c r="K444" s="793"/>
      <c r="L444" s="793"/>
      <c r="M444" s="899">
        <v>360908</v>
      </c>
      <c r="N444" s="793"/>
      <c r="O444" s="793"/>
      <c r="P444" s="793"/>
      <c r="Q444" s="943"/>
      <c r="R444" s="943"/>
      <c r="S444" s="943"/>
      <c r="T444" s="943"/>
      <c r="U444" s="943"/>
      <c r="V444" s="943"/>
      <c r="W444" s="943"/>
      <c r="X444" s="943"/>
      <c r="Y444" s="943"/>
      <c r="Z444" s="943"/>
      <c r="AA444" s="943"/>
      <c r="AB444" s="943"/>
    </row>
    <row r="445" spans="1:28" s="776" customFormat="1" ht="13.5" thickBot="1">
      <c r="A445" s="880"/>
      <c r="B445" s="881" t="s">
        <v>496</v>
      </c>
      <c r="C445" s="1011"/>
      <c r="D445" s="7"/>
      <c r="E445" s="7"/>
      <c r="F445" s="925">
        <f>SUM(F431:F444)</f>
        <v>5014</v>
      </c>
      <c r="G445" s="925">
        <f>SUM(G431:G444)</f>
        <v>23714</v>
      </c>
      <c r="H445" s="925">
        <f>SUM(H431:H444)</f>
        <v>37673</v>
      </c>
      <c r="I445" s="925">
        <f>SUM(I431:I444)</f>
        <v>25630</v>
      </c>
      <c r="J445" s="925">
        <f>SUM(J431:J444)</f>
        <v>46840</v>
      </c>
      <c r="K445" s="925">
        <f t="shared" ref="K445:P445" si="243">SUM(K432:K444)</f>
        <v>6389</v>
      </c>
      <c r="L445" s="925">
        <f t="shared" si="243"/>
        <v>33908</v>
      </c>
      <c r="M445" s="925">
        <f t="shared" si="243"/>
        <v>333828</v>
      </c>
      <c r="N445" s="1196">
        <f t="shared" si="243"/>
        <v>360908</v>
      </c>
      <c r="O445" s="925">
        <f t="shared" si="243"/>
        <v>-3379</v>
      </c>
      <c r="P445" s="925">
        <f t="shared" si="243"/>
        <v>-27574</v>
      </c>
      <c r="Q445" s="943"/>
      <c r="R445" s="943"/>
      <c r="S445" s="943"/>
      <c r="T445" s="943"/>
      <c r="U445" s="943"/>
      <c r="V445" s="943"/>
      <c r="W445" s="943"/>
      <c r="X445" s="943"/>
      <c r="Y445" s="943"/>
      <c r="Z445" s="943"/>
      <c r="AA445" s="943"/>
      <c r="AB445" s="943"/>
    </row>
    <row r="446" spans="1:28" s="776" customFormat="1" ht="13.5" thickTop="1">
      <c r="A446" s="880"/>
      <c r="B446" s="881"/>
      <c r="C446" s="1011"/>
      <c r="D446" s="7"/>
      <c r="E446" s="7"/>
      <c r="F446" s="793"/>
      <c r="G446" s="793"/>
      <c r="H446" s="793"/>
      <c r="I446" s="793"/>
      <c r="J446" s="793"/>
      <c r="K446" s="793"/>
      <c r="L446" s="793"/>
      <c r="M446" s="793"/>
      <c r="N446" s="793"/>
      <c r="O446" s="793"/>
      <c r="P446" s="793"/>
      <c r="Q446" s="793"/>
      <c r="R446" s="793"/>
      <c r="S446" s="793"/>
      <c r="T446" s="793"/>
      <c r="U446" s="793"/>
      <c r="V446" s="793"/>
      <c r="W446" s="793"/>
      <c r="X446" s="793"/>
      <c r="Y446" s="793"/>
      <c r="Z446" s="793"/>
      <c r="AA446" s="793"/>
      <c r="AB446" s="882"/>
    </row>
    <row r="447" spans="1:28" s="776" customFormat="1">
      <c r="A447" s="7"/>
      <c r="B447" s="881" t="s">
        <v>497</v>
      </c>
      <c r="C447" s="7"/>
      <c r="D447" s="81"/>
      <c r="E447" s="81"/>
      <c r="F447" s="793"/>
      <c r="G447" s="793"/>
      <c r="H447" s="793"/>
      <c r="I447" s="793"/>
      <c r="J447" s="793"/>
      <c r="K447" s="793"/>
      <c r="L447" s="793"/>
      <c r="M447" s="793"/>
      <c r="N447" s="793"/>
      <c r="O447" s="242"/>
      <c r="P447" s="793"/>
      <c r="Q447" s="793"/>
      <c r="R447" s="793">
        <v>-7758</v>
      </c>
      <c r="S447" s="793">
        <f>-8200-200</f>
        <v>-8400</v>
      </c>
      <c r="T447" s="793">
        <f>-12500-200</f>
        <v>-12700</v>
      </c>
      <c r="U447" s="793">
        <v>-21000</v>
      </c>
      <c r="V447" s="793">
        <v>-36000</v>
      </c>
      <c r="W447" s="793">
        <v>-40000</v>
      </c>
      <c r="X447" s="793">
        <v>-43000</v>
      </c>
      <c r="Y447" s="793">
        <v>-46000</v>
      </c>
      <c r="Z447" s="793">
        <v>-38000</v>
      </c>
      <c r="AA447" s="793">
        <v>-32000</v>
      </c>
      <c r="AB447" s="882">
        <v>-33000</v>
      </c>
    </row>
    <row r="448" spans="1:28" s="776" customFormat="1">
      <c r="A448" s="7"/>
      <c r="B448" s="881" t="s">
        <v>498</v>
      </c>
      <c r="C448" s="7"/>
      <c r="D448" s="81"/>
      <c r="E448" s="81"/>
      <c r="F448" s="892"/>
      <c r="G448" s="892"/>
      <c r="H448" s="892"/>
      <c r="I448" s="892"/>
      <c r="J448" s="892"/>
      <c r="K448" s="892"/>
      <c r="L448" s="892"/>
      <c r="M448" s="892"/>
      <c r="N448" s="892">
        <v>-37</v>
      </c>
      <c r="O448" s="892">
        <v>-1122</v>
      </c>
      <c r="P448" s="892">
        <v>-449</v>
      </c>
      <c r="Q448" s="892">
        <v>-3339</v>
      </c>
      <c r="R448" s="892">
        <v>-189</v>
      </c>
      <c r="S448" s="892"/>
      <c r="T448" s="892"/>
      <c r="U448" s="892"/>
      <c r="V448" s="892"/>
      <c r="W448" s="892"/>
      <c r="X448" s="892"/>
      <c r="Y448" s="892"/>
      <c r="Z448" s="892">
        <v>-2000</v>
      </c>
      <c r="AA448" s="892">
        <v>-2000</v>
      </c>
      <c r="AB448" s="991">
        <v>-2000</v>
      </c>
    </row>
    <row r="449" spans="1:28" s="776" customFormat="1">
      <c r="A449" s="7"/>
      <c r="B449" s="905" t="s">
        <v>433</v>
      </c>
      <c r="C449" s="7"/>
      <c r="D449" s="81"/>
      <c r="E449" s="81"/>
      <c r="F449" s="932">
        <f t="shared" ref="F449:N449" si="244">SUM(F447:F448)</f>
        <v>0</v>
      </c>
      <c r="G449" s="932">
        <f t="shared" si="244"/>
        <v>0</v>
      </c>
      <c r="H449" s="932">
        <f t="shared" si="244"/>
        <v>0</v>
      </c>
      <c r="I449" s="932">
        <f t="shared" si="244"/>
        <v>0</v>
      </c>
      <c r="J449" s="932">
        <f t="shared" si="244"/>
        <v>0</v>
      </c>
      <c r="K449" s="932">
        <f t="shared" si="244"/>
        <v>0</v>
      </c>
      <c r="L449" s="932">
        <f t="shared" si="244"/>
        <v>0</v>
      </c>
      <c r="M449" s="793">
        <f t="shared" si="244"/>
        <v>0</v>
      </c>
      <c r="N449" s="793">
        <f t="shared" si="244"/>
        <v>-37</v>
      </c>
      <c r="O449" s="793">
        <f t="shared" ref="O449:AB449" si="245">SUM(O447:O448)</f>
        <v>-1122</v>
      </c>
      <c r="P449" s="793">
        <f t="shared" si="245"/>
        <v>-449</v>
      </c>
      <c r="Q449" s="793">
        <f t="shared" si="245"/>
        <v>-3339</v>
      </c>
      <c r="R449" s="793">
        <f t="shared" si="245"/>
        <v>-7947</v>
      </c>
      <c r="S449" s="793">
        <f t="shared" si="245"/>
        <v>-8400</v>
      </c>
      <c r="T449" s="793">
        <f t="shared" si="245"/>
        <v>-12700</v>
      </c>
      <c r="U449" s="793">
        <f t="shared" si="245"/>
        <v>-21000</v>
      </c>
      <c r="V449" s="793">
        <f t="shared" si="245"/>
        <v>-36000</v>
      </c>
      <c r="W449" s="793">
        <f t="shared" si="245"/>
        <v>-40000</v>
      </c>
      <c r="X449" s="793">
        <f t="shared" si="245"/>
        <v>-43000</v>
      </c>
      <c r="Y449" s="793">
        <f t="shared" si="245"/>
        <v>-46000</v>
      </c>
      <c r="Z449" s="793">
        <f t="shared" si="245"/>
        <v>-40000</v>
      </c>
      <c r="AA449" s="793">
        <f t="shared" si="245"/>
        <v>-34000</v>
      </c>
      <c r="AB449" s="793">
        <f t="shared" si="245"/>
        <v>-35000</v>
      </c>
    </row>
    <row r="450" spans="1:28" s="776" customFormat="1">
      <c r="A450" s="7"/>
      <c r="B450" s="881" t="s">
        <v>499</v>
      </c>
      <c r="C450" s="7"/>
      <c r="D450" s="81"/>
      <c r="E450" s="81"/>
      <c r="F450" s="932"/>
      <c r="G450" s="932"/>
      <c r="H450" s="932"/>
      <c r="I450" s="932"/>
      <c r="J450" s="932"/>
      <c r="K450" s="932"/>
      <c r="L450" s="932"/>
      <c r="M450" s="793"/>
      <c r="N450" s="793">
        <v>37</v>
      </c>
      <c r="O450" s="242">
        <v>1122</v>
      </c>
      <c r="P450" s="793">
        <v>449</v>
      </c>
      <c r="Q450" s="793">
        <v>3339</v>
      </c>
      <c r="R450" s="793"/>
      <c r="S450" s="793"/>
      <c r="T450" s="793"/>
      <c r="U450" s="793"/>
      <c r="V450" s="793"/>
      <c r="W450" s="793"/>
      <c r="X450" s="793"/>
      <c r="Y450" s="793"/>
      <c r="Z450" s="793"/>
      <c r="AA450" s="793"/>
      <c r="AB450" s="882"/>
    </row>
    <row r="451" spans="1:28" s="776" customFormat="1" ht="13.5" thickBot="1">
      <c r="A451" s="7"/>
      <c r="B451" s="905" t="s">
        <v>11</v>
      </c>
      <c r="C451" s="7"/>
      <c r="D451" s="81"/>
      <c r="E451" s="81"/>
      <c r="F451" s="925">
        <f t="shared" ref="F451:N451" si="246">F419+F449+F450</f>
        <v>5014</v>
      </c>
      <c r="G451" s="925">
        <f t="shared" si="246"/>
        <v>28728</v>
      </c>
      <c r="H451" s="925">
        <f t="shared" si="246"/>
        <v>66401</v>
      </c>
      <c r="I451" s="925">
        <f t="shared" si="246"/>
        <v>92031</v>
      </c>
      <c r="J451" s="925">
        <f t="shared" si="246"/>
        <v>138871</v>
      </c>
      <c r="K451" s="925">
        <f t="shared" si="246"/>
        <v>145260</v>
      </c>
      <c r="L451" s="925">
        <f t="shared" si="246"/>
        <v>179168</v>
      </c>
      <c r="M451" s="925">
        <f t="shared" si="246"/>
        <v>970827</v>
      </c>
      <c r="N451" s="925">
        <f t="shared" si="246"/>
        <v>1331735</v>
      </c>
      <c r="O451" s="925">
        <f t="shared" ref="O451:AB451" si="247">O429+O449+O450</f>
        <v>1328356</v>
      </c>
      <c r="P451" s="925">
        <f t="shared" si="247"/>
        <v>1300782</v>
      </c>
      <c r="Q451" s="925">
        <f t="shared" si="247"/>
        <v>1556108</v>
      </c>
      <c r="R451" s="925">
        <f t="shared" si="247"/>
        <v>1404383</v>
      </c>
      <c r="S451" s="925">
        <f t="shared" si="247"/>
        <v>1435800</v>
      </c>
      <c r="T451" s="925">
        <f t="shared" si="247"/>
        <v>1351500</v>
      </c>
      <c r="U451" s="925">
        <f t="shared" si="247"/>
        <v>1329000</v>
      </c>
      <c r="V451" s="925">
        <f t="shared" si="247"/>
        <v>1364000</v>
      </c>
      <c r="W451" s="925">
        <f t="shared" si="247"/>
        <v>1577000</v>
      </c>
      <c r="X451" s="925">
        <f t="shared" si="247"/>
        <v>1672000</v>
      </c>
      <c r="Y451" s="925">
        <f t="shared" si="247"/>
        <v>1637000</v>
      </c>
      <c r="Z451" s="925">
        <f t="shared" si="247"/>
        <v>1928000</v>
      </c>
      <c r="AA451" s="925">
        <f t="shared" si="247"/>
        <v>1816000</v>
      </c>
      <c r="AB451" s="925">
        <f t="shared" si="247"/>
        <v>1905000</v>
      </c>
    </row>
    <row r="452" spans="1:28" s="776" customFormat="1" ht="13.5" thickTop="1">
      <c r="A452" s="881"/>
      <c r="B452" s="1011"/>
      <c r="C452" s="7"/>
      <c r="D452" s="81"/>
      <c r="E452" s="81"/>
      <c r="F452" s="793">
        <f t="shared" ref="F452:AA452" si="248">F419-F451</f>
        <v>0</v>
      </c>
      <c r="G452" s="793">
        <f t="shared" si="248"/>
        <v>0</v>
      </c>
      <c r="H452" s="793">
        <f t="shared" si="248"/>
        <v>0</v>
      </c>
      <c r="I452" s="793">
        <f t="shared" si="248"/>
        <v>0</v>
      </c>
      <c r="J452" s="793">
        <f t="shared" si="248"/>
        <v>0</v>
      </c>
      <c r="K452" s="793">
        <f t="shared" si="248"/>
        <v>0</v>
      </c>
      <c r="L452" s="793">
        <f t="shared" si="248"/>
        <v>0</v>
      </c>
      <c r="M452" s="793">
        <f t="shared" si="248"/>
        <v>0</v>
      </c>
      <c r="N452" s="793">
        <f t="shared" si="248"/>
        <v>0</v>
      </c>
      <c r="O452" s="793">
        <f t="shared" si="248"/>
        <v>0</v>
      </c>
      <c r="P452" s="793">
        <f t="shared" si="248"/>
        <v>0</v>
      </c>
      <c r="Q452" s="793">
        <f t="shared" si="248"/>
        <v>0</v>
      </c>
      <c r="R452" s="793">
        <f t="shared" si="248"/>
        <v>0</v>
      </c>
      <c r="S452" s="793">
        <f t="shared" si="248"/>
        <v>0</v>
      </c>
      <c r="T452" s="793">
        <f t="shared" si="248"/>
        <v>0</v>
      </c>
      <c r="U452" s="793">
        <f t="shared" si="248"/>
        <v>0</v>
      </c>
      <c r="V452" s="793">
        <f t="shared" si="248"/>
        <v>0</v>
      </c>
      <c r="W452" s="793">
        <f t="shared" si="248"/>
        <v>0</v>
      </c>
      <c r="X452" s="793">
        <f t="shared" si="248"/>
        <v>0</v>
      </c>
      <c r="Y452" s="793">
        <f t="shared" si="248"/>
        <v>0</v>
      </c>
      <c r="Z452" s="793">
        <f t="shared" si="248"/>
        <v>0</v>
      </c>
      <c r="AA452" s="793">
        <f t="shared" si="248"/>
        <v>0</v>
      </c>
      <c r="AB452" s="882"/>
    </row>
    <row r="453" spans="1:28" s="776" customFormat="1">
      <c r="A453" s="7"/>
      <c r="B453" s="644"/>
      <c r="C453" s="644"/>
      <c r="D453" s="881"/>
      <c r="E453" s="881"/>
      <c r="F453" s="241">
        <v>5014</v>
      </c>
      <c r="G453" s="241">
        <f t="shared" ref="G453:AB453" si="249">F419+G445</f>
        <v>28728</v>
      </c>
      <c r="H453" s="241">
        <f t="shared" si="249"/>
        <v>66401</v>
      </c>
      <c r="I453" s="241">
        <f t="shared" si="249"/>
        <v>92031</v>
      </c>
      <c r="J453" s="241">
        <f t="shared" si="249"/>
        <v>138871</v>
      </c>
      <c r="K453" s="241">
        <f t="shared" si="249"/>
        <v>145260</v>
      </c>
      <c r="L453" s="241">
        <f t="shared" si="249"/>
        <v>179168</v>
      </c>
      <c r="M453" s="937">
        <f t="shared" si="249"/>
        <v>512996</v>
      </c>
      <c r="N453" s="241">
        <f t="shared" si="249"/>
        <v>1331735</v>
      </c>
      <c r="O453" s="241">
        <f t="shared" si="249"/>
        <v>1328356</v>
      </c>
      <c r="P453" s="241">
        <f t="shared" si="249"/>
        <v>1300782</v>
      </c>
      <c r="Q453" s="241">
        <f t="shared" si="249"/>
        <v>1300782</v>
      </c>
      <c r="R453" s="241">
        <f t="shared" si="249"/>
        <v>1556108</v>
      </c>
      <c r="S453" s="241">
        <f t="shared" si="249"/>
        <v>1404383</v>
      </c>
      <c r="T453" s="241">
        <f t="shared" si="249"/>
        <v>1435800</v>
      </c>
      <c r="U453" s="241">
        <f t="shared" si="249"/>
        <v>1351500</v>
      </c>
      <c r="V453" s="241">
        <f t="shared" si="249"/>
        <v>1329000</v>
      </c>
      <c r="W453" s="241">
        <f t="shared" si="249"/>
        <v>1364000</v>
      </c>
      <c r="X453" s="241">
        <f t="shared" si="249"/>
        <v>1577000</v>
      </c>
      <c r="Y453" s="241">
        <f t="shared" si="249"/>
        <v>1672000</v>
      </c>
      <c r="Z453" s="241">
        <f t="shared" si="249"/>
        <v>1637000</v>
      </c>
      <c r="AA453" s="241">
        <f t="shared" si="249"/>
        <v>1928000</v>
      </c>
      <c r="AB453" s="241">
        <f t="shared" si="249"/>
        <v>1816000</v>
      </c>
    </row>
    <row r="454" spans="1:28" s="776" customFormat="1">
      <c r="A454" s="880"/>
      <c r="B454" s="905" t="s">
        <v>500</v>
      </c>
      <c r="C454" s="879"/>
      <c r="D454" s="644"/>
      <c r="E454" s="644"/>
      <c r="F454" s="793"/>
      <c r="G454" s="793"/>
      <c r="H454" s="793"/>
      <c r="I454" s="793"/>
      <c r="J454" s="793"/>
      <c r="K454" s="793"/>
      <c r="L454" s="793"/>
      <c r="M454" s="793"/>
      <c r="N454" s="977">
        <f>N445</f>
        <v>360908</v>
      </c>
      <c r="O454" s="793"/>
      <c r="P454" s="793"/>
      <c r="Q454" s="793"/>
      <c r="R454" s="793"/>
      <c r="S454" s="793"/>
      <c r="T454" s="793"/>
      <c r="U454" s="793"/>
      <c r="V454" s="793"/>
      <c r="W454" s="793"/>
      <c r="X454" s="793"/>
      <c r="Y454" s="793"/>
      <c r="Z454" s="793"/>
      <c r="AA454" s="793"/>
      <c r="AB454" s="882"/>
    </row>
    <row r="455" spans="1:28" s="776" customFormat="1">
      <c r="A455" s="880"/>
      <c r="B455" s="881" t="s">
        <v>501</v>
      </c>
      <c r="C455" s="879"/>
      <c r="D455" s="644"/>
      <c r="E455" s="644"/>
      <c r="F455" s="793"/>
      <c r="G455" s="793"/>
      <c r="H455" s="793"/>
      <c r="I455" s="793"/>
      <c r="J455" s="793"/>
      <c r="K455" s="793"/>
      <c r="L455" s="793"/>
      <c r="M455" s="793"/>
      <c r="N455" s="893">
        <f>SUM(N453:N454)</f>
        <v>1692643</v>
      </c>
      <c r="O455" s="893">
        <f>1331735+O445</f>
        <v>1328356</v>
      </c>
      <c r="P455" s="893">
        <f>1331735+P429</f>
        <v>2632517</v>
      </c>
      <c r="Q455" s="893"/>
      <c r="R455" s="893"/>
      <c r="S455" s="893"/>
      <c r="T455" s="893"/>
      <c r="U455" s="893">
        <v>-5000</v>
      </c>
      <c r="V455" s="893">
        <v>92000</v>
      </c>
      <c r="W455" s="893">
        <v>248000</v>
      </c>
      <c r="X455" s="893">
        <v>120000</v>
      </c>
      <c r="Y455" s="893">
        <v>0</v>
      </c>
      <c r="Z455" s="893">
        <v>320000</v>
      </c>
      <c r="AA455" s="893">
        <v>-7000</v>
      </c>
      <c r="AB455" s="1240"/>
    </row>
    <row r="456" spans="1:28" s="776" customFormat="1">
      <c r="A456" s="880"/>
      <c r="B456" s="881" t="s">
        <v>502</v>
      </c>
      <c r="C456" s="879"/>
      <c r="D456" s="644"/>
      <c r="E456" s="644"/>
      <c r="F456" s="793"/>
      <c r="G456" s="793"/>
      <c r="H456" s="793"/>
      <c r="I456" s="793"/>
      <c r="J456" s="793"/>
      <c r="K456" s="793"/>
      <c r="L456" s="793"/>
      <c r="M456" s="793"/>
      <c r="N456" s="793"/>
      <c r="O456" s="793"/>
      <c r="P456" s="793"/>
      <c r="Q456" s="793"/>
      <c r="R456" s="793"/>
      <c r="S456" s="793"/>
      <c r="T456" s="793"/>
      <c r="U456" s="793"/>
      <c r="V456" s="893">
        <v>-8000</v>
      </c>
      <c r="W456" s="893">
        <v>-13000</v>
      </c>
      <c r="X456" s="893">
        <v>-25000</v>
      </c>
      <c r="Y456" s="893">
        <v>-31000</v>
      </c>
      <c r="Z456" s="893">
        <v>-38000</v>
      </c>
      <c r="AA456" s="893">
        <v>-69000</v>
      </c>
      <c r="AB456" s="1240"/>
    </row>
    <row r="457" spans="1:28" s="776" customFormat="1">
      <c r="A457" s="880"/>
      <c r="B457" s="881" t="s">
        <v>441</v>
      </c>
      <c r="C457" s="879"/>
      <c r="D457" s="644"/>
      <c r="E457" s="644"/>
      <c r="F457" s="793"/>
      <c r="G457" s="793"/>
      <c r="H457" s="793"/>
      <c r="I457" s="793"/>
      <c r="J457" s="793"/>
      <c r="K457" s="793"/>
      <c r="L457" s="793"/>
      <c r="M457" s="793"/>
      <c r="N457" s="793"/>
      <c r="O457" s="793"/>
      <c r="P457" s="793"/>
      <c r="Q457" s="793"/>
      <c r="R457" s="793"/>
      <c r="S457" s="793"/>
      <c r="T457" s="793"/>
      <c r="U457" s="793"/>
      <c r="V457" s="926">
        <v>-34000</v>
      </c>
      <c r="W457" s="893"/>
      <c r="X457" s="893"/>
      <c r="Y457" s="893"/>
      <c r="Z457" s="893"/>
      <c r="AA457" s="893"/>
      <c r="AB457" s="1240"/>
    </row>
    <row r="458" spans="1:28" s="776" customFormat="1" ht="13.5" thickBot="1">
      <c r="A458" s="81"/>
      <c r="B458" s="81"/>
      <c r="C458" s="81"/>
      <c r="D458" s="81"/>
      <c r="E458" s="81"/>
      <c r="F458" s="793"/>
      <c r="G458" s="793"/>
      <c r="H458" s="793"/>
      <c r="I458" s="793"/>
      <c r="J458" s="793"/>
      <c r="K458" s="793"/>
      <c r="L458" s="793"/>
      <c r="M458" s="793"/>
      <c r="N458" s="983">
        <f>N419+N445</f>
        <v>1692643</v>
      </c>
      <c r="O458" s="983">
        <f>O419+O445</f>
        <v>1324977</v>
      </c>
      <c r="P458" s="983">
        <f>P419+P429</f>
        <v>2601564</v>
      </c>
      <c r="Q458" s="983">
        <f>Q419+Q429</f>
        <v>3112216</v>
      </c>
      <c r="R458" s="793"/>
      <c r="S458" s="793"/>
      <c r="T458" s="793"/>
      <c r="U458" s="793"/>
      <c r="V458" s="793"/>
      <c r="W458" s="793"/>
      <c r="X458" s="793"/>
      <c r="Y458" s="793"/>
      <c r="Z458" s="793"/>
      <c r="AA458" s="793"/>
      <c r="AB458" s="882"/>
    </row>
    <row r="459" spans="1:28" s="776" customFormat="1" ht="18.75" thickTop="1">
      <c r="A459" s="799" t="s">
        <v>0</v>
      </c>
      <c r="B459" s="799"/>
      <c r="C459" s="799"/>
      <c r="D459" s="1267"/>
      <c r="E459" s="1439" t="s">
        <v>1407</v>
      </c>
      <c r="F459" s="1440"/>
      <c r="G459" s="1440"/>
      <c r="H459" s="1440"/>
      <c r="I459" s="1442"/>
      <c r="J459" s="1442"/>
      <c r="K459" s="1442"/>
      <c r="L459" s="1461"/>
      <c r="M459" s="1461"/>
      <c r="N459" s="1461"/>
      <c r="O459" s="980"/>
      <c r="P459" s="966"/>
      <c r="Q459" s="967"/>
      <c r="R459" s="868"/>
      <c r="S459" s="967"/>
      <c r="T459" s="967"/>
      <c r="U459" s="967"/>
      <c r="V459" s="967"/>
      <c r="W459" s="1451" t="s">
        <v>343</v>
      </c>
      <c r="X459" s="1452"/>
      <c r="Y459" s="1452"/>
      <c r="Z459" s="1452"/>
      <c r="AA459" s="1453">
        <f>$AA$46+0.21</f>
        <v>0.21</v>
      </c>
      <c r="AB459" s="1381">
        <v>3.8</v>
      </c>
    </row>
    <row r="460" spans="1:28" s="776" customFormat="1">
      <c r="E460" s="1246"/>
      <c r="F460" s="69">
        <v>0</v>
      </c>
      <c r="G460" s="69">
        <f t="shared" ref="G460:G461" si="250">F460+1</f>
        <v>1</v>
      </c>
      <c r="H460" s="69">
        <f t="shared" ref="H460:H461" si="251">G460+1</f>
        <v>2</v>
      </c>
      <c r="I460" s="69">
        <f t="shared" ref="I460:I461" si="252">H460+1</f>
        <v>3</v>
      </c>
      <c r="J460" s="69">
        <f t="shared" ref="J460:J461" si="253">I460+1</f>
        <v>4</v>
      </c>
      <c r="K460" s="69">
        <f>J460+1</f>
        <v>5</v>
      </c>
      <c r="L460" s="69">
        <f t="shared" ref="L460:L461" si="254">K460+1</f>
        <v>6</v>
      </c>
      <c r="M460" s="69">
        <f t="shared" ref="M460:M461" si="255">L460+1</f>
        <v>7</v>
      </c>
      <c r="N460" s="649">
        <f>M460+1</f>
        <v>8</v>
      </c>
      <c r="O460" s="73">
        <f t="shared" ref="O460" si="256">N460+1</f>
        <v>9</v>
      </c>
      <c r="P460" s="73">
        <f t="shared" ref="P460:P461" si="257">O460+1</f>
        <v>10</v>
      </c>
      <c r="Q460" s="73">
        <f t="shared" ref="Q460:Q461" si="258">P460+1</f>
        <v>11</v>
      </c>
      <c r="R460" s="73">
        <f t="shared" ref="R460:R461" si="259">Q460+1</f>
        <v>12</v>
      </c>
      <c r="S460" s="73">
        <f t="shared" ref="S460:S461" si="260">R460+1</f>
        <v>13</v>
      </c>
      <c r="T460" s="73">
        <f t="shared" ref="T460:T461" si="261">S460+1</f>
        <v>14</v>
      </c>
      <c r="U460" s="73">
        <f t="shared" ref="U460:U461" si="262">T460+1</f>
        <v>15</v>
      </c>
      <c r="V460" s="73">
        <f t="shared" ref="V460:V461" si="263">U460+1</f>
        <v>16</v>
      </c>
      <c r="W460" s="73">
        <f t="shared" ref="W460:W461" si="264">V460+1</f>
        <v>17</v>
      </c>
      <c r="X460" s="73">
        <f t="shared" ref="X460:X461" si="265">W460+1</f>
        <v>18</v>
      </c>
      <c r="Y460" s="73">
        <f t="shared" ref="Y460:Y461" si="266">X460+1</f>
        <v>19</v>
      </c>
      <c r="Z460" s="73">
        <f t="shared" ref="Z460:Z461" si="267">Y460+1</f>
        <v>20</v>
      </c>
      <c r="AA460" s="73">
        <f t="shared" ref="AA460:AB461" si="268">Z460+1</f>
        <v>21</v>
      </c>
      <c r="AB460" s="73">
        <f t="shared" si="268"/>
        <v>22</v>
      </c>
    </row>
    <row r="461" spans="1:28" s="776" customFormat="1" ht="15.75">
      <c r="A461" s="169"/>
      <c r="B461" s="646"/>
      <c r="C461" s="646"/>
      <c r="D461" s="866"/>
      <c r="E461" s="32" t="s">
        <v>3</v>
      </c>
      <c r="F461" s="1202">
        <v>1999</v>
      </c>
      <c r="G461" s="1202">
        <f t="shared" si="250"/>
        <v>2000</v>
      </c>
      <c r="H461" s="1202">
        <f t="shared" si="251"/>
        <v>2001</v>
      </c>
      <c r="I461" s="1202">
        <f t="shared" si="252"/>
        <v>2002</v>
      </c>
      <c r="J461" s="1202">
        <f t="shared" si="253"/>
        <v>2003</v>
      </c>
      <c r="K461" s="1202">
        <f>J461+1</f>
        <v>2004</v>
      </c>
      <c r="L461" s="1202">
        <f t="shared" si="254"/>
        <v>2005</v>
      </c>
      <c r="M461" s="1202">
        <f t="shared" si="255"/>
        <v>2006</v>
      </c>
      <c r="N461" s="1202">
        <v>2007</v>
      </c>
      <c r="O461" s="1202">
        <f>N461+1</f>
        <v>2008</v>
      </c>
      <c r="P461" s="953">
        <f t="shared" si="257"/>
        <v>2009</v>
      </c>
      <c r="Q461" s="953">
        <f t="shared" si="258"/>
        <v>2010</v>
      </c>
      <c r="R461" s="953">
        <f t="shared" si="259"/>
        <v>2011</v>
      </c>
      <c r="S461" s="953">
        <f t="shared" si="260"/>
        <v>2012</v>
      </c>
      <c r="T461" s="953">
        <f t="shared" si="261"/>
        <v>2013</v>
      </c>
      <c r="U461" s="953">
        <f t="shared" si="262"/>
        <v>2014</v>
      </c>
      <c r="V461" s="953">
        <f t="shared" si="263"/>
        <v>2015</v>
      </c>
      <c r="W461" s="953">
        <f t="shared" si="264"/>
        <v>2016</v>
      </c>
      <c r="X461" s="953">
        <f t="shared" si="265"/>
        <v>2017</v>
      </c>
      <c r="Y461" s="953">
        <f t="shared" si="266"/>
        <v>2018</v>
      </c>
      <c r="Z461" s="953">
        <f t="shared" si="267"/>
        <v>2019</v>
      </c>
      <c r="AA461" s="953">
        <f t="shared" si="268"/>
        <v>2020</v>
      </c>
      <c r="AB461" s="953">
        <f t="shared" si="268"/>
        <v>2021</v>
      </c>
    </row>
    <row r="462" spans="1:28" s="776" customFormat="1">
      <c r="A462" s="1239" t="s">
        <v>343</v>
      </c>
      <c r="B462" s="1239"/>
      <c r="C462" s="1239"/>
      <c r="D462" s="1239"/>
      <c r="E462" s="242"/>
      <c r="F462" s="900"/>
      <c r="G462" s="900"/>
      <c r="H462" s="900"/>
      <c r="I462" s="900"/>
      <c r="J462" s="900"/>
      <c r="K462" s="900"/>
      <c r="L462" s="900"/>
      <c r="M462" s="1005">
        <v>38899</v>
      </c>
      <c r="N462" s="900"/>
      <c r="O462" s="900"/>
      <c r="P462" s="900"/>
      <c r="Q462" s="900"/>
      <c r="R462" s="900"/>
      <c r="S462" s="900"/>
      <c r="T462" s="900"/>
      <c r="U462" s="900"/>
      <c r="V462" s="900"/>
      <c r="W462" s="900"/>
      <c r="X462" s="900"/>
      <c r="Y462" s="242"/>
      <c r="Z462" s="900"/>
      <c r="AA462" s="900"/>
      <c r="AB462" s="900"/>
    </row>
    <row r="463" spans="1:28" s="776" customFormat="1">
      <c r="A463" s="1463" t="s">
        <v>343</v>
      </c>
      <c r="B463" s="1463"/>
      <c r="C463" s="1463"/>
      <c r="D463" s="1463"/>
      <c r="E463" s="1463"/>
      <c r="F463" s="1463"/>
      <c r="G463" s="900"/>
      <c r="H463" s="900"/>
      <c r="I463" s="900"/>
      <c r="J463" s="900"/>
      <c r="K463" s="900"/>
      <c r="L463" s="900"/>
      <c r="M463" s="900">
        <v>2476890</v>
      </c>
      <c r="N463" s="900">
        <v>3938895</v>
      </c>
      <c r="O463" s="900"/>
      <c r="P463" s="900"/>
      <c r="Q463" s="900"/>
      <c r="R463" s="900"/>
      <c r="S463" s="900"/>
      <c r="T463" s="900"/>
      <c r="U463" s="900"/>
      <c r="V463" s="900"/>
      <c r="W463" s="900"/>
      <c r="X463" s="900"/>
      <c r="Y463" s="900"/>
      <c r="Z463" s="900"/>
      <c r="AA463" s="900"/>
      <c r="AB463" s="900"/>
    </row>
    <row r="464" spans="1:28" s="776" customFormat="1">
      <c r="A464" s="242" t="s">
        <v>1313</v>
      </c>
      <c r="B464" s="242"/>
      <c r="C464" s="242"/>
      <c r="D464" s="791"/>
      <c r="E464" s="242"/>
      <c r="F464" s="902"/>
      <c r="G464" s="902"/>
      <c r="H464" s="902"/>
      <c r="I464" s="902"/>
      <c r="J464" s="902"/>
      <c r="K464" s="902"/>
      <c r="L464" s="902"/>
      <c r="M464" s="1197">
        <v>-824177</v>
      </c>
      <c r="N464" s="1197">
        <v>-1192386</v>
      </c>
      <c r="O464" s="902"/>
      <c r="P464" s="902"/>
      <c r="Q464" s="902"/>
      <c r="R464" s="902"/>
      <c r="S464" s="902"/>
      <c r="T464" s="902"/>
      <c r="U464" s="902"/>
      <c r="V464" s="902"/>
      <c r="W464" s="902"/>
      <c r="X464" s="1355" t="s">
        <v>40</v>
      </c>
      <c r="Y464" s="902"/>
      <c r="Z464" s="902"/>
      <c r="AA464" s="902"/>
      <c r="AB464" s="1355" t="s">
        <v>458</v>
      </c>
    </row>
    <row r="465" spans="1:28" s="776" customFormat="1">
      <c r="B465" s="791" t="s">
        <v>457</v>
      </c>
      <c r="C465" s="242"/>
      <c r="D465" s="791"/>
      <c r="E465" s="242"/>
      <c r="F465" s="900">
        <f>'3_Fin-Stat'!F75</f>
        <v>0</v>
      </c>
      <c r="G465" s="900">
        <f>'3_Fin-Stat'!G75</f>
        <v>77813</v>
      </c>
      <c r="H465" s="900">
        <f>'3_Fin-Stat'!H75</f>
        <v>77813</v>
      </c>
      <c r="I465" s="900">
        <f>'3_Fin-Stat'!I75</f>
        <v>77802</v>
      </c>
      <c r="J465" s="900">
        <f>'3_Fin-Stat'!J75</f>
        <v>677802</v>
      </c>
      <c r="K465" s="900">
        <f>'3_Fin-Stat'!K75</f>
        <v>677802</v>
      </c>
      <c r="L465" s="900">
        <f>'3_Fin-Stat'!L75</f>
        <v>677802</v>
      </c>
      <c r="M465" s="900">
        <f>'3_Fin-Stat'!M75</f>
        <v>1652713</v>
      </c>
      <c r="N465" s="900">
        <f>M476</f>
        <v>1652713</v>
      </c>
      <c r="O465" s="900">
        <f>N476</f>
        <v>2746509</v>
      </c>
      <c r="P465" s="900">
        <f>O476</f>
        <v>2737795</v>
      </c>
      <c r="Q465" s="900">
        <f>P476</f>
        <v>2737092</v>
      </c>
      <c r="R465" s="900">
        <f>Q476</f>
        <v>3686651</v>
      </c>
      <c r="S465" s="900">
        <f t="shared" ref="S465:AB465" si="269">R476</f>
        <v>3392516</v>
      </c>
      <c r="T465" s="900">
        <f t="shared" si="269"/>
        <v>3418016</v>
      </c>
      <c r="U465" s="900">
        <f t="shared" si="269"/>
        <v>3073516</v>
      </c>
      <c r="V465" s="900">
        <f t="shared" si="269"/>
        <v>3073516</v>
      </c>
      <c r="W465" s="900">
        <f t="shared" si="269"/>
        <v>3310516</v>
      </c>
      <c r="X465" s="900">
        <f t="shared" si="269"/>
        <v>3951516</v>
      </c>
      <c r="Y465" s="900">
        <f t="shared" si="269"/>
        <v>4259516</v>
      </c>
      <c r="Z465" s="900">
        <f t="shared" si="269"/>
        <v>4259516</v>
      </c>
      <c r="AA465" s="900">
        <f t="shared" si="269"/>
        <v>5078516</v>
      </c>
      <c r="AB465" s="900">
        <f t="shared" si="269"/>
        <v>5053516</v>
      </c>
    </row>
    <row r="466" spans="1:28" s="776" customFormat="1">
      <c r="B466" s="242"/>
      <c r="C466" s="242"/>
      <c r="D466" s="791"/>
      <c r="E466" s="242"/>
      <c r="F466" s="900"/>
      <c r="G466" s="900"/>
      <c r="H466" s="900"/>
      <c r="I466" s="900"/>
      <c r="J466" s="900"/>
      <c r="K466" s="900"/>
      <c r="L466" s="900"/>
      <c r="M466" s="900"/>
      <c r="N466" s="900"/>
      <c r="O466" s="900"/>
      <c r="P466" s="900"/>
      <c r="Q466" s="900"/>
      <c r="R466" s="900"/>
      <c r="S466" s="900"/>
      <c r="T466" s="900"/>
      <c r="U466" s="900"/>
      <c r="V466" s="900"/>
      <c r="W466" s="900"/>
      <c r="X466" s="900"/>
      <c r="Y466" s="900"/>
      <c r="Z466" s="900"/>
      <c r="AA466" s="900"/>
      <c r="AB466" s="900"/>
    </row>
    <row r="467" spans="1:28" s="776" customFormat="1">
      <c r="B467" s="791" t="s">
        <v>257</v>
      </c>
      <c r="C467" s="242"/>
      <c r="D467" s="791"/>
      <c r="E467" s="242"/>
      <c r="F467" s="900"/>
      <c r="G467" s="1002"/>
      <c r="H467" s="1002"/>
      <c r="I467" s="1002"/>
      <c r="J467" s="1002"/>
      <c r="K467" s="1002"/>
      <c r="L467" s="1002"/>
      <c r="M467" s="791"/>
      <c r="N467" s="1002">
        <v>1455000</v>
      </c>
      <c r="O467" s="1002">
        <v>0</v>
      </c>
      <c r="P467" s="1002">
        <v>0</v>
      </c>
      <c r="Q467" s="1002">
        <v>1213663</v>
      </c>
      <c r="R467" s="1002">
        <v>129673</v>
      </c>
      <c r="S467" s="1002">
        <v>0</v>
      </c>
      <c r="T467" s="1002">
        <v>-476200</v>
      </c>
      <c r="U467" s="1002">
        <v>0</v>
      </c>
      <c r="V467" s="1002">
        <v>329000</v>
      </c>
      <c r="W467" s="1002">
        <v>889000</v>
      </c>
      <c r="X467" s="1002">
        <v>428000</v>
      </c>
      <c r="Y467" s="1002">
        <v>0</v>
      </c>
      <c r="Z467" s="1002">
        <v>1139000</v>
      </c>
      <c r="AA467" s="1002">
        <v>-22000</v>
      </c>
      <c r="AB467" s="1002">
        <v>202000</v>
      </c>
    </row>
    <row r="468" spans="1:28" s="776" customFormat="1">
      <c r="B468" s="242" t="s">
        <v>472</v>
      </c>
      <c r="C468" s="242"/>
      <c r="D468" s="791"/>
      <c r="E468" s="242"/>
      <c r="F468" s="900"/>
      <c r="G468" s="900"/>
      <c r="H468" s="900"/>
      <c r="I468" s="900"/>
      <c r="J468" s="900"/>
      <c r="K468" s="900"/>
      <c r="L468" s="900"/>
      <c r="M468" s="242"/>
      <c r="N468" s="900">
        <v>7006</v>
      </c>
      <c r="O468" s="900">
        <v>0</v>
      </c>
      <c r="P468" s="900">
        <v>0</v>
      </c>
      <c r="Q468" s="900"/>
      <c r="R468" s="900"/>
      <c r="S468" s="900"/>
      <c r="T468" s="900"/>
      <c r="U468" s="900"/>
      <c r="V468" s="242"/>
      <c r="W468" s="900"/>
      <c r="X468" s="900">
        <v>0</v>
      </c>
      <c r="Y468" s="900">
        <v>0</v>
      </c>
      <c r="Z468" s="900"/>
      <c r="AA468" s="900"/>
      <c r="AB468" s="900"/>
    </row>
    <row r="469" spans="1:28" s="776" customFormat="1">
      <c r="B469" s="242" t="s">
        <v>473</v>
      </c>
      <c r="C469" s="242"/>
      <c r="D469" s="791"/>
      <c r="E469" s="242"/>
      <c r="F469" s="900"/>
      <c r="G469" s="900"/>
      <c r="H469" s="900"/>
      <c r="I469" s="900"/>
      <c r="J469" s="900"/>
      <c r="K469" s="900"/>
      <c r="L469" s="900"/>
      <c r="M469" s="242"/>
      <c r="N469" s="1004">
        <v>-482138</v>
      </c>
      <c r="O469" s="1004">
        <v>4107</v>
      </c>
      <c r="P469" s="1004">
        <v>301</v>
      </c>
      <c r="Q469" s="1004">
        <v>-362694</v>
      </c>
      <c r="R469" s="1002"/>
      <c r="S469" s="1002"/>
      <c r="T469" s="1002"/>
      <c r="U469" s="1002"/>
      <c r="V469" s="1004">
        <v>-92000</v>
      </c>
      <c r="W469" s="1004">
        <v>-248000</v>
      </c>
      <c r="X469" s="1004">
        <v>-120000</v>
      </c>
      <c r="Y469" s="1002">
        <v>0</v>
      </c>
      <c r="Z469" s="1004">
        <v>-320000</v>
      </c>
      <c r="AA469" s="1004">
        <v>7000</v>
      </c>
      <c r="AB469" s="1004">
        <v>-58000</v>
      </c>
    </row>
    <row r="470" spans="1:28" s="776" customFormat="1">
      <c r="B470" s="242" t="s">
        <v>474</v>
      </c>
      <c r="C470" s="242"/>
      <c r="D470" s="791"/>
      <c r="E470" s="242"/>
      <c r="F470" s="900"/>
      <c r="G470" s="900"/>
      <c r="H470" s="900"/>
      <c r="I470" s="900"/>
      <c r="J470" s="900"/>
      <c r="K470" s="900"/>
      <c r="L470" s="900"/>
      <c r="M470" s="242"/>
      <c r="N470" s="1004">
        <v>113928</v>
      </c>
      <c r="O470" s="900">
        <v>-373</v>
      </c>
      <c r="P470" s="900">
        <v>0</v>
      </c>
      <c r="Q470" s="1004">
        <v>103270</v>
      </c>
      <c r="R470" s="900">
        <v>2610</v>
      </c>
      <c r="S470" s="900"/>
      <c r="T470" s="900"/>
      <c r="U470" s="900"/>
      <c r="V470" s="242"/>
      <c r="W470" s="900"/>
      <c r="X470" s="900">
        <v>0</v>
      </c>
      <c r="Y470" s="900">
        <v>0</v>
      </c>
      <c r="Z470" s="900"/>
      <c r="AA470" s="900"/>
      <c r="AB470" s="900"/>
    </row>
    <row r="471" spans="1:28" s="776" customFormat="1">
      <c r="B471" s="242" t="s">
        <v>475</v>
      </c>
      <c r="C471" s="242"/>
      <c r="D471" s="791"/>
      <c r="E471" s="242"/>
      <c r="F471" s="900"/>
      <c r="G471" s="900"/>
      <c r="H471" s="900"/>
      <c r="I471" s="900"/>
      <c r="J471" s="900"/>
      <c r="K471" s="900"/>
      <c r="L471" s="900"/>
      <c r="M471" s="242"/>
      <c r="N471" s="900"/>
      <c r="O471" s="900"/>
      <c r="P471" s="900"/>
      <c r="Q471" s="900"/>
      <c r="R471" s="900"/>
      <c r="S471" s="900"/>
      <c r="T471" s="900"/>
      <c r="U471" s="900">
        <v>0</v>
      </c>
      <c r="V471" s="242"/>
      <c r="W471" s="900"/>
      <c r="X471" s="900">
        <v>0</v>
      </c>
      <c r="Y471" s="900">
        <v>0</v>
      </c>
      <c r="Z471" s="900"/>
      <c r="AA471" s="242"/>
      <c r="AB471" s="900"/>
    </row>
    <row r="472" spans="1:28" s="776" customFormat="1">
      <c r="B472" s="242" t="s">
        <v>476</v>
      </c>
      <c r="C472" s="242"/>
      <c r="D472" s="791"/>
      <c r="E472" s="242"/>
      <c r="F472" s="900"/>
      <c r="G472" s="900"/>
      <c r="H472" s="900"/>
      <c r="I472" s="900"/>
      <c r="J472" s="900"/>
      <c r="K472" s="900"/>
      <c r="L472" s="900"/>
      <c r="M472" s="242"/>
      <c r="N472" s="900"/>
      <c r="O472" s="900"/>
      <c r="P472" s="900"/>
      <c r="Q472" s="900"/>
      <c r="R472" s="998">
        <v>-38639</v>
      </c>
      <c r="S472" s="900">
        <v>-100</v>
      </c>
      <c r="T472" s="242"/>
      <c r="U472" s="900"/>
      <c r="V472" s="242"/>
      <c r="W472" s="900"/>
      <c r="X472" s="900"/>
      <c r="Y472" s="900">
        <v>0</v>
      </c>
      <c r="Z472" s="900"/>
      <c r="AA472" s="900"/>
      <c r="AB472" s="900"/>
    </row>
    <row r="473" spans="1:28" s="776" customFormat="1">
      <c r="B473" s="242" t="s">
        <v>477</v>
      </c>
      <c r="C473" s="242"/>
      <c r="D473" s="791"/>
      <c r="E473" s="242"/>
      <c r="F473" s="900"/>
      <c r="G473" s="900"/>
      <c r="H473" s="900"/>
      <c r="I473" s="900"/>
      <c r="J473" s="900"/>
      <c r="K473" s="900"/>
      <c r="L473" s="900"/>
      <c r="M473" s="242"/>
      <c r="N473" s="900"/>
      <c r="O473" s="900"/>
      <c r="P473" s="900"/>
      <c r="Q473" s="900"/>
      <c r="R473" s="1004">
        <v>150415</v>
      </c>
      <c r="S473" s="1004"/>
      <c r="T473" s="1004">
        <v>133300</v>
      </c>
      <c r="U473" s="900"/>
      <c r="V473" s="242"/>
      <c r="W473" s="900"/>
      <c r="X473" s="900"/>
      <c r="Y473" s="900"/>
      <c r="Z473" s="900"/>
      <c r="AA473" s="900"/>
      <c r="AB473" s="900"/>
    </row>
    <row r="474" spans="1:28" s="776" customFormat="1">
      <c r="B474" s="242" t="s">
        <v>478</v>
      </c>
      <c r="C474" s="242"/>
      <c r="D474" s="791"/>
      <c r="E474" s="242"/>
      <c r="F474" s="900"/>
      <c r="G474" s="900"/>
      <c r="H474" s="900"/>
      <c r="I474" s="900"/>
      <c r="J474" s="900"/>
      <c r="K474" s="900"/>
      <c r="L474" s="900"/>
      <c r="M474" s="242"/>
      <c r="N474" s="900"/>
      <c r="O474" s="900"/>
      <c r="P474" s="900"/>
      <c r="Q474" s="900"/>
      <c r="R474" s="900"/>
      <c r="S474" s="900">
        <v>4300</v>
      </c>
      <c r="T474" s="900"/>
      <c r="U474" s="900"/>
      <c r="V474" s="242"/>
      <c r="W474" s="900"/>
      <c r="X474" s="900"/>
      <c r="Y474" s="900"/>
      <c r="Z474" s="900"/>
      <c r="AA474" s="900"/>
      <c r="AB474" s="900"/>
    </row>
    <row r="475" spans="1:28" s="776" customFormat="1">
      <c r="B475" s="242" t="s">
        <v>479</v>
      </c>
      <c r="C475" s="242"/>
      <c r="D475" s="791"/>
      <c r="E475" s="242"/>
      <c r="F475" s="902"/>
      <c r="G475" s="902"/>
      <c r="H475" s="902"/>
      <c r="I475" s="902"/>
      <c r="J475" s="902"/>
      <c r="K475" s="902"/>
      <c r="L475" s="902"/>
      <c r="M475" s="74"/>
      <c r="N475" s="902">
        <v>0</v>
      </c>
      <c r="O475" s="1197">
        <v>-12448</v>
      </c>
      <c r="P475" s="1197">
        <v>-1004</v>
      </c>
      <c r="Q475" s="1197">
        <v>-4680</v>
      </c>
      <c r="R475" s="1197">
        <v>-538194</v>
      </c>
      <c r="S475" s="1197">
        <v>21300</v>
      </c>
      <c r="T475" s="1197">
        <v>-1600</v>
      </c>
      <c r="U475" s="902"/>
      <c r="V475" s="74"/>
      <c r="W475" s="902"/>
      <c r="X475" s="902">
        <v>0</v>
      </c>
      <c r="Y475" s="902">
        <v>0</v>
      </c>
      <c r="Z475" s="74"/>
      <c r="AA475" s="902"/>
      <c r="AB475" s="902">
        <v>1000</v>
      </c>
    </row>
    <row r="476" spans="1:28" s="776" customFormat="1">
      <c r="B476" s="791" t="s">
        <v>480</v>
      </c>
      <c r="C476" s="242"/>
      <c r="D476" s="791"/>
      <c r="E476" s="242"/>
      <c r="F476" s="900">
        <f t="shared" ref="F476" si="270">SUM(F465:F475)</f>
        <v>0</v>
      </c>
      <c r="G476" s="900">
        <f>G465</f>
        <v>77813</v>
      </c>
      <c r="H476" s="900">
        <f t="shared" ref="H476:M476" si="271">H465</f>
        <v>77813</v>
      </c>
      <c r="I476" s="900">
        <f t="shared" si="271"/>
        <v>77802</v>
      </c>
      <c r="J476" s="900">
        <f t="shared" si="271"/>
        <v>677802</v>
      </c>
      <c r="K476" s="900">
        <f t="shared" si="271"/>
        <v>677802</v>
      </c>
      <c r="L476" s="900">
        <f t="shared" si="271"/>
        <v>677802</v>
      </c>
      <c r="M476" s="900">
        <f t="shared" si="271"/>
        <v>1652713</v>
      </c>
      <c r="N476" s="900">
        <f>SUM(N465:N475)</f>
        <v>2746509</v>
      </c>
      <c r="O476" s="900">
        <f t="shared" ref="O476:W476" si="272">SUM(O465:O475)</f>
        <v>2737795</v>
      </c>
      <c r="P476" s="900">
        <f t="shared" si="272"/>
        <v>2737092</v>
      </c>
      <c r="Q476" s="900">
        <f t="shared" si="272"/>
        <v>3686651</v>
      </c>
      <c r="R476" s="900">
        <f t="shared" si="272"/>
        <v>3392516</v>
      </c>
      <c r="S476" s="1328">
        <f t="shared" si="272"/>
        <v>3418016</v>
      </c>
      <c r="T476" s="1328">
        <f t="shared" si="272"/>
        <v>3073516</v>
      </c>
      <c r="U476" s="1328">
        <f t="shared" si="272"/>
        <v>3073516</v>
      </c>
      <c r="V476" s="1328">
        <f t="shared" si="272"/>
        <v>3310516</v>
      </c>
      <c r="W476" s="1328">
        <f t="shared" si="272"/>
        <v>3951516</v>
      </c>
      <c r="X476" s="1328">
        <f t="shared" ref="X476:AB476" si="273">SUM(X465:X475)</f>
        <v>4259516</v>
      </c>
      <c r="Y476" s="1328">
        <f t="shared" si="273"/>
        <v>4259516</v>
      </c>
      <c r="Z476" s="1328">
        <f t="shared" si="273"/>
        <v>5078516</v>
      </c>
      <c r="AA476" s="1328">
        <f>SUM(AA465:AA475)-10000</f>
        <v>5053516</v>
      </c>
      <c r="AB476" s="1328">
        <f t="shared" si="273"/>
        <v>5198516</v>
      </c>
    </row>
    <row r="477" spans="1:28" s="776" customFormat="1">
      <c r="G477" s="4"/>
      <c r="H477" s="4"/>
      <c r="I477" s="4"/>
      <c r="J477" s="4"/>
      <c r="K477" s="4"/>
      <c r="L477" s="4"/>
      <c r="M477" s="4"/>
      <c r="N477" s="4"/>
      <c r="O477" s="4"/>
      <c r="P477" s="4"/>
      <c r="Q477" s="4"/>
      <c r="R477" s="4"/>
      <c r="S477" s="4"/>
      <c r="T477" s="4"/>
      <c r="U477" s="4"/>
      <c r="V477" s="4"/>
      <c r="W477" s="4"/>
      <c r="X477" s="4"/>
      <c r="Y477" s="4"/>
      <c r="Z477" s="4"/>
      <c r="AA477" s="4"/>
      <c r="AB477" s="900" t="s">
        <v>458</v>
      </c>
    </row>
    <row r="478" spans="1:28" s="776" customFormat="1" ht="18">
      <c r="A478" s="799" t="s">
        <v>0</v>
      </c>
      <c r="B478" s="904"/>
      <c r="C478" s="904"/>
      <c r="D478" s="904"/>
      <c r="E478" s="1327"/>
      <c r="F478" s="1210"/>
      <c r="G478" s="1210"/>
      <c r="H478" s="1210"/>
      <c r="I478" s="1210"/>
      <c r="J478" s="1210"/>
      <c r="K478" s="1210"/>
      <c r="L478" s="1455"/>
      <c r="M478" s="1455"/>
      <c r="N478" s="1455"/>
      <c r="O478" s="980"/>
      <c r="P478" s="1242"/>
      <c r="Q478" s="967"/>
      <c r="R478" s="868"/>
      <c r="S478" s="967"/>
      <c r="T478" s="967"/>
      <c r="U478" s="967"/>
      <c r="V478" s="967"/>
      <c r="AB478" s="1372"/>
    </row>
    <row r="479" spans="1:28" ht="18">
      <c r="A479" s="1449" t="s">
        <v>243</v>
      </c>
      <c r="B479" s="1449"/>
      <c r="C479" s="1449"/>
      <c r="D479" s="1449"/>
      <c r="E479" s="1450"/>
      <c r="F479" s="1450"/>
      <c r="G479" s="985"/>
      <c r="H479" s="985"/>
      <c r="I479" s="932"/>
      <c r="J479" s="932"/>
      <c r="K479" s="932"/>
      <c r="L479" s="932"/>
      <c r="M479" s="932"/>
      <c r="N479" s="932"/>
      <c r="O479" s="932"/>
      <c r="P479" s="932"/>
      <c r="Q479" s="932"/>
      <c r="R479" s="932"/>
      <c r="S479" s="932"/>
      <c r="T479" s="932"/>
      <c r="U479" s="932"/>
      <c r="V479" s="1375"/>
      <c r="W479" s="1464" t="s">
        <v>24</v>
      </c>
      <c r="X479" s="1464"/>
      <c r="Y479" s="1464"/>
      <c r="Z479" s="1464"/>
      <c r="AA479" s="1465"/>
      <c r="AB479" s="1381">
        <v>3.9</v>
      </c>
    </row>
    <row r="480" spans="1:28">
      <c r="A480" s="1218"/>
      <c r="B480" s="1218"/>
      <c r="C480" s="1218"/>
      <c r="D480" s="1218"/>
      <c r="E480" s="1176"/>
      <c r="F480" s="69">
        <v>0</v>
      </c>
      <c r="G480" s="69">
        <f t="shared" ref="G480:AB480" si="274">F480+1</f>
        <v>1</v>
      </c>
      <c r="H480" s="69">
        <f t="shared" si="274"/>
        <v>2</v>
      </c>
      <c r="I480" s="69">
        <f t="shared" si="274"/>
        <v>3</v>
      </c>
      <c r="J480" s="69">
        <f t="shared" si="274"/>
        <v>4</v>
      </c>
      <c r="K480" s="69">
        <f t="shared" si="274"/>
        <v>5</v>
      </c>
      <c r="L480" s="69">
        <f t="shared" si="274"/>
        <v>6</v>
      </c>
      <c r="M480" s="69">
        <f t="shared" si="274"/>
        <v>7</v>
      </c>
      <c r="N480" s="649">
        <f t="shared" si="274"/>
        <v>8</v>
      </c>
      <c r="O480" s="73">
        <f t="shared" si="274"/>
        <v>9</v>
      </c>
      <c r="P480" s="73">
        <f t="shared" si="274"/>
        <v>10</v>
      </c>
      <c r="Q480" s="73">
        <f t="shared" si="274"/>
        <v>11</v>
      </c>
      <c r="R480" s="73">
        <f t="shared" si="274"/>
        <v>12</v>
      </c>
      <c r="S480" s="73">
        <f t="shared" si="274"/>
        <v>13</v>
      </c>
      <c r="T480" s="73">
        <f t="shared" si="274"/>
        <v>14</v>
      </c>
      <c r="U480" s="73">
        <f t="shared" si="274"/>
        <v>15</v>
      </c>
      <c r="V480" s="73">
        <f t="shared" si="274"/>
        <v>16</v>
      </c>
      <c r="W480" s="73">
        <f t="shared" si="274"/>
        <v>17</v>
      </c>
      <c r="X480" s="73">
        <f t="shared" si="274"/>
        <v>18</v>
      </c>
      <c r="Y480" s="73">
        <f t="shared" si="274"/>
        <v>19</v>
      </c>
      <c r="Z480" s="73">
        <f t="shared" si="274"/>
        <v>20</v>
      </c>
      <c r="AA480" s="73">
        <f t="shared" si="274"/>
        <v>21</v>
      </c>
      <c r="AB480" s="73">
        <f t="shared" si="274"/>
        <v>22</v>
      </c>
    </row>
    <row r="481" spans="1:28">
      <c r="A481" s="52"/>
      <c r="B481" s="52"/>
      <c r="C481" s="52"/>
      <c r="D481" s="1266" t="s">
        <v>32</v>
      </c>
      <c r="E481" s="1266" t="s">
        <v>3</v>
      </c>
      <c r="F481" s="1202">
        <f>'2_Inc-Stat'!F3</f>
        <v>1999</v>
      </c>
      <c r="G481" s="1202">
        <f>'2_Inc-Stat'!G3</f>
        <v>2000</v>
      </c>
      <c r="H481" s="1202">
        <f>'2_Inc-Stat'!H3</f>
        <v>2001</v>
      </c>
      <c r="I481" s="1202">
        <f>'2_Inc-Stat'!I3</f>
        <v>2002</v>
      </c>
      <c r="J481" s="1202">
        <f>'2_Inc-Stat'!J3</f>
        <v>2003</v>
      </c>
      <c r="K481" s="1202">
        <f>'2_Inc-Stat'!K3</f>
        <v>2004</v>
      </c>
      <c r="L481" s="1202">
        <f>'2_Inc-Stat'!L3</f>
        <v>2005</v>
      </c>
      <c r="M481" s="1202">
        <f>'2_Inc-Stat'!M3</f>
        <v>2006</v>
      </c>
      <c r="N481" s="1202">
        <f>'2_Inc-Stat'!N3</f>
        <v>2007</v>
      </c>
      <c r="O481" s="1202">
        <f>'2_Inc-Stat'!O3</f>
        <v>2008</v>
      </c>
      <c r="P481" s="1202">
        <f>'2_Inc-Stat'!P3</f>
        <v>2009</v>
      </c>
      <c r="Q481" s="1202">
        <f>'2_Inc-Stat'!Q3</f>
        <v>2010</v>
      </c>
      <c r="R481" s="1202">
        <f>'2_Inc-Stat'!R3</f>
        <v>2011</v>
      </c>
      <c r="S481" s="1202">
        <f>'2_Inc-Stat'!S3</f>
        <v>2012</v>
      </c>
      <c r="T481" s="1202">
        <f>'2_Inc-Stat'!T3</f>
        <v>2013</v>
      </c>
      <c r="U481" s="1202">
        <f>'2_Inc-Stat'!U3</f>
        <v>2014</v>
      </c>
      <c r="V481" s="1202">
        <f>'2_Inc-Stat'!V3</f>
        <v>2015</v>
      </c>
      <c r="W481" s="1202">
        <f>'2_Inc-Stat'!W3</f>
        <v>2016</v>
      </c>
      <c r="X481" s="1202">
        <f>'2_Inc-Stat'!X3</f>
        <v>2017</v>
      </c>
      <c r="Y481" s="1202">
        <f>'2_Inc-Stat'!Y3</f>
        <v>2018</v>
      </c>
      <c r="Z481" s="1202">
        <f>'2_Inc-Stat'!Z3</f>
        <v>2019</v>
      </c>
      <c r="AA481" s="1202">
        <f>'2_Inc-Stat'!AA3</f>
        <v>2020</v>
      </c>
      <c r="AB481" s="1202">
        <f>'2_Inc-Stat'!AB3</f>
        <v>2021</v>
      </c>
    </row>
    <row r="482" spans="1:28">
      <c r="A482" s="52"/>
      <c r="B482" s="52"/>
      <c r="C482" s="52"/>
      <c r="D482" s="52"/>
      <c r="E482" s="242"/>
      <c r="F482" s="790" t="s">
        <v>34</v>
      </c>
      <c r="G482" s="74"/>
      <c r="H482" s="74"/>
      <c r="I482" s="74"/>
      <c r="J482" s="897"/>
      <c r="K482" s="74"/>
      <c r="L482" s="74"/>
      <c r="M482" s="894"/>
      <c r="N482" s="897"/>
      <c r="O482" s="894"/>
      <c r="P482" s="897"/>
      <c r="Q482" s="897"/>
      <c r="R482" s="897"/>
      <c r="S482" s="897"/>
      <c r="T482" s="897"/>
      <c r="U482" s="897"/>
      <c r="V482" s="897"/>
      <c r="W482" s="897"/>
      <c r="X482" s="897"/>
      <c r="Y482" s="897"/>
      <c r="Z482" s="897"/>
      <c r="AA482" s="1203"/>
      <c r="AB482" s="892"/>
    </row>
    <row r="483" spans="1:28">
      <c r="A483" s="934"/>
      <c r="B483" s="929" t="s">
        <v>244</v>
      </c>
      <c r="C483" s="935"/>
      <c r="D483" s="907"/>
      <c r="E483" s="978"/>
      <c r="F483" s="793">
        <v>1561355</v>
      </c>
      <c r="G483" s="793">
        <v>1673151</v>
      </c>
      <c r="H483" s="793">
        <v>1618159</v>
      </c>
      <c r="I483" s="793">
        <v>1662247</v>
      </c>
      <c r="J483" s="793">
        <v>2299802</v>
      </c>
      <c r="K483" s="793">
        <v>2401779</v>
      </c>
      <c r="L483" s="793">
        <v>2469080</v>
      </c>
      <c r="M483" s="793">
        <v>3438064</v>
      </c>
      <c r="N483" s="793">
        <v>4401790</v>
      </c>
      <c r="O483" s="793">
        <v>4204632</v>
      </c>
      <c r="P483" s="793">
        <v>4284128</v>
      </c>
      <c r="Q483" s="793">
        <v>5070684</v>
      </c>
      <c r="R483" s="793">
        <v>4931302</v>
      </c>
      <c r="S483" s="793">
        <v>4825700</v>
      </c>
      <c r="T483" s="793">
        <v>4688000</v>
      </c>
      <c r="U483" s="793">
        <v>4634000</v>
      </c>
      <c r="V483" s="793">
        <v>4748000</v>
      </c>
      <c r="W483" s="793">
        <v>5050000</v>
      </c>
      <c r="X483" s="793">
        <v>5095000</v>
      </c>
      <c r="Y483" s="793">
        <v>4823000</v>
      </c>
      <c r="Z483" s="793">
        <v>5457000</v>
      </c>
      <c r="AA483" s="793">
        <v>5083000</v>
      </c>
      <c r="AB483" s="793">
        <v>5224000</v>
      </c>
    </row>
    <row r="484" spans="1:28">
      <c r="A484" s="934"/>
      <c r="B484" s="52"/>
      <c r="C484" s="935"/>
      <c r="D484" s="242"/>
      <c r="E484" s="242"/>
      <c r="F484" s="793"/>
      <c r="G484" s="793"/>
      <c r="H484" s="793"/>
      <c r="I484" s="793"/>
      <c r="J484" s="793"/>
      <c r="K484" s="793"/>
      <c r="L484" s="793"/>
      <c r="M484" s="793"/>
      <c r="N484" s="793"/>
      <c r="O484" s="793"/>
      <c r="P484" s="793"/>
      <c r="Q484" s="793"/>
      <c r="R484" s="793"/>
      <c r="S484" s="793"/>
      <c r="T484" s="793"/>
      <c r="U484" s="793"/>
      <c r="V484" s="793"/>
      <c r="W484" s="793"/>
      <c r="X484" s="793"/>
      <c r="Y484" s="793"/>
      <c r="Z484" s="793"/>
      <c r="AA484" s="793"/>
      <c r="AB484" s="793"/>
    </row>
    <row r="485" spans="1:28">
      <c r="A485" s="934"/>
      <c r="B485" s="52" t="s">
        <v>245</v>
      </c>
      <c r="C485" s="935"/>
      <c r="D485" s="242"/>
      <c r="E485" s="242"/>
      <c r="F485" s="793">
        <f>'2_Inc-Stat'!F59</f>
        <v>110340</v>
      </c>
      <c r="G485" s="793">
        <f>'2_Inc-Stat'!G59</f>
        <v>96334</v>
      </c>
      <c r="H485" s="793">
        <f>'2_Inc-Stat'!H59</f>
        <v>125100</v>
      </c>
      <c r="I485" s="793">
        <f>'2_Inc-Stat'!I59</f>
        <v>84046</v>
      </c>
      <c r="J485" s="793">
        <f>'2_Inc-Stat'!J59</f>
        <v>109314</v>
      </c>
      <c r="K485" s="793">
        <f>'2_Inc-Stat'!K59</f>
        <v>132905</v>
      </c>
      <c r="L485" s="793">
        <f>'2_Inc-Stat'!L59</f>
        <v>218228</v>
      </c>
      <c r="M485" s="793">
        <f>'2_Inc-Stat'!M59</f>
        <v>856836</v>
      </c>
      <c r="N485" s="793">
        <f>'2_Inc-Stat'!N59</f>
        <v>241230</v>
      </c>
      <c r="O485" s="793">
        <f>'2_Inc-Stat'!O59</f>
        <v>128562</v>
      </c>
      <c r="P485" s="793">
        <f>'2_Inc-Stat'!P59</f>
        <v>89263</v>
      </c>
      <c r="Q485" s="793">
        <f>'2_Inc-Stat'!Q59</f>
        <v>184049</v>
      </c>
      <c r="R485" s="793">
        <f>'2_Inc-Stat'!R59</f>
        <v>303111</v>
      </c>
      <c r="S485" s="793">
        <f>'2_Inc-Stat'!S59</f>
        <v>74600</v>
      </c>
      <c r="T485" s="793">
        <f>'2_Inc-Stat'!T59</f>
        <v>295100</v>
      </c>
      <c r="U485" s="793">
        <f>'2_Inc-Stat'!U59+200</f>
        <v>230000</v>
      </c>
      <c r="V485" s="793">
        <f>'2_Inc-Stat'!V59</f>
        <v>247000</v>
      </c>
      <c r="W485" s="793">
        <f>'2_Inc-Stat'!W59</f>
        <v>185000</v>
      </c>
      <c r="X485" s="793">
        <f>'2_Inc-Stat'!X59</f>
        <v>200000</v>
      </c>
      <c r="Y485" s="793">
        <f>'2_Inc-Stat'!Y59</f>
        <v>201000</v>
      </c>
      <c r="Z485" s="793">
        <f>'2_Inc-Stat'!Z59</f>
        <v>339000</v>
      </c>
      <c r="AA485" s="793">
        <f>'2_Inc-Stat'!AA59</f>
        <v>176000</v>
      </c>
      <c r="AB485" s="793">
        <f>'2_Inc-Stat'!AB59</f>
        <v>428000</v>
      </c>
    </row>
    <row r="486" spans="1:28">
      <c r="A486" s="934"/>
      <c r="B486" s="929" t="s">
        <v>23</v>
      </c>
      <c r="C486" s="935"/>
      <c r="D486" s="242"/>
      <c r="E486" s="242"/>
      <c r="F486" s="793"/>
      <c r="G486" s="793"/>
      <c r="H486" s="793"/>
      <c r="I486" s="793"/>
      <c r="J486" s="793"/>
      <c r="K486" s="793"/>
      <c r="L486" s="793"/>
      <c r="M486" s="793"/>
      <c r="N486" s="793"/>
      <c r="O486" s="793"/>
      <c r="P486" s="793"/>
      <c r="Q486" s="793"/>
      <c r="R486" s="793"/>
      <c r="S486" s="793"/>
      <c r="T486" s="793"/>
      <c r="U486" s="793"/>
      <c r="V486" s="793"/>
      <c r="W486" s="793"/>
      <c r="X486" s="793"/>
      <c r="Y486" s="793"/>
      <c r="Z486" s="793"/>
      <c r="AA486" s="793"/>
      <c r="AB486" s="793"/>
    </row>
    <row r="487" spans="1:28">
      <c r="A487" s="934"/>
      <c r="B487" s="52" t="s">
        <v>246</v>
      </c>
      <c r="C487" s="935"/>
      <c r="D487" s="242"/>
      <c r="E487" s="242"/>
      <c r="F487" s="793"/>
      <c r="G487" s="793"/>
      <c r="H487" s="793"/>
      <c r="I487" s="793"/>
      <c r="J487" s="793"/>
      <c r="K487" s="793"/>
      <c r="L487" s="793"/>
      <c r="M487" s="793"/>
      <c r="N487" s="793"/>
      <c r="O487" s="793"/>
      <c r="P487" s="793"/>
      <c r="Q487" s="793"/>
      <c r="R487" s="793"/>
      <c r="S487" s="793"/>
      <c r="T487" s="793"/>
      <c r="U487" s="793"/>
      <c r="V487" s="793"/>
      <c r="W487" s="793"/>
      <c r="X487" s="793"/>
      <c r="Y487" s="793"/>
      <c r="Z487" s="793">
        <v>1139000</v>
      </c>
      <c r="AA487" s="793">
        <v>-22000</v>
      </c>
      <c r="AB487" s="793">
        <v>202000</v>
      </c>
    </row>
    <row r="488" spans="1:28">
      <c r="A488" s="934"/>
      <c r="B488" s="52" t="s">
        <v>247</v>
      </c>
      <c r="C488" s="935"/>
      <c r="D488" s="242"/>
      <c r="E488" s="242"/>
      <c r="F488" s="793"/>
      <c r="G488" s="793"/>
      <c r="H488" s="793"/>
      <c r="I488" s="793"/>
      <c r="J488" s="793"/>
      <c r="K488" s="793"/>
      <c r="L488" s="793"/>
      <c r="M488" s="793"/>
      <c r="N488" s="793"/>
      <c r="O488" s="793"/>
      <c r="P488" s="793"/>
      <c r="Q488" s="793"/>
      <c r="R488" s="793"/>
      <c r="S488" s="793"/>
      <c r="T488" s="793"/>
      <c r="U488" s="793"/>
      <c r="V488" s="793"/>
      <c r="W488" s="793"/>
      <c r="X488" s="793"/>
      <c r="Y488" s="793">
        <v>2000</v>
      </c>
      <c r="Z488" s="793">
        <v>-5000</v>
      </c>
      <c r="AA488" s="793">
        <v>2000</v>
      </c>
      <c r="AB488" s="793">
        <v>6000</v>
      </c>
    </row>
    <row r="489" spans="1:28">
      <c r="A489" s="934"/>
      <c r="B489" s="52" t="s">
        <v>248</v>
      </c>
      <c r="C489" s="935"/>
      <c r="D489" s="242"/>
      <c r="E489" s="242"/>
      <c r="F489" s="793"/>
      <c r="G489" s="793"/>
      <c r="H489" s="793"/>
      <c r="I489" s="793"/>
      <c r="J489" s="793"/>
      <c r="K489" s="793"/>
      <c r="L489" s="793"/>
      <c r="M489" s="793"/>
      <c r="N489" s="793"/>
      <c r="O489" s="793"/>
      <c r="P489" s="793"/>
      <c r="Q489" s="793"/>
      <c r="R489" s="793"/>
      <c r="S489" s="793"/>
      <c r="T489" s="793"/>
      <c r="U489" s="793"/>
      <c r="V489" s="793"/>
      <c r="W489" s="793"/>
      <c r="X489" s="793"/>
      <c r="Y489" s="793">
        <v>11000</v>
      </c>
      <c r="Z489" s="793">
        <v>-21000</v>
      </c>
      <c r="AA489" s="793">
        <v>11000</v>
      </c>
      <c r="AB489" s="793">
        <v>2000</v>
      </c>
    </row>
    <row r="490" spans="1:28">
      <c r="A490" s="934"/>
      <c r="B490" s="52" t="s">
        <v>249</v>
      </c>
      <c r="C490" s="935"/>
      <c r="D490" s="242"/>
      <c r="E490" s="242"/>
      <c r="F490" s="793"/>
      <c r="G490" s="793"/>
      <c r="H490" s="793"/>
      <c r="I490" s="793"/>
      <c r="J490" s="793"/>
      <c r="K490" s="793"/>
      <c r="L490" s="793"/>
      <c r="M490" s="793"/>
      <c r="N490" s="793"/>
      <c r="O490" s="793"/>
      <c r="P490" s="793"/>
      <c r="Q490" s="793"/>
      <c r="R490" s="793"/>
      <c r="S490" s="793"/>
      <c r="T490" s="793"/>
      <c r="U490" s="793"/>
      <c r="V490" s="793"/>
      <c r="W490" s="793"/>
      <c r="X490" s="793"/>
      <c r="Y490" s="793"/>
      <c r="Z490" s="793">
        <v>-319000</v>
      </c>
      <c r="AA490" s="793">
        <v>6000</v>
      </c>
      <c r="AB490" s="793">
        <v>-60000</v>
      </c>
    </row>
    <row r="491" spans="1:28">
      <c r="A491" s="934"/>
      <c r="B491" s="52"/>
      <c r="C491" s="935"/>
      <c r="D491" s="242"/>
      <c r="E491" s="242"/>
      <c r="F491" s="892">
        <f>'2_Inc-Stat'!F161</f>
        <v>0</v>
      </c>
      <c r="G491" s="892">
        <f>'2_Inc-Stat'!G161</f>
        <v>77813</v>
      </c>
      <c r="H491" s="892">
        <f>'2_Inc-Stat'!H161</f>
        <v>1387</v>
      </c>
      <c r="I491" s="892">
        <f>'2_Inc-Stat'!I161</f>
        <v>-8957</v>
      </c>
      <c r="J491" s="892">
        <f>'2_Inc-Stat'!J161</f>
        <v>605471</v>
      </c>
      <c r="K491" s="892">
        <f>'2_Inc-Stat'!K161</f>
        <v>-13528</v>
      </c>
      <c r="L491" s="892">
        <f>'2_Inc-Stat'!L161</f>
        <v>-2097</v>
      </c>
      <c r="M491" s="892">
        <f>'2_Inc-Stat'!M161</f>
        <v>1790841</v>
      </c>
      <c r="N491" s="892">
        <f>'2_Inc-Stat'!N161</f>
        <v>1442902</v>
      </c>
      <c r="O491" s="892">
        <f>'2_Inc-Stat'!O161</f>
        <v>-28804</v>
      </c>
      <c r="P491" s="892">
        <f>'2_Inc-Stat'!P161</f>
        <v>20135</v>
      </c>
      <c r="Q491" s="892">
        <f>'2_Inc-Stat'!Q161</f>
        <v>955980</v>
      </c>
      <c r="R491" s="892">
        <f>'2_Inc-Stat'!R161</f>
        <v>241252</v>
      </c>
      <c r="S491" s="892">
        <f>'2_Inc-Stat'!S161</f>
        <v>-39500</v>
      </c>
      <c r="T491" s="892">
        <f>'2_Inc-Stat'!T161</f>
        <v>-333000</v>
      </c>
      <c r="U491" s="892">
        <f>'2_Inc-Stat'!U161</f>
        <v>-22000</v>
      </c>
      <c r="V491" s="892">
        <f>'2_Inc-Stat'!V161</f>
        <v>253000</v>
      </c>
      <c r="W491" s="892">
        <f>'2_Inc-Stat'!W161</f>
        <v>618000</v>
      </c>
      <c r="X491" s="892">
        <f>'2_Inc-Stat'!X161</f>
        <v>311000</v>
      </c>
      <c r="Y491" s="892">
        <f>'2_Inc-Stat'!Y161</f>
        <v>13000</v>
      </c>
      <c r="Z491" s="892">
        <f>SUM(Z487:Z490)</f>
        <v>794000</v>
      </c>
      <c r="AA491" s="892">
        <f>SUM(AA487:AA490)</f>
        <v>-3000</v>
      </c>
      <c r="AB491" s="892">
        <f>SUM(AB487:AB490)</f>
        <v>150000</v>
      </c>
    </row>
    <row r="492" spans="1:28">
      <c r="A492" s="934"/>
      <c r="B492" s="52" t="s">
        <v>250</v>
      </c>
      <c r="C492" s="935"/>
      <c r="D492" s="242"/>
      <c r="E492" s="242"/>
      <c r="F492" s="793">
        <f>SUM(F485:F491)</f>
        <v>110340</v>
      </c>
      <c r="G492" s="793">
        <f t="shared" ref="G492:W492" si="275">SUM(G485:G491)</f>
        <v>174147</v>
      </c>
      <c r="H492" s="793">
        <f t="shared" si="275"/>
        <v>126487</v>
      </c>
      <c r="I492" s="793">
        <f t="shared" si="275"/>
        <v>75089</v>
      </c>
      <c r="J492" s="793">
        <f t="shared" si="275"/>
        <v>714785</v>
      </c>
      <c r="K492" s="793">
        <f t="shared" si="275"/>
        <v>119377</v>
      </c>
      <c r="L492" s="793">
        <f t="shared" si="275"/>
        <v>216131</v>
      </c>
      <c r="M492" s="793">
        <f t="shared" si="275"/>
        <v>2647677</v>
      </c>
      <c r="N492" s="793">
        <f t="shared" si="275"/>
        <v>1684132</v>
      </c>
      <c r="O492" s="793">
        <f t="shared" si="275"/>
        <v>99758</v>
      </c>
      <c r="P492" s="793">
        <f t="shared" si="275"/>
        <v>109398</v>
      </c>
      <c r="Q492" s="793">
        <f t="shared" si="275"/>
        <v>1140029</v>
      </c>
      <c r="R492" s="793">
        <f t="shared" si="275"/>
        <v>544363</v>
      </c>
      <c r="S492" s="793">
        <f t="shared" si="275"/>
        <v>35100</v>
      </c>
      <c r="T492" s="793">
        <f t="shared" si="275"/>
        <v>-37900</v>
      </c>
      <c r="U492" s="793">
        <f t="shared" si="275"/>
        <v>208000</v>
      </c>
      <c r="V492" s="793">
        <f t="shared" si="275"/>
        <v>500000</v>
      </c>
      <c r="W492" s="793">
        <f t="shared" si="275"/>
        <v>803000</v>
      </c>
      <c r="X492" s="793">
        <f>SUM(X485:X491)</f>
        <v>511000</v>
      </c>
      <c r="Y492" s="793">
        <f>Y485+Y491</f>
        <v>214000</v>
      </c>
      <c r="Z492" s="793">
        <f>Z485+Z491</f>
        <v>1133000</v>
      </c>
      <c r="AA492" s="793">
        <f>AA485+AA491</f>
        <v>173000</v>
      </c>
      <c r="AB492" s="793">
        <f>AB485+AB491</f>
        <v>578000</v>
      </c>
    </row>
    <row r="493" spans="1:28">
      <c r="A493" s="934"/>
      <c r="B493" s="52"/>
      <c r="C493" s="935"/>
      <c r="D493" s="242"/>
      <c r="E493" s="242"/>
      <c r="F493" s="793"/>
      <c r="G493" s="793"/>
      <c r="H493" s="793"/>
      <c r="I493" s="793"/>
      <c r="J493" s="793"/>
      <c r="K493" s="793"/>
      <c r="L493" s="793"/>
      <c r="M493" s="793"/>
      <c r="N493" s="793"/>
      <c r="O493" s="793"/>
      <c r="P493" s="793"/>
      <c r="Q493" s="793"/>
      <c r="R493" s="793"/>
      <c r="S493" s="793"/>
      <c r="T493" s="793"/>
      <c r="U493" s="793"/>
      <c r="V493" s="793"/>
      <c r="W493" s="793"/>
      <c r="X493" s="793"/>
      <c r="Y493" s="793"/>
      <c r="Z493" s="793"/>
      <c r="AA493" s="793"/>
      <c r="AB493" s="793"/>
    </row>
    <row r="494" spans="1:28">
      <c r="A494" s="934"/>
      <c r="B494" s="52" t="s">
        <v>251</v>
      </c>
      <c r="C494" s="935"/>
      <c r="D494" s="242"/>
      <c r="E494" s="242"/>
      <c r="F494" s="793"/>
      <c r="G494" s="793"/>
      <c r="H494" s="793"/>
      <c r="I494" s="793"/>
      <c r="J494" s="793"/>
      <c r="K494" s="793"/>
      <c r="L494" s="793"/>
      <c r="M494" s="1215">
        <v>-799287</v>
      </c>
      <c r="N494" s="793"/>
      <c r="O494" s="793"/>
      <c r="P494" s="793"/>
      <c r="Q494" s="793"/>
      <c r="R494" s="793"/>
      <c r="S494" s="793"/>
      <c r="T494" s="793"/>
      <c r="U494" s="793"/>
      <c r="V494" s="793"/>
      <c r="W494" s="793"/>
      <c r="X494" s="793"/>
      <c r="Y494" s="793"/>
      <c r="Z494" s="793"/>
      <c r="AA494" s="793"/>
      <c r="AB494" s="793"/>
    </row>
    <row r="495" spans="1:28">
      <c r="A495" s="934"/>
      <c r="B495" s="52" t="s">
        <v>252</v>
      </c>
      <c r="C495" s="935"/>
      <c r="D495" s="242"/>
      <c r="E495" s="242"/>
      <c r="F495" s="793"/>
      <c r="G495" s="793"/>
      <c r="H495" s="793"/>
      <c r="I495" s="793"/>
      <c r="J495" s="793"/>
      <c r="K495" s="793"/>
      <c r="L495" s="793"/>
      <c r="M495" s="793"/>
      <c r="N495" s="793">
        <v>10824</v>
      </c>
      <c r="O495" s="793"/>
      <c r="P495" s="793"/>
      <c r="Q495" s="793"/>
      <c r="R495" s="793"/>
      <c r="S495" s="793"/>
      <c r="T495" s="793"/>
      <c r="U495" s="793"/>
      <c r="V495" s="793"/>
      <c r="W495" s="793"/>
      <c r="X495" s="793"/>
      <c r="Y495" s="793"/>
      <c r="Z495" s="793"/>
      <c r="AA495" s="793"/>
      <c r="AB495" s="793"/>
    </row>
    <row r="496" spans="1:28">
      <c r="A496" s="934"/>
      <c r="B496" s="52" t="s">
        <v>253</v>
      </c>
      <c r="C496" s="935"/>
      <c r="D496" s="242"/>
      <c r="E496" s="242"/>
      <c r="F496" s="793"/>
      <c r="G496" s="793"/>
      <c r="H496" s="793"/>
      <c r="I496" s="793"/>
      <c r="J496" s="793"/>
      <c r="K496" s="793"/>
      <c r="L496" s="793"/>
      <c r="M496" s="793"/>
      <c r="N496" s="793">
        <v>-2133</v>
      </c>
      <c r="O496" s="793"/>
      <c r="P496" s="793"/>
      <c r="Q496" s="793"/>
      <c r="R496" s="793"/>
      <c r="S496" s="793"/>
      <c r="T496" s="793"/>
      <c r="U496" s="793"/>
      <c r="V496" s="793"/>
      <c r="W496" s="793"/>
      <c r="X496" s="793"/>
      <c r="Y496" s="793"/>
      <c r="Z496" s="793"/>
      <c r="AA496" s="793"/>
      <c r="AB496" s="793"/>
    </row>
    <row r="497" spans="1:28">
      <c r="A497" s="934"/>
      <c r="B497" s="52" t="s">
        <v>254</v>
      </c>
      <c r="C497" s="935"/>
      <c r="D497" s="242"/>
      <c r="E497" s="644"/>
      <c r="F497" s="793"/>
      <c r="G497" s="793"/>
      <c r="H497" s="793"/>
      <c r="I497" s="793"/>
      <c r="J497" s="793"/>
      <c r="K497" s="793"/>
      <c r="L497" s="793"/>
      <c r="M497" s="793"/>
      <c r="N497" s="242"/>
      <c r="O497" s="793"/>
      <c r="P497" s="793"/>
      <c r="Q497" s="793"/>
      <c r="R497" s="793"/>
      <c r="S497" s="793"/>
      <c r="T497" s="793"/>
      <c r="U497" s="793"/>
      <c r="V497" s="793"/>
      <c r="W497" s="793"/>
      <c r="X497" s="793">
        <v>10000</v>
      </c>
      <c r="Y497" s="793">
        <v>0</v>
      </c>
      <c r="Z497" s="793">
        <v>0</v>
      </c>
      <c r="AA497" s="793">
        <v>0</v>
      </c>
      <c r="AB497" s="793">
        <v>0</v>
      </c>
    </row>
    <row r="498" spans="1:28">
      <c r="A498" s="934"/>
      <c r="B498" s="52"/>
      <c r="C498" s="935"/>
      <c r="D498" s="242"/>
      <c r="E498" s="644"/>
      <c r="F498" s="793"/>
      <c r="G498" s="793"/>
      <c r="H498" s="793"/>
      <c r="I498" s="793"/>
      <c r="J498" s="793"/>
      <c r="K498" s="793"/>
      <c r="L498" s="793"/>
      <c r="M498" s="793"/>
      <c r="N498" s="242"/>
      <c r="O498" s="793"/>
      <c r="P498" s="793"/>
      <c r="Q498" s="793"/>
      <c r="R498" s="793"/>
      <c r="S498" s="793"/>
      <c r="T498" s="793"/>
      <c r="U498" s="793"/>
      <c r="V498" s="793"/>
      <c r="W498" s="793"/>
      <c r="X498" s="793"/>
      <c r="Y498" s="793"/>
      <c r="Z498" s="793"/>
      <c r="AA498" s="793"/>
      <c r="AB498" s="793"/>
    </row>
    <row r="499" spans="1:28">
      <c r="A499" s="934"/>
      <c r="B499" s="52" t="s">
        <v>255</v>
      </c>
      <c r="C499" s="935"/>
      <c r="D499" s="242"/>
      <c r="E499" s="242"/>
      <c r="F499" s="793"/>
      <c r="G499" s="793"/>
      <c r="H499" s="793"/>
      <c r="I499" s="793"/>
      <c r="J499" s="793"/>
      <c r="K499" s="793"/>
      <c r="L499" s="793"/>
      <c r="M499" s="793"/>
      <c r="N499" s="793"/>
      <c r="O499" s="793">
        <v>981</v>
      </c>
      <c r="P499" s="793">
        <v>98</v>
      </c>
      <c r="Q499" s="793">
        <v>19</v>
      </c>
      <c r="R499" s="793">
        <v>-101</v>
      </c>
      <c r="S499" s="793"/>
      <c r="T499" s="793">
        <v>0</v>
      </c>
      <c r="U499" s="793">
        <v>-1000</v>
      </c>
      <c r="V499" s="793">
        <v>-1000</v>
      </c>
      <c r="W499" s="793">
        <v>0</v>
      </c>
      <c r="X499" s="793">
        <v>1000</v>
      </c>
      <c r="Y499" s="793">
        <v>0</v>
      </c>
      <c r="Z499" s="793">
        <v>1000</v>
      </c>
      <c r="AA499" s="793">
        <v>-1000</v>
      </c>
      <c r="AB499" s="793">
        <v>-3000</v>
      </c>
    </row>
    <row r="500" spans="1:28">
      <c r="A500" s="934"/>
      <c r="B500" s="52" t="s">
        <v>256</v>
      </c>
      <c r="C500" s="935"/>
      <c r="D500" s="242"/>
      <c r="E500" s="242"/>
      <c r="F500" s="793">
        <v>-148985</v>
      </c>
      <c r="G500" s="793">
        <v>-62351</v>
      </c>
      <c r="H500" s="793">
        <v>-181480</v>
      </c>
      <c r="I500" s="793">
        <v>-31000</v>
      </c>
      <c r="J500" s="793">
        <v>-77230</v>
      </c>
      <c r="K500" s="793">
        <v>-17400</v>
      </c>
      <c r="L500" s="793">
        <v>-148830</v>
      </c>
      <c r="M500" s="793">
        <v>-879406</v>
      </c>
      <c r="N500" s="793">
        <v>-367893</v>
      </c>
      <c r="O500" s="793">
        <v>-297897</v>
      </c>
      <c r="P500" s="793">
        <v>-30000</v>
      </c>
      <c r="Q500" s="793">
        <v>-353492</v>
      </c>
      <c r="R500" s="793">
        <v>-683644</v>
      </c>
      <c r="S500" s="793">
        <v>-140700</v>
      </c>
      <c r="T500" s="793">
        <v>-99800</v>
      </c>
      <c r="U500" s="793">
        <v>-261000</v>
      </c>
      <c r="V500" s="793">
        <v>-385000</v>
      </c>
      <c r="W500" s="793">
        <v>-501000</v>
      </c>
      <c r="X500" s="793">
        <v>-477000</v>
      </c>
      <c r="Y500" s="793">
        <v>-486000</v>
      </c>
      <c r="Z500" s="793">
        <v>-500000</v>
      </c>
      <c r="AA500" s="793">
        <v>-546000</v>
      </c>
      <c r="AB500" s="793">
        <v>-433000</v>
      </c>
    </row>
    <row r="501" spans="1:28" ht="13.5" thickBot="1">
      <c r="A501" s="934"/>
      <c r="B501" s="52"/>
      <c r="C501" s="935"/>
      <c r="D501" s="242"/>
      <c r="E501" s="242"/>
      <c r="F501" s="925">
        <f>SUM(F492:F500)</f>
        <v>-38645</v>
      </c>
      <c r="G501" s="925">
        <f t="shared" ref="G501:AA501" si="276">SUM(G492:G500)</f>
        <v>111796</v>
      </c>
      <c r="H501" s="925">
        <f t="shared" si="276"/>
        <v>-54993</v>
      </c>
      <c r="I501" s="925">
        <f t="shared" si="276"/>
        <v>44089</v>
      </c>
      <c r="J501" s="925">
        <f t="shared" si="276"/>
        <v>637555</v>
      </c>
      <c r="K501" s="925">
        <f t="shared" si="276"/>
        <v>101977</v>
      </c>
      <c r="L501" s="925">
        <f t="shared" si="276"/>
        <v>67301</v>
      </c>
      <c r="M501" s="925">
        <f t="shared" si="276"/>
        <v>968984</v>
      </c>
      <c r="N501" s="925">
        <f t="shared" si="276"/>
        <v>1324930</v>
      </c>
      <c r="O501" s="925">
        <f t="shared" si="276"/>
        <v>-197158</v>
      </c>
      <c r="P501" s="925">
        <f t="shared" si="276"/>
        <v>79496</v>
      </c>
      <c r="Q501" s="925">
        <f t="shared" si="276"/>
        <v>786556</v>
      </c>
      <c r="R501" s="925">
        <f t="shared" si="276"/>
        <v>-139382</v>
      </c>
      <c r="S501" s="925">
        <f t="shared" si="276"/>
        <v>-105600</v>
      </c>
      <c r="T501" s="925">
        <f t="shared" si="276"/>
        <v>-137700</v>
      </c>
      <c r="U501" s="925">
        <f t="shared" si="276"/>
        <v>-54000</v>
      </c>
      <c r="V501" s="925">
        <f t="shared" si="276"/>
        <v>114000</v>
      </c>
      <c r="W501" s="925">
        <f t="shared" si="276"/>
        <v>302000</v>
      </c>
      <c r="X501" s="925">
        <f t="shared" si="276"/>
        <v>45000</v>
      </c>
      <c r="Y501" s="925">
        <f t="shared" si="276"/>
        <v>-272000</v>
      </c>
      <c r="Z501" s="925">
        <f t="shared" si="276"/>
        <v>634000</v>
      </c>
      <c r="AA501" s="925">
        <f t="shared" si="276"/>
        <v>-374000</v>
      </c>
      <c r="AB501" s="925">
        <f>SUM(AB492:AB500)</f>
        <v>142000</v>
      </c>
    </row>
    <row r="502" spans="1:28" ht="13.5" thickTop="1">
      <c r="A502" s="934"/>
      <c r="B502" s="52"/>
      <c r="C502" s="935"/>
      <c r="D502" s="242"/>
      <c r="E502" s="242"/>
      <c r="F502" s="793">
        <f>-38645-F501</f>
        <v>0</v>
      </c>
      <c r="G502" s="793">
        <f t="shared" ref="G502:R502" si="277">G483-F483</f>
        <v>111796</v>
      </c>
      <c r="H502" s="793">
        <f t="shared" si="277"/>
        <v>-54992</v>
      </c>
      <c r="I502" s="793">
        <f t="shared" si="277"/>
        <v>44088</v>
      </c>
      <c r="J502" s="793">
        <f t="shared" si="277"/>
        <v>637555</v>
      </c>
      <c r="K502" s="793">
        <f t="shared" si="277"/>
        <v>101977</v>
      </c>
      <c r="L502" s="793">
        <f t="shared" si="277"/>
        <v>67301</v>
      </c>
      <c r="M502" s="793">
        <f t="shared" si="277"/>
        <v>968984</v>
      </c>
      <c r="N502" s="793">
        <f t="shared" si="277"/>
        <v>963726</v>
      </c>
      <c r="O502" s="793">
        <f t="shared" si="277"/>
        <v>-197158</v>
      </c>
      <c r="P502" s="793">
        <f t="shared" si="277"/>
        <v>79496</v>
      </c>
      <c r="Q502" s="793">
        <f t="shared" si="277"/>
        <v>786556</v>
      </c>
      <c r="R502" s="793">
        <f t="shared" si="277"/>
        <v>-139382</v>
      </c>
      <c r="S502" s="793">
        <v>-105600</v>
      </c>
      <c r="T502" s="793">
        <f t="shared" ref="T502:AA502" si="278">T483-S483</f>
        <v>-137700</v>
      </c>
      <c r="U502" s="793">
        <f t="shared" si="278"/>
        <v>-54000</v>
      </c>
      <c r="V502" s="793">
        <f t="shared" si="278"/>
        <v>114000</v>
      </c>
      <c r="W502" s="793">
        <f t="shared" si="278"/>
        <v>302000</v>
      </c>
      <c r="X502" s="793">
        <f t="shared" si="278"/>
        <v>45000</v>
      </c>
      <c r="Y502" s="793">
        <f t="shared" si="278"/>
        <v>-272000</v>
      </c>
      <c r="Z502" s="793">
        <f t="shared" si="278"/>
        <v>634000</v>
      </c>
      <c r="AA502" s="793">
        <f t="shared" si="278"/>
        <v>-374000</v>
      </c>
      <c r="AB502" s="793">
        <f>AB483-AA483+1000</f>
        <v>142000</v>
      </c>
    </row>
    <row r="503" spans="1:28">
      <c r="A503" s="934"/>
      <c r="B503" s="52"/>
      <c r="C503" s="935"/>
      <c r="D503" s="895" t="s">
        <v>5</v>
      </c>
      <c r="E503" s="266"/>
      <c r="F503" s="609"/>
      <c r="G503" s="886">
        <f t="shared" ref="G503:AB503" si="279">G501-G502</f>
        <v>0</v>
      </c>
      <c r="H503" s="1325">
        <f t="shared" si="279"/>
        <v>-1</v>
      </c>
      <c r="I503" s="1326">
        <f t="shared" si="279"/>
        <v>1</v>
      </c>
      <c r="J503" s="886">
        <f t="shared" si="279"/>
        <v>0</v>
      </c>
      <c r="K503" s="886">
        <f t="shared" si="279"/>
        <v>0</v>
      </c>
      <c r="L503" s="886">
        <f t="shared" si="279"/>
        <v>0</v>
      </c>
      <c r="M503" s="886">
        <f t="shared" si="279"/>
        <v>0</v>
      </c>
      <c r="N503" s="1324">
        <f t="shared" si="279"/>
        <v>361204</v>
      </c>
      <c r="O503" s="886">
        <f t="shared" si="279"/>
        <v>0</v>
      </c>
      <c r="P503" s="886">
        <f t="shared" si="279"/>
        <v>0</v>
      </c>
      <c r="Q503" s="886">
        <f t="shared" si="279"/>
        <v>0</v>
      </c>
      <c r="R503" s="886">
        <f t="shared" si="279"/>
        <v>0</v>
      </c>
      <c r="S503" s="886">
        <f t="shared" si="279"/>
        <v>0</v>
      </c>
      <c r="T503" s="886">
        <f t="shared" si="279"/>
        <v>0</v>
      </c>
      <c r="U503" s="886">
        <f t="shared" si="279"/>
        <v>0</v>
      </c>
      <c r="V503" s="886">
        <f t="shared" si="279"/>
        <v>0</v>
      </c>
      <c r="W503" s="886">
        <f t="shared" si="279"/>
        <v>0</v>
      </c>
      <c r="X503" s="886">
        <f t="shared" si="279"/>
        <v>0</v>
      </c>
      <c r="Y503" s="886">
        <f t="shared" si="279"/>
        <v>0</v>
      </c>
      <c r="Z503" s="886">
        <f t="shared" si="279"/>
        <v>0</v>
      </c>
      <c r="AA503" s="886">
        <f t="shared" si="279"/>
        <v>0</v>
      </c>
      <c r="AB503" s="1329">
        <f t="shared" si="279"/>
        <v>0</v>
      </c>
    </row>
    <row r="504" spans="1:28" s="776" customFormat="1">
      <c r="A504" s="934"/>
      <c r="B504" s="52"/>
      <c r="C504" s="935"/>
      <c r="D504" s="895"/>
      <c r="E504" s="266"/>
      <c r="F504" s="73"/>
      <c r="G504" s="173"/>
      <c r="H504" s="186"/>
      <c r="I504" s="186"/>
      <c r="J504" s="173"/>
      <c r="K504" s="173"/>
      <c r="L504" s="173"/>
      <c r="M504" s="173"/>
      <c r="N504" s="186"/>
      <c r="O504" s="173"/>
      <c r="P504" s="173"/>
      <c r="Q504" s="173"/>
      <c r="R504" s="173"/>
      <c r="S504" s="173"/>
      <c r="T504" s="173"/>
      <c r="U504" s="173"/>
      <c r="V504" s="173"/>
      <c r="W504" s="173"/>
      <c r="X504" s="173"/>
      <c r="Y504" s="173"/>
      <c r="Z504" s="173"/>
      <c r="AA504" s="173"/>
      <c r="AB504" s="186"/>
    </row>
    <row r="505" spans="1:28" ht="18">
      <c r="A505" s="799" t="s">
        <v>0</v>
      </c>
      <c r="B505" s="904"/>
      <c r="C505" s="904"/>
      <c r="D505" s="904"/>
      <c r="E505" s="1439" t="s">
        <v>1407</v>
      </c>
      <c r="F505" s="1440"/>
      <c r="G505" s="1440"/>
      <c r="H505" s="1440"/>
      <c r="I505" s="776"/>
      <c r="J505" s="776"/>
      <c r="K505" s="776"/>
      <c r="L505" s="776"/>
      <c r="M505" s="1201"/>
      <c r="N505" s="1201"/>
      <c r="O505" s="914"/>
      <c r="P505" s="915"/>
      <c r="Q505" s="7"/>
      <c r="R505" s="644"/>
      <c r="S505" s="7"/>
      <c r="T505" s="7"/>
      <c r="U505" s="7"/>
      <c r="V505" s="7"/>
      <c r="W505" s="1451" t="s">
        <v>258</v>
      </c>
      <c r="X505" s="1452"/>
      <c r="Y505" s="1452"/>
      <c r="Z505" s="1452"/>
      <c r="AA505" s="1453"/>
      <c r="AB505" s="1405">
        <v>3.1</v>
      </c>
    </row>
    <row r="506" spans="1:28">
      <c r="A506" s="806" t="s">
        <v>259</v>
      </c>
      <c r="B506" s="917"/>
      <c r="C506" s="917"/>
      <c r="D506" s="917"/>
      <c r="E506" s="242"/>
      <c r="F506" s="69">
        <v>0</v>
      </c>
      <c r="G506" s="69">
        <f t="shared" ref="G506:AB506" si="280">F506+1</f>
        <v>1</v>
      </c>
      <c r="H506" s="69">
        <f t="shared" si="280"/>
        <v>2</v>
      </c>
      <c r="I506" s="69">
        <f t="shared" si="280"/>
        <v>3</v>
      </c>
      <c r="J506" s="73">
        <f t="shared" si="280"/>
        <v>4</v>
      </c>
      <c r="K506" s="69">
        <f t="shared" si="280"/>
        <v>5</v>
      </c>
      <c r="L506" s="69">
        <f t="shared" si="280"/>
        <v>6</v>
      </c>
      <c r="M506" s="69">
        <f t="shared" si="280"/>
        <v>7</v>
      </c>
      <c r="N506" s="69">
        <f t="shared" si="280"/>
        <v>8</v>
      </c>
      <c r="O506" s="69">
        <f t="shared" si="280"/>
        <v>9</v>
      </c>
      <c r="P506" s="69">
        <f t="shared" si="280"/>
        <v>10</v>
      </c>
      <c r="Q506" s="69">
        <f t="shared" si="280"/>
        <v>11</v>
      </c>
      <c r="R506" s="69">
        <f t="shared" si="280"/>
        <v>12</v>
      </c>
      <c r="S506" s="69">
        <f t="shared" si="280"/>
        <v>13</v>
      </c>
      <c r="T506" s="73">
        <f t="shared" si="280"/>
        <v>14</v>
      </c>
      <c r="U506" s="69">
        <f t="shared" si="280"/>
        <v>15</v>
      </c>
      <c r="V506" s="69">
        <f t="shared" si="280"/>
        <v>16</v>
      </c>
      <c r="W506" s="69">
        <f t="shared" si="280"/>
        <v>17</v>
      </c>
      <c r="X506" s="69">
        <f t="shared" si="280"/>
        <v>18</v>
      </c>
      <c r="Y506" s="69">
        <f t="shared" si="280"/>
        <v>19</v>
      </c>
      <c r="Z506" s="69">
        <f t="shared" si="280"/>
        <v>20</v>
      </c>
      <c r="AA506" s="69">
        <f t="shared" si="280"/>
        <v>21</v>
      </c>
      <c r="AB506" s="69">
        <f t="shared" si="280"/>
        <v>22</v>
      </c>
    </row>
    <row r="507" spans="1:28">
      <c r="A507" s="52"/>
      <c r="B507" s="776"/>
      <c r="C507" s="776"/>
      <c r="D507" s="1294" t="s">
        <v>32</v>
      </c>
      <c r="E507" s="1294" t="s">
        <v>3</v>
      </c>
      <c r="F507" s="1202">
        <v>1999</v>
      </c>
      <c r="G507" s="1202">
        <f t="shared" ref="G507:M507" si="281">F507+1</f>
        <v>2000</v>
      </c>
      <c r="H507" s="1202">
        <f t="shared" si="281"/>
        <v>2001</v>
      </c>
      <c r="I507" s="1202">
        <f t="shared" si="281"/>
        <v>2002</v>
      </c>
      <c r="J507" s="1202">
        <f t="shared" si="281"/>
        <v>2003</v>
      </c>
      <c r="K507" s="1202">
        <f t="shared" si="281"/>
        <v>2004</v>
      </c>
      <c r="L507" s="1202">
        <f t="shared" si="281"/>
        <v>2005</v>
      </c>
      <c r="M507" s="1202">
        <f t="shared" si="281"/>
        <v>2006</v>
      </c>
      <c r="N507" s="1202">
        <v>2007</v>
      </c>
      <c r="O507" s="1202">
        <f t="shared" ref="O507:AB507" si="282">N507+1</f>
        <v>2008</v>
      </c>
      <c r="P507" s="1202">
        <f t="shared" si="282"/>
        <v>2009</v>
      </c>
      <c r="Q507" s="1202">
        <f t="shared" si="282"/>
        <v>2010</v>
      </c>
      <c r="R507" s="1202">
        <f t="shared" si="282"/>
        <v>2011</v>
      </c>
      <c r="S507" s="1202">
        <f t="shared" si="282"/>
        <v>2012</v>
      </c>
      <c r="T507" s="1202">
        <f t="shared" si="282"/>
        <v>2013</v>
      </c>
      <c r="U507" s="1202">
        <f t="shared" si="282"/>
        <v>2014</v>
      </c>
      <c r="V507" s="1202">
        <f t="shared" si="282"/>
        <v>2015</v>
      </c>
      <c r="W507" s="1202">
        <f t="shared" si="282"/>
        <v>2016</v>
      </c>
      <c r="X507" s="1202">
        <f t="shared" si="282"/>
        <v>2017</v>
      </c>
      <c r="Y507" s="1202">
        <f t="shared" si="282"/>
        <v>2018</v>
      </c>
      <c r="Z507" s="1202">
        <f t="shared" si="282"/>
        <v>2019</v>
      </c>
      <c r="AA507" s="1202">
        <f t="shared" si="282"/>
        <v>2020</v>
      </c>
      <c r="AB507" s="1202">
        <f t="shared" si="282"/>
        <v>2021</v>
      </c>
    </row>
    <row r="508" spans="1:28">
      <c r="A508" s="16" t="s">
        <v>260</v>
      </c>
      <c r="B508" s="4"/>
      <c r="C508" s="4"/>
      <c r="D508" s="4"/>
      <c r="F508" s="793"/>
      <c r="G508" s="793"/>
      <c r="H508" s="793"/>
      <c r="I508" s="793"/>
      <c r="J508" s="793"/>
      <c r="K508" s="793"/>
      <c r="L508" s="793"/>
      <c r="M508" s="793"/>
      <c r="N508" s="793"/>
      <c r="O508" s="793"/>
      <c r="P508" s="793"/>
      <c r="Q508" s="793"/>
      <c r="R508" s="793"/>
      <c r="S508" s="793"/>
      <c r="T508" s="793"/>
      <c r="U508" s="793"/>
      <c r="V508" s="793"/>
      <c r="W508" s="793"/>
      <c r="X508" s="793"/>
      <c r="Y508" s="793"/>
      <c r="Z508" s="52"/>
      <c r="AA508" s="52"/>
      <c r="AB508" s="793"/>
    </row>
    <row r="509" spans="1:28">
      <c r="A509" s="51" t="s">
        <v>261</v>
      </c>
      <c r="B509" s="10"/>
      <c r="C509" s="10"/>
      <c r="D509" s="10"/>
      <c r="F509" s="793"/>
      <c r="G509" s="793"/>
      <c r="H509" s="793"/>
      <c r="I509" s="793"/>
      <c r="J509" s="793"/>
      <c r="K509" s="793"/>
      <c r="L509" s="793"/>
      <c r="M509" s="809"/>
      <c r="N509" s="793"/>
      <c r="O509" s="793"/>
      <c r="P509" s="793"/>
      <c r="Q509" s="793"/>
      <c r="R509" s="793"/>
      <c r="S509" s="793"/>
      <c r="T509" s="793"/>
      <c r="U509" s="793"/>
      <c r="V509" s="793"/>
      <c r="W509" s="793"/>
      <c r="X509" s="793"/>
      <c r="Y509" s="793"/>
      <c r="Z509" s="52"/>
      <c r="AA509" s="52"/>
      <c r="AB509" s="793"/>
    </row>
    <row r="510" spans="1:28">
      <c r="A510" s="776" t="s">
        <v>1296</v>
      </c>
      <c r="B510" s="776"/>
      <c r="C510" s="776"/>
      <c r="D510" s="776"/>
      <c r="F510" s="793">
        <v>75508</v>
      </c>
      <c r="G510" s="793">
        <v>571115</v>
      </c>
      <c r="H510" s="793">
        <v>684384</v>
      </c>
      <c r="I510" s="793">
        <v>1151629</v>
      </c>
      <c r="J510" s="793">
        <v>1304595</v>
      </c>
      <c r="K510" s="793">
        <v>1293813</v>
      </c>
      <c r="L510" s="793">
        <v>1562516</v>
      </c>
      <c r="M510" s="793">
        <v>2177015</v>
      </c>
      <c r="N510" s="793">
        <v>1792846</v>
      </c>
      <c r="O510" s="793">
        <v>2346353</v>
      </c>
      <c r="P510" s="793">
        <v>2171797</v>
      </c>
      <c r="Q510" s="793">
        <v>2050950</v>
      </c>
      <c r="R510" s="793">
        <v>2008888</v>
      </c>
      <c r="S510" s="793">
        <v>2514800</v>
      </c>
      <c r="T510" s="793">
        <v>2390000</v>
      </c>
      <c r="U510" s="793">
        <v>2083000</v>
      </c>
      <c r="V510" s="793">
        <v>2348000</v>
      </c>
      <c r="W510" s="793">
        <v>2348000</v>
      </c>
      <c r="X510" s="793">
        <v>2250000</v>
      </c>
      <c r="Y510" s="793">
        <v>2765000</v>
      </c>
      <c r="Z510" s="793">
        <v>3463000</v>
      </c>
      <c r="AA510" s="793">
        <v>3375000</v>
      </c>
      <c r="AB510" s="793">
        <v>4164000</v>
      </c>
    </row>
    <row r="511" spans="1:28">
      <c r="A511" s="776" t="s">
        <v>262</v>
      </c>
      <c r="B511" s="776"/>
      <c r="C511" s="776"/>
      <c r="D511" s="776"/>
      <c r="F511" s="793"/>
      <c r="G511" s="793"/>
      <c r="H511" s="793"/>
      <c r="I511" s="793"/>
      <c r="J511" s="793"/>
      <c r="K511" s="793">
        <v>0</v>
      </c>
      <c r="L511" s="793">
        <v>8758</v>
      </c>
      <c r="M511" s="793">
        <v>1145</v>
      </c>
      <c r="N511" s="793"/>
      <c r="O511" s="52"/>
      <c r="P511" s="793">
        <v>4345</v>
      </c>
      <c r="Q511" s="793">
        <v>1009</v>
      </c>
      <c r="R511" s="793"/>
      <c r="S511" s="793"/>
      <c r="T511" s="793"/>
      <c r="U511" s="793"/>
      <c r="V511" s="793"/>
      <c r="W511" s="793"/>
      <c r="X511" s="242"/>
      <c r="Y511" s="242"/>
      <c r="Z511" s="242"/>
      <c r="AA511" s="242"/>
      <c r="AB511" s="793"/>
    </row>
    <row r="512" spans="1:28">
      <c r="A512" s="776" t="s">
        <v>263</v>
      </c>
      <c r="B512" s="776"/>
      <c r="C512" s="776"/>
      <c r="D512" s="776"/>
      <c r="F512" s="793">
        <v>575</v>
      </c>
      <c r="G512" s="793">
        <v>2409</v>
      </c>
      <c r="H512" s="793">
        <v>4056</v>
      </c>
      <c r="I512" s="793">
        <v>962</v>
      </c>
      <c r="J512" s="793">
        <v>1431</v>
      </c>
      <c r="K512" s="793">
        <v>6547</v>
      </c>
      <c r="L512" s="793">
        <v>7015</v>
      </c>
      <c r="M512" s="793">
        <v>39488</v>
      </c>
      <c r="N512" s="793">
        <v>10296</v>
      </c>
      <c r="O512" s="793">
        <v>4561</v>
      </c>
      <c r="P512" s="793">
        <v>4600</v>
      </c>
      <c r="Q512" s="793">
        <v>1730</v>
      </c>
      <c r="R512" s="793">
        <v>2787</v>
      </c>
      <c r="S512" s="793">
        <v>7700</v>
      </c>
      <c r="T512" s="793">
        <v>2000</v>
      </c>
      <c r="U512" s="793">
        <v>9000</v>
      </c>
      <c r="V512" s="793">
        <v>8000</v>
      </c>
      <c r="W512" s="793">
        <v>2000</v>
      </c>
      <c r="X512" s="793">
        <v>2000</v>
      </c>
      <c r="Y512" s="793">
        <v>1000</v>
      </c>
      <c r="Z512" s="793">
        <v>1000</v>
      </c>
      <c r="AA512" s="793">
        <v>1000</v>
      </c>
      <c r="AB512" s="793">
        <v>0</v>
      </c>
    </row>
    <row r="513" spans="1:28">
      <c r="A513" s="776" t="s">
        <v>264</v>
      </c>
      <c r="B513" s="776"/>
      <c r="C513" s="776"/>
      <c r="D513" s="776"/>
      <c r="F513" s="892"/>
      <c r="G513" s="892"/>
      <c r="H513" s="892"/>
      <c r="I513" s="892"/>
      <c r="J513" s="892"/>
      <c r="K513" s="892"/>
      <c r="L513" s="892"/>
      <c r="M513" s="892"/>
      <c r="N513" s="892"/>
      <c r="O513" s="892"/>
      <c r="P513" s="892"/>
      <c r="Q513" s="892"/>
      <c r="R513" s="892">
        <v>33</v>
      </c>
      <c r="S513" s="892">
        <v>200</v>
      </c>
      <c r="T513" s="892">
        <v>100</v>
      </c>
      <c r="U513" s="892"/>
      <c r="V513" s="892"/>
      <c r="W513" s="892"/>
      <c r="X513" s="892"/>
      <c r="Y513" s="892"/>
      <c r="Z513" s="892"/>
      <c r="AA513" s="892"/>
      <c r="AB513" s="892"/>
    </row>
    <row r="514" spans="1:28">
      <c r="A514" s="776"/>
      <c r="B514" s="776"/>
      <c r="C514" s="776"/>
      <c r="D514" s="776"/>
      <c r="F514" s="793">
        <f t="shared" ref="F514:AB514" si="283">SUM(F510:F513)</f>
        <v>76083</v>
      </c>
      <c r="G514" s="793">
        <f t="shared" si="283"/>
        <v>573524</v>
      </c>
      <c r="H514" s="793">
        <f t="shared" si="283"/>
        <v>688440</v>
      </c>
      <c r="I514" s="793">
        <f t="shared" si="283"/>
        <v>1152591</v>
      </c>
      <c r="J514" s="793">
        <f t="shared" si="283"/>
        <v>1306026</v>
      </c>
      <c r="K514" s="793">
        <f t="shared" si="283"/>
        <v>1300360</v>
      </c>
      <c r="L514" s="793">
        <f t="shared" si="283"/>
        <v>1578289</v>
      </c>
      <c r="M514" s="793">
        <f t="shared" si="283"/>
        <v>2217648</v>
      </c>
      <c r="N514" s="793">
        <f t="shared" si="283"/>
        <v>1803142</v>
      </c>
      <c r="O514" s="793">
        <f t="shared" si="283"/>
        <v>2350914</v>
      </c>
      <c r="P514" s="793">
        <f t="shared" si="283"/>
        <v>2180742</v>
      </c>
      <c r="Q514" s="793">
        <f t="shared" si="283"/>
        <v>2053689</v>
      </c>
      <c r="R514" s="793">
        <f t="shared" si="283"/>
        <v>2011708</v>
      </c>
      <c r="S514" s="793">
        <f t="shared" si="283"/>
        <v>2522700</v>
      </c>
      <c r="T514" s="793">
        <f t="shared" si="283"/>
        <v>2392100</v>
      </c>
      <c r="U514" s="793">
        <f t="shared" si="283"/>
        <v>2092000</v>
      </c>
      <c r="V514" s="793">
        <f t="shared" si="283"/>
        <v>2356000</v>
      </c>
      <c r="W514" s="793">
        <f t="shared" si="283"/>
        <v>2350000</v>
      </c>
      <c r="X514" s="793">
        <f t="shared" si="283"/>
        <v>2252000</v>
      </c>
      <c r="Y514" s="793">
        <f t="shared" si="283"/>
        <v>2766000</v>
      </c>
      <c r="Z514" s="793">
        <f t="shared" si="283"/>
        <v>3464000</v>
      </c>
      <c r="AA514" s="793">
        <f t="shared" si="283"/>
        <v>3376000</v>
      </c>
      <c r="AB514" s="793">
        <f t="shared" si="283"/>
        <v>4164000</v>
      </c>
    </row>
    <row r="515" spans="1:28">
      <c r="A515" s="1" t="s">
        <v>265</v>
      </c>
      <c r="B515" s="776"/>
      <c r="C515" s="776"/>
      <c r="D515" s="776"/>
      <c r="F515" s="793"/>
      <c r="G515" s="793"/>
      <c r="H515" s="793"/>
      <c r="I515" s="793"/>
      <c r="J515" s="793"/>
      <c r="K515" s="793"/>
      <c r="L515" s="793"/>
      <c r="M515" s="793"/>
      <c r="N515" s="793"/>
      <c r="O515" s="793"/>
      <c r="P515" s="793"/>
      <c r="Q515" s="793"/>
      <c r="R515" s="793"/>
      <c r="S515" s="793"/>
      <c r="T515" s="793"/>
      <c r="U515" s="793"/>
      <c r="V515" s="793"/>
      <c r="W515" s="793"/>
      <c r="X515" s="793"/>
      <c r="Y515" s="793"/>
      <c r="Z515" s="793"/>
      <c r="AA515" s="793"/>
      <c r="AB515" s="793"/>
    </row>
    <row r="516" spans="1:28">
      <c r="A516" s="776" t="s">
        <v>266</v>
      </c>
      <c r="B516" s="776"/>
      <c r="C516" s="776"/>
      <c r="D516" s="776"/>
      <c r="F516" s="793">
        <v>-2552</v>
      </c>
      <c r="G516" s="793">
        <v>-27422</v>
      </c>
      <c r="H516" s="793">
        <v>-21566</v>
      </c>
      <c r="I516" s="793">
        <v>-33877</v>
      </c>
      <c r="J516" s="793">
        <v>-57697</v>
      </c>
      <c r="K516" s="793">
        <v>-81940</v>
      </c>
      <c r="L516" s="793">
        <v>-94155</v>
      </c>
      <c r="M516" s="793">
        <v>-68969</v>
      </c>
      <c r="N516" s="793">
        <v>-44113</v>
      </c>
      <c r="O516" s="793">
        <v>-57826</v>
      </c>
      <c r="P516" s="793">
        <v>-71608</v>
      </c>
      <c r="Q516" s="793">
        <v>-80512</v>
      </c>
      <c r="R516" s="793">
        <v>-105034</v>
      </c>
      <c r="S516" s="793">
        <v>-91200</v>
      </c>
      <c r="T516" s="793">
        <v>-106500</v>
      </c>
      <c r="U516" s="793">
        <v>-80000</v>
      </c>
      <c r="V516" s="793">
        <v>-78000</v>
      </c>
      <c r="W516" s="793">
        <v>-75000</v>
      </c>
      <c r="X516" s="793">
        <v>-75000</v>
      </c>
      <c r="Y516" s="793">
        <v>-79000</v>
      </c>
      <c r="Z516" s="793">
        <v>-77000</v>
      </c>
      <c r="AA516" s="793">
        <v>-79000</v>
      </c>
      <c r="AB516" s="793">
        <v>-82000</v>
      </c>
    </row>
    <row r="517" spans="1:28">
      <c r="A517" s="776" t="s">
        <v>1336</v>
      </c>
      <c r="B517" s="776"/>
      <c r="C517" s="776"/>
      <c r="D517" s="776"/>
      <c r="F517" s="793">
        <v>7566</v>
      </c>
      <c r="G517" s="793">
        <v>-19634</v>
      </c>
      <c r="H517" s="793">
        <v>-25602</v>
      </c>
      <c r="I517" s="793">
        <v>-4027</v>
      </c>
      <c r="J517" s="793">
        <v>-750</v>
      </c>
      <c r="K517" s="793">
        <v>-4125</v>
      </c>
      <c r="L517" s="793"/>
      <c r="M517" s="793"/>
      <c r="N517" s="793">
        <v>-45</v>
      </c>
      <c r="O517" s="793">
        <v>-967</v>
      </c>
      <c r="P517" s="793">
        <v>0</v>
      </c>
      <c r="Q517" s="793"/>
      <c r="R517" s="793"/>
      <c r="S517" s="793"/>
      <c r="T517" s="793"/>
      <c r="U517" s="793">
        <v>-99000</v>
      </c>
      <c r="V517" s="793">
        <v>-96000</v>
      </c>
      <c r="W517" s="793">
        <v>-100000</v>
      </c>
      <c r="X517" s="793">
        <v>-111000</v>
      </c>
      <c r="Y517" s="793">
        <v>-108000</v>
      </c>
      <c r="Z517" s="793">
        <v>-124000</v>
      </c>
      <c r="AA517" s="793">
        <v>-173000</v>
      </c>
      <c r="AB517" s="793">
        <v>-179000</v>
      </c>
    </row>
    <row r="518" spans="1:28">
      <c r="A518" s="776" t="s">
        <v>267</v>
      </c>
      <c r="B518" s="776"/>
      <c r="C518" s="776"/>
      <c r="D518" s="776"/>
      <c r="F518" s="793">
        <v>-10000</v>
      </c>
      <c r="G518" s="793">
        <v>-31167</v>
      </c>
      <c r="H518" s="793">
        <v>-40100</v>
      </c>
      <c r="I518" s="793">
        <v>-31186</v>
      </c>
      <c r="J518" s="793">
        <v>-32811</v>
      </c>
      <c r="K518" s="793">
        <v>-57923</v>
      </c>
      <c r="L518" s="793">
        <v>-80388</v>
      </c>
      <c r="M518" s="793">
        <v>-103170</v>
      </c>
      <c r="N518" s="793">
        <v>-111570</v>
      </c>
      <c r="O518" s="793">
        <v>-59588</v>
      </c>
      <c r="P518" s="793">
        <v>-38102</v>
      </c>
      <c r="Q518" s="793">
        <v>-100881</v>
      </c>
      <c r="R518" s="793">
        <v>-116178</v>
      </c>
      <c r="S518" s="793">
        <v>-60400</v>
      </c>
      <c r="T518" s="793">
        <v>-57100</v>
      </c>
      <c r="U518" s="793"/>
      <c r="V518" s="793"/>
      <c r="W518" s="793"/>
      <c r="X518" s="242"/>
      <c r="Y518" s="242"/>
      <c r="Z518" s="242"/>
      <c r="AA518" s="242"/>
      <c r="AB518" s="793"/>
    </row>
    <row r="519" spans="1:28">
      <c r="A519" s="776" t="s">
        <v>268</v>
      </c>
      <c r="B519" s="776"/>
      <c r="C519" s="776"/>
      <c r="D519" s="776"/>
      <c r="F519" s="793">
        <v>-41384</v>
      </c>
      <c r="G519" s="793">
        <v>-287338</v>
      </c>
      <c r="H519" s="793">
        <v>-367842</v>
      </c>
      <c r="I519" s="793">
        <v>-1049644</v>
      </c>
      <c r="J519" s="793">
        <v>-930770</v>
      </c>
      <c r="K519" s="793">
        <v>-847527</v>
      </c>
      <c r="L519" s="793">
        <v>-1058610</v>
      </c>
      <c r="M519" s="793">
        <v>-1755320</v>
      </c>
      <c r="N519" s="793">
        <v>-1297235</v>
      </c>
      <c r="O519" s="793">
        <v>-1889904</v>
      </c>
      <c r="P519" s="793">
        <v>-1757508</v>
      </c>
      <c r="Q519" s="793">
        <v>-1420472</v>
      </c>
      <c r="R519" s="793">
        <v>-1421788</v>
      </c>
      <c r="S519" s="793">
        <v>-2048900</v>
      </c>
      <c r="T519" s="793">
        <v>-1811800</v>
      </c>
      <c r="U519" s="793">
        <v>-1480000</v>
      </c>
      <c r="V519" s="793">
        <v>-1742000</v>
      </c>
      <c r="W519" s="793">
        <v>-1723000</v>
      </c>
      <c r="X519" s="793">
        <v>-1596000</v>
      </c>
      <c r="Y519" s="793">
        <v>-2152000</v>
      </c>
      <c r="Z519" s="793">
        <v>-2628000</v>
      </c>
      <c r="AA519" s="793">
        <v>-2519000</v>
      </c>
      <c r="AB519" s="793">
        <v>-3472000</v>
      </c>
    </row>
    <row r="520" spans="1:28">
      <c r="A520" s="10"/>
      <c r="B520" s="10"/>
      <c r="C520" s="10"/>
      <c r="D520" s="10"/>
      <c r="E520" s="10"/>
      <c r="F520" s="892"/>
      <c r="G520" s="892"/>
      <c r="H520" s="892"/>
      <c r="I520" s="892"/>
      <c r="J520" s="892"/>
      <c r="K520" s="892"/>
      <c r="L520" s="892"/>
      <c r="M520" s="892"/>
      <c r="N520" s="892"/>
      <c r="O520" s="892"/>
      <c r="P520" s="892"/>
      <c r="Q520" s="892"/>
      <c r="R520" s="892"/>
      <c r="S520" s="892"/>
      <c r="T520" s="892"/>
      <c r="U520" s="892"/>
      <c r="V520" s="892"/>
      <c r="W520" s="892"/>
      <c r="X520" s="892"/>
      <c r="Y520" s="892"/>
      <c r="Z520" s="892"/>
      <c r="AA520" s="892"/>
      <c r="AB520" s="892"/>
    </row>
    <row r="521" spans="1:28">
      <c r="A521" s="776"/>
      <c r="B521" s="776"/>
      <c r="C521" s="776"/>
      <c r="D521" s="776"/>
      <c r="F521" s="793">
        <f t="shared" ref="F521:AB521" si="284">SUM(F516:F520)</f>
        <v>-46370</v>
      </c>
      <c r="G521" s="793">
        <f t="shared" si="284"/>
        <v>-365561</v>
      </c>
      <c r="H521" s="793">
        <f t="shared" si="284"/>
        <v>-455110</v>
      </c>
      <c r="I521" s="793">
        <f t="shared" si="284"/>
        <v>-1118734</v>
      </c>
      <c r="J521" s="793">
        <f t="shared" si="284"/>
        <v>-1022028</v>
      </c>
      <c r="K521" s="793">
        <f t="shared" si="284"/>
        <v>-991515</v>
      </c>
      <c r="L521" s="793">
        <f t="shared" si="284"/>
        <v>-1233153</v>
      </c>
      <c r="M521" s="793">
        <f t="shared" si="284"/>
        <v>-1927459</v>
      </c>
      <c r="N521" s="793">
        <f t="shared" si="284"/>
        <v>-1452963</v>
      </c>
      <c r="O521" s="793">
        <f t="shared" si="284"/>
        <v>-2008285</v>
      </c>
      <c r="P521" s="793">
        <f t="shared" si="284"/>
        <v>-1867218</v>
      </c>
      <c r="Q521" s="793">
        <f t="shared" si="284"/>
        <v>-1601865</v>
      </c>
      <c r="R521" s="793">
        <f t="shared" si="284"/>
        <v>-1643000</v>
      </c>
      <c r="S521" s="793">
        <f t="shared" si="284"/>
        <v>-2200500</v>
      </c>
      <c r="T521" s="793">
        <f t="shared" si="284"/>
        <v>-1975400</v>
      </c>
      <c r="U521" s="793">
        <f t="shared" si="284"/>
        <v>-1659000</v>
      </c>
      <c r="V521" s="793">
        <f t="shared" si="284"/>
        <v>-1916000</v>
      </c>
      <c r="W521" s="793">
        <f t="shared" si="284"/>
        <v>-1898000</v>
      </c>
      <c r="X521" s="793">
        <f t="shared" si="284"/>
        <v>-1782000</v>
      </c>
      <c r="Y521" s="793">
        <f t="shared" si="284"/>
        <v>-2339000</v>
      </c>
      <c r="Z521" s="793">
        <f t="shared" si="284"/>
        <v>-2829000</v>
      </c>
      <c r="AA521" s="793">
        <f t="shared" si="284"/>
        <v>-2771000</v>
      </c>
      <c r="AB521" s="793">
        <f t="shared" si="284"/>
        <v>-3733000</v>
      </c>
    </row>
    <row r="522" spans="1:28">
      <c r="A522" s="776"/>
      <c r="B522" s="776"/>
      <c r="C522" s="776"/>
      <c r="D522" s="776"/>
      <c r="F522" s="793"/>
      <c r="G522" s="793"/>
      <c r="H522" s="793"/>
      <c r="I522" s="793"/>
      <c r="J522" s="793"/>
      <c r="K522" s="793"/>
      <c r="L522" s="793"/>
      <c r="M522" s="793"/>
      <c r="N522" s="793"/>
      <c r="O522" s="793"/>
      <c r="P522" s="793"/>
      <c r="Q522" s="793"/>
      <c r="R522" s="793"/>
      <c r="S522" s="793"/>
      <c r="T522" s="793"/>
      <c r="U522" s="793"/>
      <c r="V522" s="793"/>
      <c r="W522" s="793"/>
      <c r="X522" s="793"/>
      <c r="Y522" s="793"/>
      <c r="Z522" s="793"/>
      <c r="AA522" s="793"/>
      <c r="AB522" s="793"/>
    </row>
    <row r="523" spans="1:28">
      <c r="A523" s="1" t="s">
        <v>269</v>
      </c>
      <c r="B523" s="776"/>
      <c r="C523" s="776"/>
      <c r="D523" s="776"/>
      <c r="F523" s="899">
        <f t="shared" ref="F523:AB523" si="285">F514+F521</f>
        <v>29713</v>
      </c>
      <c r="G523" s="899">
        <f t="shared" si="285"/>
        <v>207963</v>
      </c>
      <c r="H523" s="899">
        <f t="shared" si="285"/>
        <v>233330</v>
      </c>
      <c r="I523" s="899">
        <f t="shared" si="285"/>
        <v>33857</v>
      </c>
      <c r="J523" s="899">
        <f t="shared" si="285"/>
        <v>283998</v>
      </c>
      <c r="K523" s="899">
        <f t="shared" si="285"/>
        <v>308845</v>
      </c>
      <c r="L523" s="899">
        <f t="shared" si="285"/>
        <v>345136</v>
      </c>
      <c r="M523" s="899">
        <f t="shared" si="285"/>
        <v>290189</v>
      </c>
      <c r="N523" s="899">
        <f t="shared" si="285"/>
        <v>350179</v>
      </c>
      <c r="O523" s="899">
        <f t="shared" si="285"/>
        <v>342629</v>
      </c>
      <c r="P523" s="899">
        <f t="shared" si="285"/>
        <v>313524</v>
      </c>
      <c r="Q523" s="899">
        <f t="shared" si="285"/>
        <v>451824</v>
      </c>
      <c r="R523" s="899">
        <f t="shared" si="285"/>
        <v>368708</v>
      </c>
      <c r="S523" s="899">
        <f t="shared" si="285"/>
        <v>322200</v>
      </c>
      <c r="T523" s="899">
        <f t="shared" si="285"/>
        <v>416700</v>
      </c>
      <c r="U523" s="899">
        <f t="shared" si="285"/>
        <v>433000</v>
      </c>
      <c r="V523" s="899">
        <f t="shared" si="285"/>
        <v>440000</v>
      </c>
      <c r="W523" s="899">
        <f t="shared" si="285"/>
        <v>452000</v>
      </c>
      <c r="X523" s="899">
        <f t="shared" si="285"/>
        <v>470000</v>
      </c>
      <c r="Y523" s="899">
        <f t="shared" si="285"/>
        <v>427000</v>
      </c>
      <c r="Z523" s="899">
        <f t="shared" si="285"/>
        <v>635000</v>
      </c>
      <c r="AA523" s="899">
        <f t="shared" si="285"/>
        <v>605000</v>
      </c>
      <c r="AB523" s="899">
        <f t="shared" si="285"/>
        <v>431000</v>
      </c>
    </row>
    <row r="524" spans="1:28">
      <c r="A524" s="1"/>
      <c r="B524" s="776"/>
      <c r="C524" s="776"/>
      <c r="D524" s="776"/>
      <c r="F524" s="793"/>
      <c r="G524" s="793"/>
      <c r="H524" s="793"/>
      <c r="I524" s="793"/>
      <c r="J524" s="793"/>
      <c r="K524" s="793"/>
      <c r="L524" s="793"/>
      <c r="M524" s="793"/>
      <c r="N524" s="793"/>
      <c r="O524" s="793"/>
      <c r="P524" s="793"/>
      <c r="Q524" s="793"/>
      <c r="R524" s="793"/>
      <c r="S524" s="793"/>
      <c r="T524" s="793"/>
      <c r="U524" s="793"/>
      <c r="V524" s="793"/>
      <c r="W524" s="793"/>
      <c r="X524" s="793"/>
      <c r="Y524" s="793"/>
      <c r="Z524" s="793"/>
      <c r="AA524" s="793"/>
      <c r="AB524" s="793"/>
    </row>
    <row r="525" spans="1:28">
      <c r="A525" s="16" t="s">
        <v>270</v>
      </c>
      <c r="B525" s="4"/>
      <c r="C525" s="4"/>
      <c r="D525" s="4"/>
      <c r="F525" s="793"/>
      <c r="G525" s="793"/>
      <c r="H525" s="793"/>
      <c r="I525" s="793"/>
      <c r="J525" s="793"/>
      <c r="K525" s="793"/>
      <c r="L525" s="793"/>
      <c r="M525" s="793"/>
      <c r="N525" s="793"/>
      <c r="O525" s="793"/>
      <c r="P525" s="793"/>
      <c r="Q525" s="793"/>
      <c r="R525" s="793"/>
      <c r="S525" s="793"/>
      <c r="T525" s="793"/>
      <c r="U525" s="793"/>
      <c r="V525" s="793"/>
      <c r="W525" s="793"/>
      <c r="X525" s="793"/>
      <c r="Y525" s="793"/>
      <c r="Z525" s="793"/>
      <c r="AA525" s="793"/>
      <c r="AB525" s="793"/>
    </row>
    <row r="526" spans="1:28">
      <c r="A526" s="1" t="s">
        <v>261</v>
      </c>
      <c r="B526" s="776"/>
      <c r="C526" s="776"/>
      <c r="D526" s="776"/>
      <c r="F526" s="793"/>
      <c r="G526" s="793"/>
      <c r="H526" s="793"/>
      <c r="I526" s="793"/>
      <c r="J526" s="793"/>
      <c r="K526" s="793"/>
      <c r="L526" s="793"/>
      <c r="M526" s="793"/>
      <c r="N526" s="793"/>
      <c r="O526" s="793"/>
      <c r="P526" s="793"/>
      <c r="Q526" s="793"/>
      <c r="R526" s="793"/>
      <c r="S526" s="793"/>
      <c r="T526" s="793"/>
      <c r="U526" s="793"/>
      <c r="V526" s="793"/>
      <c r="W526" s="793"/>
      <c r="X526" s="793"/>
      <c r="Y526" s="793"/>
      <c r="Z526" s="793"/>
      <c r="AA526" s="793"/>
      <c r="AB526" s="793"/>
    </row>
    <row r="527" spans="1:28">
      <c r="A527" s="776" t="s">
        <v>271</v>
      </c>
      <c r="B527" s="776"/>
      <c r="C527" s="776"/>
      <c r="D527" s="776"/>
      <c r="F527" s="793"/>
      <c r="G527" s="793"/>
      <c r="H527" s="793"/>
      <c r="I527" s="793"/>
      <c r="J527" s="793"/>
      <c r="K527" s="793">
        <v>0</v>
      </c>
      <c r="L527" s="793">
        <v>0</v>
      </c>
      <c r="M527" s="793">
        <v>1492766</v>
      </c>
      <c r="N527" s="793">
        <v>0</v>
      </c>
      <c r="O527" s="793">
        <v>0</v>
      </c>
      <c r="P527" s="793">
        <v>0</v>
      </c>
      <c r="Q527" s="793">
        <v>0</v>
      </c>
      <c r="R527" s="793">
        <v>0</v>
      </c>
      <c r="S527" s="793">
        <v>0</v>
      </c>
      <c r="T527" s="793">
        <v>0</v>
      </c>
      <c r="U527" s="793">
        <v>0</v>
      </c>
      <c r="V527" s="793">
        <v>0</v>
      </c>
      <c r="W527" s="793">
        <v>0</v>
      </c>
      <c r="X527" s="793">
        <v>1000</v>
      </c>
      <c r="Y527" s="793">
        <v>0</v>
      </c>
      <c r="Z527" s="793">
        <v>0</v>
      </c>
      <c r="AA527" s="793">
        <v>0</v>
      </c>
      <c r="AB527" s="793">
        <v>0</v>
      </c>
    </row>
    <row r="528" spans="1:28">
      <c r="A528" s="776" t="s">
        <v>272</v>
      </c>
      <c r="B528" s="776"/>
      <c r="C528" s="776"/>
      <c r="D528" s="776"/>
      <c r="F528" s="793">
        <v>84489</v>
      </c>
      <c r="G528" s="793">
        <v>1139</v>
      </c>
      <c r="H528" s="793">
        <v>211</v>
      </c>
      <c r="I528" s="793">
        <v>178</v>
      </c>
      <c r="J528" s="793">
        <v>178</v>
      </c>
      <c r="K528" s="793">
        <v>172</v>
      </c>
      <c r="L528" s="793">
        <v>3741</v>
      </c>
      <c r="M528" s="793">
        <v>5314</v>
      </c>
      <c r="N528" s="793">
        <v>9664</v>
      </c>
      <c r="O528" s="793">
        <v>1095</v>
      </c>
      <c r="P528" s="793">
        <v>19876</v>
      </c>
      <c r="Q528" s="793">
        <v>11092</v>
      </c>
      <c r="R528" s="793">
        <v>821735</v>
      </c>
      <c r="S528" s="793">
        <v>3200</v>
      </c>
      <c r="T528" s="793">
        <v>600</v>
      </c>
      <c r="U528" s="793">
        <v>41000</v>
      </c>
      <c r="V528" s="793">
        <v>19000</v>
      </c>
      <c r="W528" s="793">
        <v>0</v>
      </c>
      <c r="X528" s="793">
        <v>0</v>
      </c>
      <c r="Y528" s="793">
        <v>23000</v>
      </c>
      <c r="Z528" s="793">
        <v>0</v>
      </c>
      <c r="AA528" s="793">
        <v>0</v>
      </c>
      <c r="AB528" s="793">
        <v>0</v>
      </c>
    </row>
    <row r="529" spans="1:28">
      <c r="A529" s="80" t="s">
        <v>1297</v>
      </c>
      <c r="B529" s="776"/>
      <c r="C529" s="776"/>
      <c r="D529" s="776"/>
      <c r="F529" s="793"/>
      <c r="G529" s="793"/>
      <c r="H529" s="793"/>
      <c r="I529" s="793"/>
      <c r="J529" s="793"/>
      <c r="K529" s="793"/>
      <c r="L529" s="793"/>
      <c r="M529" s="793"/>
      <c r="N529" s="793"/>
      <c r="O529" s="793"/>
      <c r="P529" s="793"/>
      <c r="Q529" s="793"/>
      <c r="R529" s="793">
        <v>140</v>
      </c>
      <c r="S529" s="793">
        <v>0</v>
      </c>
      <c r="T529" s="793">
        <v>151200</v>
      </c>
      <c r="U529" s="793">
        <v>21000</v>
      </c>
      <c r="V529" s="793">
        <v>29000</v>
      </c>
      <c r="W529" s="793">
        <v>5000</v>
      </c>
      <c r="X529" s="793">
        <v>1000</v>
      </c>
      <c r="Y529" s="793"/>
      <c r="Z529" s="793"/>
      <c r="AA529" s="793"/>
      <c r="AB529" s="793"/>
    </row>
    <row r="530" spans="1:28">
      <c r="A530" s="80" t="s">
        <v>302</v>
      </c>
      <c r="B530" s="776"/>
      <c r="C530" s="776"/>
      <c r="D530" s="776"/>
      <c r="F530" s="793"/>
      <c r="G530" s="793"/>
      <c r="H530" s="793"/>
      <c r="I530" s="793"/>
      <c r="J530" s="793"/>
      <c r="K530" s="793"/>
      <c r="L530" s="793"/>
      <c r="M530" s="793"/>
      <c r="N530" s="793"/>
      <c r="O530" s="793"/>
      <c r="P530" s="793"/>
      <c r="Q530" s="793"/>
      <c r="R530" s="793">
        <v>8398</v>
      </c>
      <c r="S530" s="793">
        <v>600</v>
      </c>
      <c r="T530" s="793">
        <v>0</v>
      </c>
      <c r="U530" s="793">
        <v>0</v>
      </c>
      <c r="V530" s="793">
        <v>0</v>
      </c>
      <c r="W530" s="793">
        <v>0</v>
      </c>
      <c r="X530" s="793">
        <v>0</v>
      </c>
      <c r="Y530" s="793">
        <v>0</v>
      </c>
      <c r="Z530" s="793">
        <v>0</v>
      </c>
      <c r="AA530" s="793">
        <v>0</v>
      </c>
      <c r="AB530" s="793">
        <v>0</v>
      </c>
    </row>
    <row r="531" spans="1:28">
      <c r="A531" s="80" t="s">
        <v>1293</v>
      </c>
      <c r="B531" s="776"/>
      <c r="C531" s="776"/>
      <c r="D531" s="776"/>
      <c r="F531" s="793"/>
      <c r="G531" s="793"/>
      <c r="H531" s="793"/>
      <c r="I531" s="793"/>
      <c r="J531" s="793"/>
      <c r="K531" s="793"/>
      <c r="L531" s="793"/>
      <c r="M531" s="793"/>
      <c r="N531" s="793"/>
      <c r="O531" s="793"/>
      <c r="P531" s="793">
        <v>22</v>
      </c>
      <c r="Q531" s="793"/>
      <c r="R531" s="793"/>
      <c r="S531" s="793"/>
      <c r="T531" s="793">
        <v>0</v>
      </c>
      <c r="U531" s="793">
        <v>0</v>
      </c>
      <c r="V531" s="793">
        <v>0</v>
      </c>
      <c r="W531" s="793">
        <v>0</v>
      </c>
      <c r="X531" s="793">
        <v>0</v>
      </c>
      <c r="Y531" s="793">
        <v>0</v>
      </c>
      <c r="Z531" s="793">
        <v>0</v>
      </c>
      <c r="AA531" s="793">
        <v>0</v>
      </c>
      <c r="AB531" s="793">
        <v>0</v>
      </c>
    </row>
    <row r="532" spans="1:28">
      <c r="A532" s="80" t="s">
        <v>1294</v>
      </c>
      <c r="B532" s="776"/>
      <c r="C532" s="776"/>
      <c r="D532" s="776"/>
      <c r="F532" s="793"/>
      <c r="G532" s="793"/>
      <c r="H532" s="793"/>
      <c r="I532" s="793"/>
      <c r="J532" s="793"/>
      <c r="K532" s="793">
        <v>0</v>
      </c>
      <c r="L532" s="793">
        <v>303</v>
      </c>
      <c r="M532" s="793">
        <v>2181</v>
      </c>
      <c r="N532" s="793">
        <v>192</v>
      </c>
      <c r="O532" s="793">
        <v>2540</v>
      </c>
      <c r="P532" s="793">
        <v>3612</v>
      </c>
      <c r="Q532" s="793">
        <v>924</v>
      </c>
      <c r="R532" s="793">
        <v>0</v>
      </c>
      <c r="S532" s="793">
        <v>0</v>
      </c>
      <c r="T532" s="793">
        <v>800</v>
      </c>
      <c r="U532" s="793">
        <v>0</v>
      </c>
      <c r="V532" s="793">
        <v>0</v>
      </c>
      <c r="W532" s="793">
        <v>0</v>
      </c>
      <c r="X532" s="793">
        <v>0</v>
      </c>
      <c r="Y532" s="793">
        <v>0</v>
      </c>
      <c r="Z532" s="793">
        <v>0</v>
      </c>
      <c r="AA532" s="793">
        <v>0</v>
      </c>
      <c r="AB532" s="793">
        <v>0</v>
      </c>
    </row>
    <row r="533" spans="1:28">
      <c r="A533" s="776" t="s">
        <v>273</v>
      </c>
      <c r="B533" s="776"/>
      <c r="C533" s="776"/>
      <c r="D533" s="776"/>
      <c r="F533" s="67"/>
      <c r="G533" s="67"/>
      <c r="H533" s="67"/>
      <c r="I533" s="67"/>
      <c r="J533" s="67"/>
      <c r="K533" s="67"/>
      <c r="L533" s="67"/>
      <c r="M533" s="67"/>
      <c r="N533" s="67"/>
      <c r="O533" s="67"/>
      <c r="P533" s="67"/>
      <c r="Q533" s="67"/>
      <c r="R533" s="67"/>
      <c r="S533" s="74"/>
      <c r="T533" s="74"/>
      <c r="U533" s="74"/>
      <c r="V533" s="74"/>
      <c r="W533" s="74"/>
      <c r="X533" s="74"/>
      <c r="Y533" s="74"/>
      <c r="Z533" s="74"/>
      <c r="AA533" s="74"/>
      <c r="AB533" s="892"/>
    </row>
    <row r="534" spans="1:28">
      <c r="A534" s="1"/>
      <c r="B534" s="776"/>
      <c r="C534" s="776"/>
      <c r="D534" s="776"/>
      <c r="F534" s="893">
        <f t="shared" ref="F534:AB534" si="286">SUM(F527:F533)</f>
        <v>84489</v>
      </c>
      <c r="G534" s="893">
        <f t="shared" si="286"/>
        <v>1139</v>
      </c>
      <c r="H534" s="893">
        <f t="shared" si="286"/>
        <v>211</v>
      </c>
      <c r="I534" s="893">
        <f t="shared" si="286"/>
        <v>178</v>
      </c>
      <c r="J534" s="893">
        <f t="shared" si="286"/>
        <v>178</v>
      </c>
      <c r="K534" s="893">
        <f t="shared" si="286"/>
        <v>172</v>
      </c>
      <c r="L534" s="793">
        <f t="shared" si="286"/>
        <v>4044</v>
      </c>
      <c r="M534" s="793">
        <f t="shared" si="286"/>
        <v>1500261</v>
      </c>
      <c r="N534" s="793">
        <f t="shared" si="286"/>
        <v>9856</v>
      </c>
      <c r="O534" s="793">
        <f t="shared" si="286"/>
        <v>3635</v>
      </c>
      <c r="P534" s="793">
        <f t="shared" si="286"/>
        <v>23510</v>
      </c>
      <c r="Q534" s="793">
        <f t="shared" si="286"/>
        <v>12016</v>
      </c>
      <c r="R534" s="793">
        <f t="shared" si="286"/>
        <v>830273</v>
      </c>
      <c r="S534" s="793">
        <f t="shared" si="286"/>
        <v>3800</v>
      </c>
      <c r="T534" s="793">
        <f t="shared" si="286"/>
        <v>152600</v>
      </c>
      <c r="U534" s="793">
        <f t="shared" si="286"/>
        <v>62000</v>
      </c>
      <c r="V534" s="793">
        <f t="shared" si="286"/>
        <v>48000</v>
      </c>
      <c r="W534" s="793">
        <f t="shared" si="286"/>
        <v>5000</v>
      </c>
      <c r="X534" s="793">
        <f t="shared" si="286"/>
        <v>2000</v>
      </c>
      <c r="Y534" s="793">
        <f t="shared" si="286"/>
        <v>23000</v>
      </c>
      <c r="Z534" s="793">
        <f t="shared" si="286"/>
        <v>0</v>
      </c>
      <c r="AA534" s="793">
        <f t="shared" si="286"/>
        <v>0</v>
      </c>
      <c r="AB534" s="793">
        <f t="shared" si="286"/>
        <v>0</v>
      </c>
    </row>
    <row r="535" spans="1:28">
      <c r="A535" s="1" t="s">
        <v>265</v>
      </c>
      <c r="B535" s="776"/>
      <c r="C535" s="776"/>
      <c r="D535" s="776"/>
      <c r="F535" s="793"/>
      <c r="G535" s="793"/>
      <c r="H535" s="793"/>
      <c r="I535" s="793"/>
      <c r="J535" s="793"/>
      <c r="K535" s="793"/>
      <c r="L535" s="52"/>
      <c r="M535" s="52"/>
      <c r="N535" s="52"/>
      <c r="O535" s="52"/>
      <c r="P535" s="52"/>
      <c r="Q535" s="52"/>
      <c r="R535" s="52"/>
      <c r="S535" s="793"/>
      <c r="T535" s="793"/>
      <c r="U535" s="793"/>
      <c r="V535" s="793"/>
      <c r="W535" s="793"/>
      <c r="X535" s="242"/>
      <c r="Y535" s="242"/>
      <c r="Z535" s="242"/>
      <c r="AA535" s="242"/>
      <c r="AB535" s="793"/>
    </row>
    <row r="536" spans="1:28">
      <c r="A536" s="776" t="s">
        <v>274</v>
      </c>
      <c r="B536" s="776"/>
      <c r="C536" s="776"/>
      <c r="D536" s="776"/>
      <c r="F536" s="793">
        <v>-23918</v>
      </c>
      <c r="G536" s="793">
        <v>-61344</v>
      </c>
      <c r="H536" s="793">
        <v>-90300</v>
      </c>
      <c r="I536" s="793">
        <v>-65084</v>
      </c>
      <c r="J536" s="793">
        <v>-563240</v>
      </c>
      <c r="K536" s="793">
        <v>-185318</v>
      </c>
      <c r="L536" s="793">
        <v>-308181</v>
      </c>
      <c r="M536" s="793">
        <v>-75980</v>
      </c>
      <c r="N536" s="793">
        <v>-184016</v>
      </c>
      <c r="O536" s="793">
        <v>-264488</v>
      </c>
      <c r="P536" s="793">
        <v>-465621</v>
      </c>
      <c r="Q536" s="793">
        <v>-196944</v>
      </c>
      <c r="R536" s="793">
        <v>-248122</v>
      </c>
      <c r="S536" s="793">
        <v>-510400</v>
      </c>
      <c r="T536" s="793">
        <v>-244800</v>
      </c>
      <c r="U536" s="793">
        <v>-284000</v>
      </c>
      <c r="V536" s="793">
        <v>-131000</v>
      </c>
      <c r="W536" s="793">
        <v>-42000</v>
      </c>
      <c r="X536" s="793">
        <v>-33000</v>
      </c>
      <c r="Y536" s="793">
        <v>-33000</v>
      </c>
      <c r="Z536" s="793">
        <v>-45000</v>
      </c>
      <c r="AA536" s="793">
        <v>-43000</v>
      </c>
      <c r="AB536" s="793">
        <v>-76000</v>
      </c>
    </row>
    <row r="537" spans="1:28">
      <c r="A537" s="776" t="s">
        <v>275</v>
      </c>
      <c r="B537" s="776"/>
      <c r="C537" s="776"/>
      <c r="D537" s="776"/>
      <c r="F537" s="793">
        <v>0</v>
      </c>
      <c r="G537" s="793">
        <v>-19838</v>
      </c>
      <c r="H537" s="793">
        <v>-18412</v>
      </c>
      <c r="I537" s="793">
        <v>-17661</v>
      </c>
      <c r="J537" s="793">
        <v>-1310</v>
      </c>
      <c r="K537" s="793">
        <v>-2278</v>
      </c>
      <c r="L537" s="793">
        <v>0</v>
      </c>
      <c r="M537" s="793">
        <v>-2003</v>
      </c>
      <c r="N537" s="793">
        <v>-1258</v>
      </c>
      <c r="O537" s="793">
        <v>-7183</v>
      </c>
      <c r="P537" s="793">
        <v>-18460</v>
      </c>
      <c r="Q537" s="793">
        <v>-10082</v>
      </c>
      <c r="R537" s="793">
        <v>-4253</v>
      </c>
      <c r="S537" s="793">
        <v>-6500</v>
      </c>
      <c r="T537" s="793">
        <v>-5700</v>
      </c>
      <c r="U537" s="793">
        <v>-9000</v>
      </c>
      <c r="V537" s="793">
        <v>0</v>
      </c>
      <c r="W537" s="793">
        <v>0</v>
      </c>
      <c r="X537" s="793">
        <v>0</v>
      </c>
      <c r="Y537" s="793">
        <v>0</v>
      </c>
      <c r="Z537" s="793">
        <v>0</v>
      </c>
      <c r="AA537" s="793">
        <v>0</v>
      </c>
      <c r="AB537" s="793">
        <v>0</v>
      </c>
    </row>
    <row r="538" spans="1:28">
      <c r="A538" s="776" t="s">
        <v>276</v>
      </c>
      <c r="B538" s="776"/>
      <c r="C538" s="776"/>
      <c r="D538" s="776"/>
      <c r="F538" s="793"/>
      <c r="G538" s="793"/>
      <c r="H538" s="793"/>
      <c r="I538" s="793"/>
      <c r="J538" s="793"/>
      <c r="K538" s="793"/>
      <c r="L538" s="793"/>
      <c r="M538" s="793"/>
      <c r="N538" s="793">
        <v>-13138</v>
      </c>
      <c r="O538" s="793">
        <v>0</v>
      </c>
      <c r="P538" s="793">
        <v>0</v>
      </c>
      <c r="Q538" s="793">
        <v>0</v>
      </c>
      <c r="R538" s="793">
        <v>0</v>
      </c>
      <c r="S538" s="793">
        <v>0</v>
      </c>
      <c r="T538" s="793">
        <v>0</v>
      </c>
      <c r="U538" s="793">
        <v>0</v>
      </c>
      <c r="V538" s="793">
        <v>0</v>
      </c>
      <c r="W538" s="793">
        <v>0</v>
      </c>
      <c r="X538" s="793">
        <v>0</v>
      </c>
      <c r="Y538" s="793">
        <v>0</v>
      </c>
      <c r="Z538" s="793">
        <v>0</v>
      </c>
      <c r="AA538" s="793">
        <v>0</v>
      </c>
      <c r="AB538" s="793">
        <v>0</v>
      </c>
    </row>
    <row r="539" spans="1:28">
      <c r="A539" s="776" t="s">
        <v>277</v>
      </c>
      <c r="B539" s="776"/>
      <c r="C539" s="776"/>
      <c r="D539" s="776"/>
      <c r="F539" s="793"/>
      <c r="G539" s="793"/>
      <c r="H539" s="793"/>
      <c r="I539" s="793">
        <v>0</v>
      </c>
      <c r="J539" s="793">
        <v>-195477</v>
      </c>
      <c r="K539" s="793">
        <v>-2562</v>
      </c>
      <c r="L539" s="793">
        <v>-1903</v>
      </c>
      <c r="M539" s="52">
        <v>0</v>
      </c>
      <c r="N539" s="793">
        <v>-211</v>
      </c>
      <c r="O539" s="793">
        <v>0</v>
      </c>
      <c r="P539" s="793">
        <v>-14553</v>
      </c>
      <c r="Q539" s="793">
        <v>-17523</v>
      </c>
      <c r="R539" s="793">
        <v>-12457</v>
      </c>
      <c r="S539" s="793">
        <v>-8300</v>
      </c>
      <c r="T539" s="793">
        <v>-25900</v>
      </c>
      <c r="U539" s="793">
        <v>-22000</v>
      </c>
      <c r="V539" s="793">
        <v>-15000</v>
      </c>
      <c r="W539" s="793">
        <v>-18000</v>
      </c>
      <c r="X539" s="793">
        <v>-21000</v>
      </c>
      <c r="Y539" s="793">
        <v>-22000</v>
      </c>
      <c r="Z539" s="793">
        <v>-24000</v>
      </c>
      <c r="AA539" s="793">
        <v>-20000</v>
      </c>
      <c r="AB539" s="793">
        <v>-38000</v>
      </c>
    </row>
    <row r="540" spans="1:28">
      <c r="A540" s="776" t="s">
        <v>1292</v>
      </c>
      <c r="B540" s="776"/>
      <c r="C540" s="776"/>
      <c r="D540" s="776"/>
      <c r="F540" s="793"/>
      <c r="G540" s="793"/>
      <c r="H540" s="793"/>
      <c r="I540" s="793"/>
      <c r="J540" s="793"/>
      <c r="K540" s="793"/>
      <c r="L540" s="793"/>
      <c r="M540" s="52"/>
      <c r="N540" s="793"/>
      <c r="O540" s="793"/>
      <c r="P540" s="793">
        <v>-1630</v>
      </c>
      <c r="Q540" s="793">
        <v>-8</v>
      </c>
      <c r="R540" s="793">
        <v>-7789</v>
      </c>
      <c r="S540" s="793">
        <v>-3400</v>
      </c>
      <c r="T540" s="793">
        <v>-300</v>
      </c>
      <c r="U540" s="793">
        <v>-1000</v>
      </c>
      <c r="V540" s="793">
        <v>-1000</v>
      </c>
      <c r="W540" s="793">
        <v>-1000</v>
      </c>
      <c r="X540" s="793">
        <v>0</v>
      </c>
      <c r="Y540" s="793">
        <v>0</v>
      </c>
      <c r="Z540" s="793">
        <v>0</v>
      </c>
      <c r="AA540" s="793">
        <v>0</v>
      </c>
      <c r="AB540" s="793">
        <v>0</v>
      </c>
    </row>
    <row r="541" spans="1:28">
      <c r="A541" s="776" t="s">
        <v>278</v>
      </c>
      <c r="B541" s="776"/>
      <c r="C541" s="776"/>
      <c r="D541" s="776"/>
      <c r="F541" s="793"/>
      <c r="G541" s="793">
        <v>-3594</v>
      </c>
      <c r="H541" s="793">
        <v>-6639</v>
      </c>
      <c r="I541" s="793">
        <v>-3440</v>
      </c>
      <c r="J541" s="793">
        <v>-2648</v>
      </c>
      <c r="K541" s="793">
        <v>-10107</v>
      </c>
      <c r="L541" s="793">
        <v>-10791</v>
      </c>
      <c r="M541" s="793">
        <v>-6700</v>
      </c>
      <c r="N541" s="793">
        <v>-588</v>
      </c>
      <c r="O541" s="793">
        <v>-3507</v>
      </c>
      <c r="P541" s="793"/>
      <c r="Q541" s="793">
        <v>-245828</v>
      </c>
      <c r="R541" s="793">
        <v>0</v>
      </c>
      <c r="S541" s="793">
        <v>0</v>
      </c>
      <c r="T541" s="793">
        <v>0</v>
      </c>
      <c r="U541" s="793">
        <v>0</v>
      </c>
      <c r="V541" s="793">
        <v>0</v>
      </c>
      <c r="W541" s="793">
        <v>0</v>
      </c>
      <c r="X541" s="793">
        <v>0</v>
      </c>
      <c r="Y541" s="793">
        <v>-182000</v>
      </c>
      <c r="Z541" s="793">
        <v>0</v>
      </c>
      <c r="AA541" s="793">
        <v>-2000</v>
      </c>
      <c r="AB541" s="793">
        <v>0</v>
      </c>
    </row>
    <row r="542" spans="1:28">
      <c r="A542" s="776" t="s">
        <v>1300</v>
      </c>
      <c r="B542" s="776"/>
      <c r="C542" s="776"/>
      <c r="D542" s="776"/>
      <c r="F542" s="793"/>
      <c r="G542" s="793"/>
      <c r="H542" s="793"/>
      <c r="I542" s="793">
        <v>0</v>
      </c>
      <c r="J542" s="793">
        <v>-1162</v>
      </c>
      <c r="K542" s="793">
        <v>-728</v>
      </c>
      <c r="L542" s="793"/>
      <c r="M542" s="793"/>
      <c r="N542" s="793"/>
      <c r="O542" s="793"/>
      <c r="P542" s="793"/>
      <c r="Q542" s="793"/>
      <c r="R542" s="793"/>
      <c r="S542" s="793"/>
      <c r="T542" s="793"/>
      <c r="U542" s="793"/>
      <c r="V542" s="793"/>
      <c r="W542" s="793"/>
      <c r="X542" s="793"/>
      <c r="Y542" s="793"/>
      <c r="Z542" s="793"/>
      <c r="AA542" s="793"/>
      <c r="AB542" s="793"/>
    </row>
    <row r="543" spans="1:28">
      <c r="A543" s="776" t="s">
        <v>1301</v>
      </c>
      <c r="B543" s="776"/>
      <c r="C543" s="776"/>
      <c r="D543" s="776"/>
      <c r="F543" s="793"/>
      <c r="G543" s="793">
        <v>-2103</v>
      </c>
      <c r="H543" s="793">
        <v>-1478</v>
      </c>
      <c r="I543" s="793">
        <v>-37118</v>
      </c>
      <c r="J543" s="793">
        <v>-247</v>
      </c>
      <c r="K543" s="793">
        <v>-326</v>
      </c>
      <c r="L543" s="793"/>
      <c r="M543" s="793"/>
      <c r="N543" s="793"/>
      <c r="O543" s="793"/>
      <c r="P543" s="793"/>
      <c r="Q543" s="793"/>
      <c r="R543" s="793"/>
      <c r="S543" s="793"/>
      <c r="T543" s="793"/>
      <c r="U543" s="793"/>
      <c r="V543" s="793"/>
      <c r="W543" s="793"/>
      <c r="X543" s="793"/>
      <c r="Y543" s="793"/>
      <c r="Z543" s="793"/>
      <c r="AA543" s="793"/>
      <c r="AB543" s="793"/>
    </row>
    <row r="544" spans="1:28">
      <c r="A544" s="776" t="s">
        <v>1303</v>
      </c>
      <c r="B544" s="776"/>
      <c r="C544" s="776"/>
      <c r="D544" s="776"/>
      <c r="F544" s="793">
        <v>-2074903</v>
      </c>
      <c r="G544" s="793">
        <v>0</v>
      </c>
      <c r="H544" s="793">
        <v>-107127</v>
      </c>
      <c r="I544" s="793"/>
      <c r="J544" s="793"/>
      <c r="K544" s="793"/>
      <c r="L544" s="793"/>
      <c r="M544" s="793"/>
      <c r="N544" s="793"/>
      <c r="O544" s="793"/>
      <c r="P544" s="793"/>
      <c r="Q544" s="793"/>
      <c r="R544" s="793"/>
      <c r="S544" s="793"/>
      <c r="T544" s="793"/>
      <c r="U544" s="793"/>
      <c r="V544" s="793"/>
      <c r="W544" s="793"/>
      <c r="X544" s="793"/>
      <c r="Y544" s="793"/>
      <c r="Z544" s="793"/>
      <c r="AA544" s="793"/>
      <c r="AB544" s="793"/>
    </row>
    <row r="545" spans="1:28">
      <c r="A545" s="776" t="s">
        <v>1302</v>
      </c>
      <c r="B545" s="776"/>
      <c r="C545" s="776"/>
      <c r="D545" s="776"/>
      <c r="F545" s="793"/>
      <c r="G545" s="793"/>
      <c r="H545" s="793"/>
      <c r="I545" s="793"/>
      <c r="J545" s="793"/>
      <c r="K545" s="793"/>
      <c r="L545" s="793"/>
      <c r="M545" s="793"/>
      <c r="N545" s="793"/>
      <c r="O545" s="793"/>
      <c r="P545" s="793"/>
      <c r="Q545" s="793"/>
      <c r="R545" s="793"/>
      <c r="S545" s="793"/>
      <c r="T545" s="793"/>
      <c r="U545" s="793"/>
      <c r="V545" s="793"/>
      <c r="W545" s="793"/>
      <c r="X545" s="793"/>
      <c r="Y545" s="793"/>
      <c r="Z545" s="793"/>
      <c r="AA545" s="793"/>
      <c r="AB545" s="793"/>
    </row>
    <row r="546" spans="1:28">
      <c r="A546" s="776" t="s">
        <v>1295</v>
      </c>
      <c r="B546" s="776"/>
      <c r="C546" s="776"/>
      <c r="D546" s="776"/>
      <c r="F546" s="67"/>
      <c r="G546" s="67"/>
      <c r="H546" s="67"/>
      <c r="I546" s="67"/>
      <c r="J546" s="67"/>
      <c r="K546" s="67"/>
      <c r="L546" s="67"/>
      <c r="M546" s="67"/>
      <c r="N546" s="892"/>
      <c r="O546" s="892"/>
      <c r="P546" s="892"/>
      <c r="Q546" s="892"/>
      <c r="R546" s="892"/>
      <c r="S546" s="892"/>
      <c r="T546" s="892"/>
      <c r="U546" s="892"/>
      <c r="V546" s="892"/>
      <c r="W546" s="892"/>
      <c r="X546" s="892">
        <v>0</v>
      </c>
      <c r="Y546" s="892">
        <v>-10000</v>
      </c>
      <c r="Z546" s="892"/>
      <c r="AA546" s="892"/>
      <c r="AB546" s="892"/>
    </row>
    <row r="547" spans="1:28">
      <c r="A547" s="776"/>
      <c r="B547" s="776"/>
      <c r="C547" s="776"/>
      <c r="D547" s="776"/>
      <c r="F547" s="793">
        <f t="shared" ref="F547:AB547" si="287">SUM(F536:F546)</f>
        <v>-2098821</v>
      </c>
      <c r="G547" s="793">
        <f t="shared" si="287"/>
        <v>-86879</v>
      </c>
      <c r="H547" s="793">
        <f t="shared" si="287"/>
        <v>-223956</v>
      </c>
      <c r="I547" s="793">
        <f t="shared" si="287"/>
        <v>-123303</v>
      </c>
      <c r="J547" s="793">
        <f t="shared" si="287"/>
        <v>-764084</v>
      </c>
      <c r="K547" s="793">
        <f t="shared" si="287"/>
        <v>-201319</v>
      </c>
      <c r="L547" s="793">
        <f t="shared" si="287"/>
        <v>-320875</v>
      </c>
      <c r="M547" s="793">
        <f t="shared" si="287"/>
        <v>-84683</v>
      </c>
      <c r="N547" s="793">
        <f t="shared" si="287"/>
        <v>-199211</v>
      </c>
      <c r="O547" s="793">
        <f t="shared" si="287"/>
        <v>-275178</v>
      </c>
      <c r="P547" s="793">
        <f t="shared" si="287"/>
        <v>-500264</v>
      </c>
      <c r="Q547" s="793">
        <f t="shared" si="287"/>
        <v>-470385</v>
      </c>
      <c r="R547" s="793">
        <f t="shared" si="287"/>
        <v>-272621</v>
      </c>
      <c r="S547" s="793">
        <f t="shared" si="287"/>
        <v>-528600</v>
      </c>
      <c r="T547" s="793">
        <f t="shared" si="287"/>
        <v>-276700</v>
      </c>
      <c r="U547" s="793">
        <f t="shared" si="287"/>
        <v>-316000</v>
      </c>
      <c r="V547" s="793">
        <f t="shared" si="287"/>
        <v>-147000</v>
      </c>
      <c r="W547" s="793">
        <f t="shared" si="287"/>
        <v>-61000</v>
      </c>
      <c r="X547" s="793">
        <f t="shared" si="287"/>
        <v>-54000</v>
      </c>
      <c r="Y547" s="793">
        <f t="shared" si="287"/>
        <v>-247000</v>
      </c>
      <c r="Z547" s="793">
        <f t="shared" si="287"/>
        <v>-69000</v>
      </c>
      <c r="AA547" s="793">
        <f t="shared" si="287"/>
        <v>-65000</v>
      </c>
      <c r="AB547" s="793">
        <f t="shared" si="287"/>
        <v>-114000</v>
      </c>
    </row>
    <row r="548" spans="1:28">
      <c r="A548" s="1"/>
      <c r="B548" s="776"/>
      <c r="C548" s="776"/>
      <c r="D548" s="776"/>
      <c r="F548" s="793"/>
      <c r="G548" s="793"/>
      <c r="H548" s="793"/>
      <c r="I548" s="793"/>
      <c r="J548" s="793"/>
      <c r="K548" s="793"/>
      <c r="L548" s="793"/>
      <c r="M548" s="793"/>
      <c r="N548" s="793"/>
      <c r="O548" s="793"/>
      <c r="P548" s="793"/>
      <c r="Q548" s="793"/>
      <c r="R548" s="793"/>
      <c r="S548" s="793"/>
      <c r="T548" s="793"/>
      <c r="U548" s="793"/>
      <c r="V548" s="793"/>
      <c r="W548" s="793"/>
      <c r="X548" s="793"/>
      <c r="Y548" s="793"/>
      <c r="Z548" s="793"/>
      <c r="AA548" s="793"/>
      <c r="AB548" s="793"/>
    </row>
    <row r="549" spans="1:28">
      <c r="A549" s="1" t="s">
        <v>279</v>
      </c>
      <c r="B549" s="776"/>
      <c r="C549" s="776"/>
      <c r="D549" s="776"/>
      <c r="F549" s="899">
        <f t="shared" ref="F549:AB549" si="288">F534-F547</f>
        <v>2183310</v>
      </c>
      <c r="G549" s="899">
        <f t="shared" si="288"/>
        <v>88018</v>
      </c>
      <c r="H549" s="899">
        <f t="shared" si="288"/>
        <v>224167</v>
      </c>
      <c r="I549" s="899">
        <f t="shared" si="288"/>
        <v>123481</v>
      </c>
      <c r="J549" s="899">
        <f t="shared" si="288"/>
        <v>764262</v>
      </c>
      <c r="K549" s="899">
        <f t="shared" si="288"/>
        <v>201491</v>
      </c>
      <c r="L549" s="899">
        <f t="shared" si="288"/>
        <v>324919</v>
      </c>
      <c r="M549" s="899">
        <f t="shared" si="288"/>
        <v>1584944</v>
      </c>
      <c r="N549" s="899">
        <f t="shared" si="288"/>
        <v>209067</v>
      </c>
      <c r="O549" s="899">
        <f t="shared" si="288"/>
        <v>278813</v>
      </c>
      <c r="P549" s="899">
        <f t="shared" si="288"/>
        <v>523774</v>
      </c>
      <c r="Q549" s="899">
        <f t="shared" si="288"/>
        <v>482401</v>
      </c>
      <c r="R549" s="899">
        <f t="shared" si="288"/>
        <v>1102894</v>
      </c>
      <c r="S549" s="899">
        <f t="shared" si="288"/>
        <v>532400</v>
      </c>
      <c r="T549" s="899">
        <f t="shared" si="288"/>
        <v>429300</v>
      </c>
      <c r="U549" s="899">
        <f t="shared" si="288"/>
        <v>378000</v>
      </c>
      <c r="V549" s="899">
        <f t="shared" si="288"/>
        <v>195000</v>
      </c>
      <c r="W549" s="899">
        <f t="shared" si="288"/>
        <v>66000</v>
      </c>
      <c r="X549" s="899">
        <f t="shared" si="288"/>
        <v>56000</v>
      </c>
      <c r="Y549" s="899">
        <f t="shared" si="288"/>
        <v>270000</v>
      </c>
      <c r="Z549" s="899">
        <f t="shared" si="288"/>
        <v>69000</v>
      </c>
      <c r="AA549" s="899">
        <f t="shared" si="288"/>
        <v>65000</v>
      </c>
      <c r="AB549" s="899">
        <f t="shared" si="288"/>
        <v>114000</v>
      </c>
    </row>
    <row r="550" spans="1:28">
      <c r="A550" s="776"/>
      <c r="B550" s="776"/>
      <c r="C550" s="776"/>
      <c r="D550" s="776"/>
      <c r="F550" s="793"/>
      <c r="G550" s="793"/>
      <c r="H550" s="793"/>
      <c r="I550" s="793"/>
      <c r="J550" s="793"/>
      <c r="K550" s="793"/>
      <c r="L550" s="793"/>
      <c r="M550" s="793"/>
      <c r="N550" s="793"/>
      <c r="O550" s="793"/>
      <c r="P550" s="793"/>
      <c r="Q550" s="793"/>
      <c r="R550" s="793"/>
      <c r="S550" s="793"/>
      <c r="T550" s="793"/>
      <c r="U550" s="793"/>
      <c r="V550" s="793"/>
      <c r="W550" s="793"/>
      <c r="X550" s="793"/>
      <c r="Y550" s="793"/>
      <c r="Z550" s="793"/>
      <c r="AA550" s="793"/>
      <c r="AB550" s="793"/>
    </row>
    <row r="551" spans="1:28">
      <c r="A551" s="51" t="s">
        <v>280</v>
      </c>
      <c r="B551" s="776"/>
      <c r="C551" s="776"/>
      <c r="D551" s="776"/>
      <c r="F551" s="793"/>
      <c r="G551" s="793"/>
      <c r="H551" s="793"/>
      <c r="I551" s="793"/>
      <c r="J551" s="793"/>
      <c r="K551" s="793"/>
      <c r="L551" s="52"/>
      <c r="M551" s="52"/>
      <c r="N551" s="52"/>
      <c r="O551" s="52"/>
      <c r="P551" s="52"/>
      <c r="Q551" s="52"/>
      <c r="R551" s="52"/>
      <c r="S551" s="793"/>
      <c r="T551" s="793"/>
      <c r="U551" s="793"/>
      <c r="V551" s="793"/>
      <c r="W551" s="793"/>
      <c r="X551" s="242"/>
      <c r="Y551" s="242"/>
      <c r="Z551" s="242"/>
      <c r="AA551" s="242"/>
      <c r="AB551" s="793"/>
    </row>
    <row r="552" spans="1:28">
      <c r="A552" s="776" t="s">
        <v>281</v>
      </c>
      <c r="B552" s="776"/>
      <c r="C552" s="776"/>
      <c r="D552" s="776"/>
      <c r="F552" s="793"/>
      <c r="G552" s="793">
        <v>0</v>
      </c>
      <c r="H552" s="793">
        <f>100371+903</f>
        <v>101274</v>
      </c>
      <c r="I552" s="793">
        <f>84500+416429</f>
        <v>500929</v>
      </c>
      <c r="J552" s="793">
        <f>607369+95156</f>
        <v>702525</v>
      </c>
      <c r="K552" s="793">
        <v>523388</v>
      </c>
      <c r="L552" s="793">
        <v>211831</v>
      </c>
      <c r="M552" s="793">
        <v>0</v>
      </c>
      <c r="N552" s="793">
        <v>0</v>
      </c>
      <c r="O552" s="793">
        <v>250000</v>
      </c>
      <c r="P552" s="793">
        <v>575790</v>
      </c>
      <c r="Q552" s="793">
        <v>564281</v>
      </c>
      <c r="R552" s="793">
        <v>537123</v>
      </c>
      <c r="S552" s="793">
        <v>943400</v>
      </c>
      <c r="T552" s="793">
        <v>1115900</v>
      </c>
      <c r="U552" s="793">
        <v>134000</v>
      </c>
      <c r="V552" s="793">
        <v>366000</v>
      </c>
      <c r="W552" s="793">
        <v>634000</v>
      </c>
      <c r="X552" s="793">
        <v>158000</v>
      </c>
      <c r="Y552" s="793">
        <v>462000</v>
      </c>
      <c r="Z552" s="793">
        <v>439000</v>
      </c>
      <c r="AA552" s="793">
        <v>172000</v>
      </c>
      <c r="AB552" s="793">
        <v>108000</v>
      </c>
    </row>
    <row r="553" spans="1:28">
      <c r="A553" s="776"/>
      <c r="B553" s="776"/>
      <c r="C553" s="776"/>
      <c r="D553" s="776"/>
      <c r="F553" s="793"/>
      <c r="G553" s="793"/>
      <c r="H553" s="793"/>
      <c r="I553" s="793"/>
      <c r="J553" s="793"/>
      <c r="K553" s="793"/>
      <c r="L553" s="793"/>
      <c r="M553" s="793"/>
      <c r="N553" s="793"/>
      <c r="O553" s="793"/>
      <c r="P553" s="793"/>
      <c r="Q553" s="793"/>
      <c r="R553" s="793"/>
      <c r="S553" s="793"/>
      <c r="T553" s="793"/>
      <c r="U553" s="793"/>
      <c r="V553" s="793"/>
      <c r="W553" s="793"/>
      <c r="X553" s="793"/>
      <c r="Y553" s="793"/>
      <c r="Z553" s="793"/>
      <c r="AA553" s="793"/>
      <c r="AB553" s="793"/>
    </row>
    <row r="554" spans="1:28">
      <c r="A554" s="776" t="s">
        <v>282</v>
      </c>
      <c r="B554" s="776"/>
      <c r="C554" s="776"/>
      <c r="D554" s="776"/>
      <c r="F554" s="793">
        <v>0</v>
      </c>
      <c r="G554" s="793">
        <v>-49510</v>
      </c>
      <c r="H554" s="793">
        <v>-23198</v>
      </c>
      <c r="I554" s="793">
        <v>-281049</v>
      </c>
      <c r="J554" s="793">
        <v>-100012</v>
      </c>
      <c r="K554" s="793">
        <f>-564761-17400</f>
        <v>-582161</v>
      </c>
      <c r="L554" s="793">
        <v>-154741</v>
      </c>
      <c r="M554" s="793">
        <v>-615364</v>
      </c>
      <c r="N554" s="793">
        <v>0</v>
      </c>
      <c r="O554" s="793">
        <v>0</v>
      </c>
      <c r="P554" s="793">
        <v>-406425</v>
      </c>
      <c r="Q554" s="793">
        <v>-197727</v>
      </c>
      <c r="R554" s="793">
        <v>-465488</v>
      </c>
      <c r="S554" s="793">
        <v>-753900</v>
      </c>
      <c r="T554" s="793">
        <v>-1117400</v>
      </c>
      <c r="U554" s="793">
        <v>-154000</v>
      </c>
      <c r="V554" s="793">
        <v>-527000</v>
      </c>
      <c r="W554" s="793">
        <v>-478000</v>
      </c>
      <c r="X554" s="793">
        <v>-136000</v>
      </c>
      <c r="Y554" s="793">
        <v>-200000</v>
      </c>
      <c r="Z554" s="793">
        <v>-484000</v>
      </c>
      <c r="AA554" s="793">
        <v>-60000</v>
      </c>
      <c r="AB554" s="793">
        <v>-10000</v>
      </c>
    </row>
    <row r="555" spans="1:28">
      <c r="A555" s="776" t="s">
        <v>283</v>
      </c>
      <c r="B555" s="776"/>
      <c r="C555" s="776"/>
      <c r="D555" s="776"/>
      <c r="F555" s="793"/>
      <c r="G555" s="793"/>
      <c r="H555" s="793"/>
      <c r="I555" s="793"/>
      <c r="J555" s="793"/>
      <c r="K555" s="793"/>
      <c r="L555" s="793"/>
      <c r="M555" s="793"/>
      <c r="N555" s="793"/>
      <c r="O555" s="793"/>
      <c r="P555" s="793"/>
      <c r="Q555" s="793"/>
      <c r="R555" s="793"/>
      <c r="S555" s="793"/>
      <c r="T555" s="793"/>
      <c r="U555" s="793"/>
      <c r="V555" s="793">
        <v>0</v>
      </c>
      <c r="W555" s="793">
        <v>-1000</v>
      </c>
      <c r="X555" s="793">
        <v>-1000</v>
      </c>
      <c r="Y555" s="793">
        <v>-1000</v>
      </c>
      <c r="Z555" s="793">
        <v>-1000</v>
      </c>
      <c r="AA555" s="793">
        <v>-7000</v>
      </c>
      <c r="AB555" s="793">
        <v>-7000</v>
      </c>
    </row>
    <row r="556" spans="1:28">
      <c r="A556" s="776" t="s">
        <v>256</v>
      </c>
      <c r="B556" s="776"/>
      <c r="C556" s="776"/>
      <c r="D556" s="776"/>
      <c r="E556" s="10"/>
      <c r="F556" s="793">
        <v>-49033</v>
      </c>
      <c r="G556" s="793">
        <v>-132910</v>
      </c>
      <c r="H556" s="793">
        <v>-68394</v>
      </c>
      <c r="I556" s="793">
        <v>-173479</v>
      </c>
      <c r="J556" s="793">
        <v>-77230</v>
      </c>
      <c r="K556" s="793"/>
      <c r="L556" s="793">
        <v>-148830</v>
      </c>
      <c r="M556" s="793">
        <v>-879406</v>
      </c>
      <c r="N556" s="793">
        <v>-367893</v>
      </c>
      <c r="O556" s="793">
        <v>-297897</v>
      </c>
      <c r="P556" s="793">
        <v>-30000</v>
      </c>
      <c r="Q556" s="793">
        <v>-353492</v>
      </c>
      <c r="R556" s="793">
        <v>-683644</v>
      </c>
      <c r="S556" s="793">
        <v>-140700</v>
      </c>
      <c r="T556" s="793">
        <v>-99800</v>
      </c>
      <c r="U556" s="793">
        <v>-261000</v>
      </c>
      <c r="V556" s="793">
        <v>-385000</v>
      </c>
      <c r="W556" s="793">
        <v>-501000</v>
      </c>
      <c r="X556" s="793">
        <v>-477000</v>
      </c>
      <c r="Y556" s="793">
        <v>-486000</v>
      </c>
      <c r="Z556" s="793">
        <v>-500000</v>
      </c>
      <c r="AA556" s="793">
        <v>-546000</v>
      </c>
      <c r="AB556" s="793">
        <v>-433000</v>
      </c>
    </row>
    <row r="557" spans="1:28">
      <c r="A557" s="776" t="s">
        <v>284</v>
      </c>
      <c r="B557" s="776"/>
      <c r="C557" s="776"/>
      <c r="D557" s="776"/>
      <c r="F557" s="52"/>
      <c r="G557" s="52"/>
      <c r="H557" s="52"/>
      <c r="I557" s="52"/>
      <c r="J557" s="52"/>
      <c r="K557" s="69"/>
      <c r="L557" s="793"/>
      <c r="M557" s="899"/>
      <c r="N557" s="899"/>
      <c r="O557" s="899"/>
      <c r="P557" s="899"/>
      <c r="Q557" s="899"/>
      <c r="R557" s="899"/>
      <c r="S557" s="899"/>
      <c r="T557" s="793">
        <v>0</v>
      </c>
      <c r="U557" s="793">
        <v>-1000</v>
      </c>
      <c r="V557" s="793">
        <v>-2000</v>
      </c>
      <c r="W557" s="793">
        <v>-1000</v>
      </c>
      <c r="X557" s="793"/>
      <c r="Y557" s="793"/>
      <c r="Z557" s="793">
        <v>0</v>
      </c>
      <c r="AA557" s="793">
        <v>-2000</v>
      </c>
      <c r="AB557" s="793">
        <v>-3000</v>
      </c>
    </row>
    <row r="558" spans="1:28">
      <c r="A558" s="776" t="s">
        <v>1304</v>
      </c>
      <c r="B558" s="776"/>
      <c r="C558" s="776"/>
      <c r="D558" s="776"/>
      <c r="E558" s="10"/>
      <c r="F558" s="793">
        <v>1600000</v>
      </c>
      <c r="G558" s="793"/>
      <c r="H558" s="793"/>
      <c r="I558" s="793"/>
      <c r="J558" s="793"/>
      <c r="K558" s="793"/>
      <c r="L558" s="793"/>
      <c r="M558" s="793"/>
      <c r="N558" s="793"/>
      <c r="O558" s="793"/>
      <c r="P558" s="793"/>
      <c r="Q558" s="793"/>
      <c r="R558" s="793"/>
      <c r="S558" s="793"/>
      <c r="T558" s="793"/>
      <c r="U558" s="793"/>
      <c r="V558" s="793"/>
      <c r="W558" s="793"/>
      <c r="X558" s="793"/>
      <c r="Y558" s="793"/>
      <c r="Z558" s="793"/>
      <c r="AA558" s="793"/>
      <c r="AB558" s="793"/>
    </row>
    <row r="559" spans="1:28">
      <c r="A559" s="776" t="s">
        <v>1305</v>
      </c>
      <c r="B559" s="776"/>
      <c r="C559" s="776"/>
      <c r="D559" s="776"/>
      <c r="F559" s="793">
        <v>527411</v>
      </c>
      <c r="G559" s="52"/>
      <c r="H559" s="52"/>
      <c r="I559" s="52"/>
      <c r="J559" s="52"/>
      <c r="K559" s="52"/>
      <c r="L559" s="52"/>
      <c r="M559" s="52"/>
      <c r="N559" s="52"/>
      <c r="O559" s="52"/>
      <c r="P559" s="52"/>
      <c r="Q559" s="52"/>
      <c r="R559" s="52"/>
      <c r="S559" s="242"/>
      <c r="T559" s="242"/>
      <c r="U559" s="242"/>
      <c r="V559" s="242"/>
      <c r="W559" s="242"/>
      <c r="X559" s="242"/>
      <c r="Y559" s="242"/>
      <c r="Z559" s="242"/>
      <c r="AA559" s="242"/>
      <c r="AB559" s="793"/>
    </row>
    <row r="560" spans="1:28">
      <c r="A560" s="1" t="s">
        <v>285</v>
      </c>
      <c r="B560" s="776"/>
      <c r="C560" s="776"/>
      <c r="D560" s="776"/>
      <c r="F560" s="899">
        <f t="shared" ref="F560:AB560" si="289">SUM(F551:F559)</f>
        <v>2078378</v>
      </c>
      <c r="G560" s="899">
        <f t="shared" si="289"/>
        <v>-182420</v>
      </c>
      <c r="H560" s="899">
        <f t="shared" si="289"/>
        <v>9682</v>
      </c>
      <c r="I560" s="899">
        <f t="shared" si="289"/>
        <v>46401</v>
      </c>
      <c r="J560" s="899">
        <f t="shared" si="289"/>
        <v>525283</v>
      </c>
      <c r="K560" s="899">
        <f t="shared" si="289"/>
        <v>-58773</v>
      </c>
      <c r="L560" s="899">
        <f t="shared" si="289"/>
        <v>-91740</v>
      </c>
      <c r="M560" s="899">
        <f t="shared" si="289"/>
        <v>-1494770</v>
      </c>
      <c r="N560" s="899">
        <f t="shared" si="289"/>
        <v>-367893</v>
      </c>
      <c r="O560" s="899">
        <f t="shared" si="289"/>
        <v>-47897</v>
      </c>
      <c r="P560" s="899">
        <f t="shared" si="289"/>
        <v>139365</v>
      </c>
      <c r="Q560" s="899">
        <f t="shared" si="289"/>
        <v>13062</v>
      </c>
      <c r="R560" s="899">
        <f t="shared" si="289"/>
        <v>-612009</v>
      </c>
      <c r="S560" s="899">
        <f t="shared" si="289"/>
        <v>48800</v>
      </c>
      <c r="T560" s="899">
        <f t="shared" si="289"/>
        <v>-101300</v>
      </c>
      <c r="U560" s="899">
        <f t="shared" si="289"/>
        <v>-282000</v>
      </c>
      <c r="V560" s="899">
        <f t="shared" si="289"/>
        <v>-548000</v>
      </c>
      <c r="W560" s="899">
        <f t="shared" si="289"/>
        <v>-347000</v>
      </c>
      <c r="X560" s="899">
        <f t="shared" si="289"/>
        <v>-456000</v>
      </c>
      <c r="Y560" s="899">
        <f t="shared" si="289"/>
        <v>-225000</v>
      </c>
      <c r="Z560" s="899">
        <f t="shared" si="289"/>
        <v>-546000</v>
      </c>
      <c r="AA560" s="899">
        <f t="shared" si="289"/>
        <v>-443000</v>
      </c>
      <c r="AB560" s="899">
        <f t="shared" si="289"/>
        <v>-345000</v>
      </c>
    </row>
    <row r="561" spans="1:208">
      <c r="A561" s="776"/>
      <c r="B561" s="776"/>
      <c r="C561" s="776"/>
      <c r="D561" s="776"/>
      <c r="F561" s="793"/>
      <c r="G561" s="793"/>
      <c r="H561" s="793"/>
      <c r="I561" s="793"/>
      <c r="J561" s="793"/>
      <c r="K561" s="793"/>
      <c r="L561" s="242"/>
      <c r="M561" s="242"/>
      <c r="N561" s="242"/>
      <c r="O561" s="52"/>
      <c r="P561" s="52"/>
      <c r="Q561" s="52"/>
      <c r="R561" s="52"/>
      <c r="S561" s="242"/>
      <c r="T561" s="242"/>
      <c r="U561" s="242"/>
      <c r="V561" s="242"/>
      <c r="W561" s="242"/>
      <c r="X561" s="242"/>
      <c r="Y561" s="242"/>
      <c r="Z561" s="242"/>
      <c r="AA561" s="242"/>
      <c r="AB561" s="793"/>
    </row>
    <row r="562" spans="1:208">
      <c r="A562" s="776" t="s">
        <v>286</v>
      </c>
      <c r="B562" s="776"/>
      <c r="C562" s="776"/>
      <c r="D562" s="776"/>
      <c r="F562" s="793">
        <f t="shared" ref="F562:AB562" si="290">F523+F547+F560</f>
        <v>9270</v>
      </c>
      <c r="G562" s="793">
        <f t="shared" si="290"/>
        <v>-61336</v>
      </c>
      <c r="H562" s="793">
        <f t="shared" si="290"/>
        <v>19056</v>
      </c>
      <c r="I562" s="793">
        <f t="shared" si="290"/>
        <v>-43045</v>
      </c>
      <c r="J562" s="793">
        <f t="shared" si="290"/>
        <v>45197</v>
      </c>
      <c r="K562" s="793">
        <f t="shared" si="290"/>
        <v>48753</v>
      </c>
      <c r="L562" s="793">
        <f t="shared" si="290"/>
        <v>-67479</v>
      </c>
      <c r="M562" s="793">
        <f t="shared" si="290"/>
        <v>-1289264</v>
      </c>
      <c r="N562" s="793">
        <f t="shared" si="290"/>
        <v>-216925</v>
      </c>
      <c r="O562" s="793">
        <f t="shared" si="290"/>
        <v>19554</v>
      </c>
      <c r="P562" s="793">
        <f t="shared" si="290"/>
        <v>-47375</v>
      </c>
      <c r="Q562" s="793">
        <f t="shared" si="290"/>
        <v>-5499</v>
      </c>
      <c r="R562" s="793">
        <f t="shared" si="290"/>
        <v>-515922</v>
      </c>
      <c r="S562" s="793">
        <f t="shared" si="290"/>
        <v>-157600</v>
      </c>
      <c r="T562" s="793">
        <f t="shared" si="290"/>
        <v>38700</v>
      </c>
      <c r="U562" s="793">
        <f t="shared" si="290"/>
        <v>-165000</v>
      </c>
      <c r="V562" s="793">
        <f t="shared" si="290"/>
        <v>-255000</v>
      </c>
      <c r="W562" s="793">
        <f t="shared" si="290"/>
        <v>44000</v>
      </c>
      <c r="X562" s="793">
        <f t="shared" si="290"/>
        <v>-40000</v>
      </c>
      <c r="Y562" s="793">
        <f t="shared" si="290"/>
        <v>-45000</v>
      </c>
      <c r="Z562" s="793">
        <f t="shared" si="290"/>
        <v>20000</v>
      </c>
      <c r="AA562" s="793">
        <f t="shared" si="290"/>
        <v>97000</v>
      </c>
      <c r="AB562" s="793">
        <f t="shared" si="290"/>
        <v>-28000</v>
      </c>
    </row>
    <row r="563" spans="1:208">
      <c r="A563" s="776"/>
      <c r="B563" s="776"/>
      <c r="C563" s="776"/>
      <c r="D563" s="776"/>
      <c r="F563" s="242"/>
      <c r="G563" s="242"/>
      <c r="H563" s="242"/>
      <c r="I563" s="242"/>
      <c r="J563" s="242"/>
      <c r="K563" s="242"/>
      <c r="L563" s="242"/>
      <c r="M563" s="793"/>
      <c r="N563" s="793"/>
      <c r="O563" s="793"/>
      <c r="P563" s="793"/>
      <c r="Q563" s="793"/>
      <c r="R563" s="242"/>
      <c r="S563" s="793"/>
      <c r="T563" s="793"/>
      <c r="U563" s="793"/>
      <c r="V563" s="242"/>
      <c r="W563" s="242"/>
      <c r="X563" s="242"/>
      <c r="Y563" s="242"/>
      <c r="Z563" s="242"/>
      <c r="AA563" s="242"/>
      <c r="AB563" s="793"/>
    </row>
    <row r="564" spans="1:208">
      <c r="A564" s="776" t="s">
        <v>287</v>
      </c>
      <c r="B564" s="776"/>
      <c r="C564" s="776"/>
      <c r="D564" s="776"/>
      <c r="F564" s="52">
        <v>0</v>
      </c>
      <c r="G564" s="793">
        <v>93759</v>
      </c>
      <c r="H564" s="793">
        <v>33562</v>
      </c>
      <c r="I564" s="793">
        <v>52829</v>
      </c>
      <c r="J564" s="793">
        <v>9962</v>
      </c>
      <c r="K564" s="793">
        <v>55337</v>
      </c>
      <c r="L564" s="793">
        <v>104262</v>
      </c>
      <c r="M564" s="793">
        <v>40827</v>
      </c>
      <c r="N564" s="793">
        <v>251824</v>
      </c>
      <c r="O564" s="793">
        <v>48553</v>
      </c>
      <c r="P564" s="793">
        <v>71742</v>
      </c>
      <c r="Q564" s="793">
        <v>47877</v>
      </c>
      <c r="R564" s="793">
        <v>54394</v>
      </c>
      <c r="S564" s="793">
        <v>368200</v>
      </c>
      <c r="T564" s="793">
        <v>214400</v>
      </c>
      <c r="U564" s="793">
        <v>383000</v>
      </c>
      <c r="V564" s="793">
        <v>276000</v>
      </c>
      <c r="W564" s="793">
        <v>69000</v>
      </c>
      <c r="X564" s="793">
        <v>118000</v>
      </c>
      <c r="Y564" s="793">
        <v>80000</v>
      </c>
      <c r="Z564" s="793">
        <v>60000</v>
      </c>
      <c r="AA564" s="793">
        <v>78000</v>
      </c>
      <c r="AB564" s="793">
        <v>176000</v>
      </c>
    </row>
    <row r="565" spans="1:208">
      <c r="A565" s="776" t="s">
        <v>1298</v>
      </c>
      <c r="B565" s="776"/>
      <c r="C565" s="776"/>
      <c r="D565" s="776"/>
      <c r="F565" s="793"/>
      <c r="G565" s="793"/>
      <c r="H565" s="793"/>
      <c r="I565" s="793"/>
      <c r="J565" s="793"/>
      <c r="K565" s="793"/>
      <c r="L565" s="793"/>
      <c r="M565" s="793"/>
      <c r="N565" s="793"/>
      <c r="O565" s="793"/>
      <c r="P565" s="793"/>
      <c r="Q565" s="793"/>
      <c r="R565" s="793">
        <v>-554</v>
      </c>
      <c r="S565" s="793">
        <v>0</v>
      </c>
      <c r="T565" s="793">
        <v>0</v>
      </c>
      <c r="U565" s="793">
        <v>-2000</v>
      </c>
      <c r="V565" s="793">
        <v>0</v>
      </c>
      <c r="W565" s="793">
        <v>0</v>
      </c>
      <c r="X565" s="793">
        <v>0</v>
      </c>
      <c r="Y565" s="793">
        <v>2000</v>
      </c>
      <c r="Z565" s="793">
        <v>-2000</v>
      </c>
      <c r="AA565" s="793">
        <v>1000</v>
      </c>
      <c r="AB565" s="793">
        <v>0</v>
      </c>
    </row>
    <row r="566" spans="1:208">
      <c r="A566" s="776" t="s">
        <v>1299</v>
      </c>
      <c r="B566" s="776"/>
      <c r="C566" s="776"/>
      <c r="D566" s="776"/>
      <c r="F566" s="793"/>
      <c r="G566" s="793"/>
      <c r="H566" s="793"/>
      <c r="I566" s="793"/>
      <c r="J566" s="793"/>
      <c r="K566" s="793"/>
      <c r="L566" s="793"/>
      <c r="M566" s="793"/>
      <c r="N566" s="793"/>
      <c r="O566" s="793"/>
      <c r="P566" s="793"/>
      <c r="Q566" s="793"/>
      <c r="R566" s="793"/>
      <c r="S566" s="793">
        <v>0</v>
      </c>
      <c r="T566" s="793">
        <v>-14100</v>
      </c>
      <c r="U566" s="793">
        <v>-2000</v>
      </c>
      <c r="V566" s="793">
        <v>0</v>
      </c>
      <c r="W566" s="793">
        <v>0</v>
      </c>
      <c r="X566" s="793">
        <v>0</v>
      </c>
      <c r="Y566" s="793">
        <v>0</v>
      </c>
      <c r="Z566" s="793">
        <v>0</v>
      </c>
      <c r="AA566" s="793">
        <v>0</v>
      </c>
      <c r="AB566" s="793">
        <v>0</v>
      </c>
    </row>
    <row r="567" spans="1:208">
      <c r="A567" s="776" t="s">
        <v>1291</v>
      </c>
      <c r="B567" s="776"/>
      <c r="C567" s="776"/>
      <c r="D567" s="776"/>
      <c r="F567" s="793"/>
      <c r="G567" s="793"/>
      <c r="H567" s="793"/>
      <c r="I567" s="793"/>
      <c r="J567" s="793"/>
      <c r="K567" s="793"/>
      <c r="L567" s="793"/>
      <c r="M567" s="793"/>
      <c r="N567" s="793"/>
      <c r="O567" s="793"/>
      <c r="P567" s="793"/>
      <c r="Q567" s="793"/>
      <c r="R567" s="793"/>
      <c r="S567" s="793">
        <v>0</v>
      </c>
      <c r="T567" s="793">
        <v>-8800</v>
      </c>
      <c r="U567" s="793">
        <v>0</v>
      </c>
      <c r="V567" s="793">
        <v>0</v>
      </c>
      <c r="W567" s="793">
        <v>0</v>
      </c>
      <c r="X567" s="793">
        <v>0</v>
      </c>
      <c r="Y567" s="793">
        <v>0</v>
      </c>
      <c r="Z567" s="793">
        <v>0</v>
      </c>
      <c r="AA567" s="793">
        <v>0</v>
      </c>
      <c r="AB567" s="793">
        <v>0</v>
      </c>
    </row>
    <row r="568" spans="1:208">
      <c r="A568" s="776"/>
      <c r="B568" s="776"/>
      <c r="C568" s="776"/>
      <c r="D568" s="776"/>
      <c r="F568" s="793"/>
      <c r="G568" s="793"/>
      <c r="H568" s="793"/>
      <c r="I568" s="793"/>
      <c r="J568" s="793"/>
      <c r="K568" s="793"/>
      <c r="L568" s="793"/>
      <c r="M568" s="793"/>
      <c r="N568" s="793"/>
      <c r="O568" s="793"/>
      <c r="P568" s="793"/>
      <c r="Q568" s="793"/>
      <c r="R568" s="793"/>
      <c r="S568" s="793"/>
      <c r="T568" s="793"/>
      <c r="U568" s="793"/>
      <c r="V568" s="793"/>
      <c r="W568" s="793"/>
      <c r="X568" s="793"/>
      <c r="Y568" s="793"/>
      <c r="Z568" s="793"/>
      <c r="AA568" s="793"/>
      <c r="AB568" s="793"/>
    </row>
    <row r="569" spans="1:208" ht="13.5" thickBot="1">
      <c r="A569" s="1" t="s">
        <v>288</v>
      </c>
      <c r="B569" s="776"/>
      <c r="C569" s="776"/>
      <c r="D569" s="776"/>
      <c r="F569" s="925">
        <f t="shared" ref="F569:AB569" si="291">F562+F564+F565+F566+F567</f>
        <v>9270</v>
      </c>
      <c r="G569" s="925">
        <f t="shared" si="291"/>
        <v>32423</v>
      </c>
      <c r="H569" s="925">
        <f t="shared" si="291"/>
        <v>52618</v>
      </c>
      <c r="I569" s="925">
        <f t="shared" si="291"/>
        <v>9784</v>
      </c>
      <c r="J569" s="925">
        <f t="shared" si="291"/>
        <v>55159</v>
      </c>
      <c r="K569" s="925">
        <f t="shared" si="291"/>
        <v>104090</v>
      </c>
      <c r="L569" s="925">
        <f t="shared" si="291"/>
        <v>36783</v>
      </c>
      <c r="M569" s="925">
        <f t="shared" si="291"/>
        <v>-1248437</v>
      </c>
      <c r="N569" s="925">
        <f t="shared" si="291"/>
        <v>34899</v>
      </c>
      <c r="O569" s="925">
        <f t="shared" si="291"/>
        <v>68107</v>
      </c>
      <c r="P569" s="925">
        <f t="shared" si="291"/>
        <v>24367</v>
      </c>
      <c r="Q569" s="925">
        <f t="shared" si="291"/>
        <v>42378</v>
      </c>
      <c r="R569" s="925">
        <f t="shared" si="291"/>
        <v>-462082</v>
      </c>
      <c r="S569" s="925">
        <f t="shared" si="291"/>
        <v>210600</v>
      </c>
      <c r="T569" s="925">
        <f t="shared" si="291"/>
        <v>230200</v>
      </c>
      <c r="U569" s="925">
        <f t="shared" si="291"/>
        <v>214000</v>
      </c>
      <c r="V569" s="925">
        <f t="shared" si="291"/>
        <v>21000</v>
      </c>
      <c r="W569" s="925">
        <f t="shared" si="291"/>
        <v>113000</v>
      </c>
      <c r="X569" s="925">
        <f t="shared" si="291"/>
        <v>78000</v>
      </c>
      <c r="Y569" s="925">
        <f t="shared" si="291"/>
        <v>37000</v>
      </c>
      <c r="Z569" s="925">
        <f t="shared" si="291"/>
        <v>78000</v>
      </c>
      <c r="AA569" s="925">
        <f t="shared" si="291"/>
        <v>176000</v>
      </c>
      <c r="AB569" s="925">
        <f t="shared" si="291"/>
        <v>148000</v>
      </c>
    </row>
    <row r="570" spans="1:208" ht="14.1" customHeight="1" thickTop="1">
      <c r="A570" s="776"/>
      <c r="B570" s="776"/>
      <c r="C570" s="776"/>
      <c r="D570" s="776" t="s">
        <v>5</v>
      </c>
      <c r="F570" s="793">
        <v>93759</v>
      </c>
      <c r="G570" s="793">
        <v>33562</v>
      </c>
      <c r="H570" s="793">
        <v>52829</v>
      </c>
      <c r="I570" s="793">
        <v>9962</v>
      </c>
      <c r="J570" s="793">
        <v>55337</v>
      </c>
      <c r="K570" s="793">
        <v>104262</v>
      </c>
      <c r="L570" s="793"/>
      <c r="M570" s="793"/>
      <c r="N570" s="793">
        <v>48553</v>
      </c>
      <c r="O570" s="793"/>
      <c r="P570" s="793"/>
      <c r="Q570" s="793"/>
      <c r="R570" s="793"/>
      <c r="S570" s="793"/>
      <c r="T570" s="793"/>
      <c r="U570" s="793"/>
      <c r="V570" s="793"/>
      <c r="W570" s="793"/>
      <c r="X570" s="793"/>
      <c r="Y570" s="793"/>
      <c r="Z570" s="793"/>
      <c r="AA570" s="793"/>
      <c r="AB570" s="793"/>
    </row>
    <row r="571" spans="1:208">
      <c r="A571" s="4"/>
      <c r="B571" s="4"/>
      <c r="C571" s="4"/>
      <c r="D571" s="1285" t="s">
        <v>1411</v>
      </c>
      <c r="E571" s="4"/>
      <c r="F571" s="1297">
        <f t="shared" ref="F571:K571" si="292">F569-F570</f>
        <v>-84489</v>
      </c>
      <c r="G571" s="1298">
        <f t="shared" si="292"/>
        <v>-1139</v>
      </c>
      <c r="H571" s="1298">
        <f t="shared" si="292"/>
        <v>-211</v>
      </c>
      <c r="I571" s="1298">
        <f t="shared" si="292"/>
        <v>-178</v>
      </c>
      <c r="J571" s="1298">
        <f t="shared" si="292"/>
        <v>-178</v>
      </c>
      <c r="K571" s="1298">
        <f t="shared" si="292"/>
        <v>-172</v>
      </c>
      <c r="L571" s="1318"/>
      <c r="M571" s="1318"/>
      <c r="N571" s="1356">
        <f>N569-N570</f>
        <v>-13654</v>
      </c>
      <c r="O571" s="892"/>
      <c r="P571" s="892"/>
      <c r="Q571" s="892"/>
      <c r="R571" s="892"/>
      <c r="S571" s="892"/>
      <c r="T571" s="892"/>
      <c r="U571" s="892"/>
      <c r="V571" s="892"/>
      <c r="W571" s="892"/>
      <c r="X571" s="892"/>
      <c r="Y571" s="892"/>
      <c r="Z571" s="892"/>
      <c r="AA571" s="892"/>
      <c r="AB571" s="892"/>
    </row>
    <row r="572" spans="1:208">
      <c r="A572" s="48"/>
      <c r="B572" s="48"/>
      <c r="C572" s="48"/>
      <c r="D572" s="48"/>
      <c r="E572" s="48"/>
      <c r="F572" s="1409"/>
      <c r="G572" s="1409"/>
      <c r="H572" s="1409"/>
      <c r="I572" s="1409"/>
      <c r="J572" s="1409"/>
      <c r="K572" s="1409"/>
      <c r="L572" s="1409"/>
      <c r="M572" s="1409"/>
      <c r="N572" s="1409"/>
      <c r="O572" s="1409"/>
      <c r="P572" s="1409"/>
      <c r="Q572" s="1409"/>
      <c r="R572" s="1409"/>
      <c r="S572" s="1409"/>
      <c r="T572" s="1409"/>
      <c r="U572" s="1409"/>
      <c r="V572" s="1409"/>
      <c r="W572" s="1409"/>
      <c r="X572" s="1409"/>
      <c r="Y572" s="1409"/>
      <c r="Z572" s="1409"/>
      <c r="AA572" s="1323"/>
      <c r="AB572" s="1409"/>
    </row>
    <row r="573" spans="1:208">
      <c r="F573" s="52"/>
      <c r="G573" s="52"/>
      <c r="H573" s="52"/>
      <c r="I573" s="52"/>
      <c r="J573" s="52"/>
      <c r="K573" s="52"/>
      <c r="L573" s="52"/>
      <c r="M573" s="52"/>
      <c r="N573" s="52"/>
      <c r="O573" s="52"/>
      <c r="P573" s="52"/>
      <c r="Q573" s="52"/>
      <c r="R573" s="52"/>
      <c r="S573" s="52"/>
      <c r="T573" s="52"/>
      <c r="U573" s="52"/>
      <c r="V573" s="52"/>
      <c r="W573" s="52"/>
      <c r="X573" s="52"/>
      <c r="Y573" s="52"/>
      <c r="Z573" s="52"/>
      <c r="AA573" s="242"/>
      <c r="AB573" s="52"/>
      <c r="AC573" s="776"/>
      <c r="AD573" s="776"/>
      <c r="AE573" s="776"/>
      <c r="AF573" s="776"/>
      <c r="AG573" s="776"/>
      <c r="AH573" s="776"/>
      <c r="AI573" s="776"/>
      <c r="AJ573" s="776"/>
      <c r="AK573" s="776"/>
      <c r="AL573" s="776"/>
      <c r="AM573" s="776"/>
      <c r="AN573" s="776"/>
      <c r="AO573" s="776"/>
      <c r="AP573" s="776"/>
      <c r="AQ573" s="776"/>
      <c r="AR573" s="776"/>
      <c r="AS573" s="776"/>
      <c r="AT573" s="776"/>
      <c r="AU573" s="776"/>
      <c r="AV573" s="776"/>
      <c r="AW573" s="776"/>
      <c r="AX573" s="776"/>
      <c r="AY573" s="776"/>
      <c r="AZ573" s="776"/>
      <c r="BA573" s="776"/>
      <c r="BB573" s="776"/>
      <c r="BC573" s="776"/>
      <c r="BD573" s="776"/>
      <c r="BE573" s="776"/>
      <c r="BF573" s="776"/>
      <c r="BG573" s="776"/>
      <c r="BH573" s="776"/>
      <c r="BI573" s="776"/>
      <c r="BJ573" s="776"/>
      <c r="BK573" s="776"/>
      <c r="BL573" s="776"/>
      <c r="BM573" s="776"/>
      <c r="BN573" s="776"/>
      <c r="BO573" s="776"/>
      <c r="BP573" s="776"/>
      <c r="BQ573" s="776"/>
      <c r="BR573" s="776"/>
      <c r="BS573" s="776"/>
      <c r="BT573" s="776"/>
      <c r="BU573" s="776"/>
      <c r="BV573" s="776"/>
      <c r="BW573" s="776"/>
      <c r="BX573" s="776"/>
      <c r="BY573" s="776"/>
      <c r="BZ573" s="776"/>
      <c r="CA573" s="776"/>
      <c r="CB573" s="776"/>
      <c r="CC573" s="776"/>
      <c r="CD573" s="776"/>
      <c r="CE573" s="776"/>
      <c r="CF573" s="776"/>
      <c r="CG573" s="776"/>
      <c r="CH573" s="776"/>
      <c r="CI573" s="776"/>
      <c r="CJ573" s="776"/>
      <c r="CK573" s="776"/>
      <c r="CL573" s="776"/>
      <c r="CM573" s="776"/>
      <c r="CN573" s="776"/>
      <c r="CO573" s="776"/>
      <c r="CP573" s="776"/>
      <c r="CQ573" s="776"/>
      <c r="CR573" s="776"/>
      <c r="CS573" s="776"/>
      <c r="CT573" s="776"/>
      <c r="CU573" s="776"/>
      <c r="CV573" s="776"/>
      <c r="CW573" s="776"/>
      <c r="CX573" s="776"/>
      <c r="CY573" s="776"/>
      <c r="CZ573" s="776"/>
      <c r="DA573" s="776"/>
      <c r="DB573" s="776"/>
      <c r="DC573" s="776"/>
      <c r="DD573" s="776"/>
      <c r="DE573" s="776"/>
      <c r="DF573" s="776"/>
      <c r="DG573" s="776"/>
      <c r="DH573" s="776"/>
      <c r="DI573" s="776"/>
      <c r="DJ573" s="776"/>
      <c r="DK573" s="776"/>
      <c r="DL573" s="776"/>
      <c r="DM573" s="776"/>
      <c r="DN573" s="776"/>
      <c r="DO573" s="776"/>
      <c r="DP573" s="776"/>
      <c r="DQ573" s="776"/>
      <c r="DR573" s="776"/>
      <c r="DS573" s="776"/>
      <c r="DT573" s="776"/>
      <c r="DU573" s="776"/>
      <c r="DV573" s="776"/>
      <c r="DW573" s="776"/>
      <c r="DX573" s="776"/>
      <c r="DY573" s="776"/>
      <c r="DZ573" s="776"/>
      <c r="EA573" s="776"/>
      <c r="EB573" s="776"/>
      <c r="EC573" s="776"/>
      <c r="ED573" s="776"/>
      <c r="EE573" s="776"/>
      <c r="EF573" s="776"/>
      <c r="EG573" s="776"/>
      <c r="EH573" s="776"/>
      <c r="EI573" s="776"/>
      <c r="EJ573" s="776"/>
      <c r="EK573" s="776"/>
      <c r="EL573" s="776"/>
      <c r="EM573" s="776"/>
      <c r="EN573" s="776"/>
      <c r="EO573" s="776"/>
      <c r="EP573" s="776"/>
      <c r="EQ573" s="776"/>
      <c r="ER573" s="776"/>
      <c r="ES573" s="776"/>
      <c r="ET573" s="776"/>
      <c r="EU573" s="776"/>
      <c r="EV573" s="776"/>
      <c r="EW573" s="776"/>
      <c r="EX573" s="776"/>
      <c r="EY573" s="776"/>
      <c r="EZ573" s="776"/>
      <c r="FA573" s="776"/>
      <c r="FB573" s="776"/>
      <c r="FC573" s="776"/>
      <c r="FD573" s="776"/>
      <c r="FE573" s="776"/>
      <c r="FF573" s="776"/>
      <c r="FG573" s="776"/>
      <c r="FH573" s="776"/>
      <c r="FI573" s="776"/>
      <c r="FJ573" s="776"/>
      <c r="FK573" s="776"/>
      <c r="FL573" s="776"/>
      <c r="FM573" s="776"/>
      <c r="FN573" s="776"/>
      <c r="FO573" s="776"/>
      <c r="FP573" s="776"/>
      <c r="FQ573" s="776"/>
      <c r="FR573" s="776"/>
      <c r="FS573" s="776"/>
      <c r="FT573" s="776"/>
      <c r="FU573" s="776"/>
      <c r="FV573" s="776"/>
      <c r="FW573" s="776"/>
      <c r="FX573" s="776"/>
      <c r="FY573" s="776"/>
      <c r="FZ573" s="776"/>
      <c r="GA573" s="776"/>
      <c r="GB573" s="776"/>
      <c r="GC573" s="776"/>
      <c r="GD573" s="776"/>
      <c r="GE573" s="776"/>
      <c r="GF573" s="776"/>
      <c r="GG573" s="776"/>
      <c r="GH573" s="776"/>
      <c r="GI573" s="776"/>
      <c r="GJ573" s="776"/>
      <c r="GK573" s="776"/>
      <c r="GL573" s="776"/>
      <c r="GM573" s="776"/>
      <c r="GN573" s="776"/>
      <c r="GO573" s="776"/>
      <c r="GP573" s="776"/>
      <c r="GQ573" s="776"/>
      <c r="GR573" s="776"/>
      <c r="GS573" s="776"/>
      <c r="GT573" s="776"/>
      <c r="GU573" s="776"/>
      <c r="GV573" s="776"/>
      <c r="GW573" s="776"/>
      <c r="GX573" s="776"/>
      <c r="GY573" s="776"/>
      <c r="GZ573" s="776"/>
    </row>
    <row r="574" spans="1:208">
      <c r="F574" s="52"/>
      <c r="G574" s="52"/>
      <c r="H574" s="52"/>
      <c r="I574" s="52"/>
      <c r="J574" s="52"/>
      <c r="K574" s="52"/>
      <c r="L574" s="52"/>
      <c r="M574" s="52"/>
      <c r="N574" s="52"/>
      <c r="O574" s="52"/>
      <c r="P574" s="52"/>
      <c r="Q574" s="52"/>
      <c r="R574" s="52"/>
      <c r="S574" s="52"/>
      <c r="T574" s="52"/>
      <c r="U574" s="52"/>
      <c r="V574" s="52"/>
      <c r="W574" s="52"/>
      <c r="X574" s="52"/>
      <c r="Y574" s="52"/>
      <c r="Z574" s="52"/>
      <c r="AA574" s="242"/>
      <c r="AB574" s="52"/>
      <c r="AC574" s="776"/>
      <c r="AD574" s="776"/>
      <c r="AE574" s="776"/>
      <c r="AF574" s="776"/>
      <c r="AG574" s="776"/>
      <c r="AH574" s="776"/>
      <c r="AI574" s="776"/>
      <c r="AJ574" s="776"/>
      <c r="AK574" s="776"/>
      <c r="AL574" s="776"/>
      <c r="AM574" s="776"/>
      <c r="AN574" s="776"/>
      <c r="AO574" s="776"/>
      <c r="AP574" s="776"/>
      <c r="AQ574" s="776"/>
      <c r="AR574" s="776"/>
      <c r="AS574" s="776"/>
      <c r="AT574" s="776"/>
      <c r="AU574" s="776"/>
      <c r="AV574" s="776"/>
      <c r="AW574" s="776"/>
      <c r="AX574" s="776"/>
      <c r="AY574" s="776"/>
      <c r="AZ574" s="776"/>
      <c r="BA574" s="776"/>
      <c r="BB574" s="776"/>
      <c r="BC574" s="776"/>
      <c r="BD574" s="776"/>
      <c r="BE574" s="776"/>
      <c r="BF574" s="776"/>
      <c r="BG574" s="776"/>
      <c r="BH574" s="776"/>
      <c r="BI574" s="776"/>
      <c r="BJ574" s="776"/>
      <c r="BK574" s="776"/>
      <c r="BL574" s="776"/>
      <c r="BM574" s="776"/>
      <c r="BN574" s="776"/>
      <c r="BO574" s="776"/>
      <c r="BP574" s="776"/>
      <c r="BQ574" s="776"/>
      <c r="BR574" s="776"/>
      <c r="BS574" s="776"/>
      <c r="BT574" s="776"/>
      <c r="BU574" s="776"/>
      <c r="BV574" s="776"/>
      <c r="BW574" s="776"/>
      <c r="BX574" s="776"/>
      <c r="BY574" s="776"/>
      <c r="BZ574" s="776"/>
      <c r="CA574" s="776"/>
      <c r="CB574" s="776"/>
      <c r="CC574" s="776"/>
      <c r="CD574" s="776"/>
      <c r="CE574" s="776"/>
      <c r="CF574" s="776"/>
      <c r="CG574" s="776"/>
      <c r="CH574" s="776"/>
      <c r="CI574" s="776"/>
      <c r="CJ574" s="776"/>
      <c r="CK574" s="776"/>
      <c r="CL574" s="776"/>
      <c r="CM574" s="776"/>
      <c r="CN574" s="776"/>
      <c r="CO574" s="776"/>
      <c r="CP574" s="776"/>
      <c r="CQ574" s="776"/>
      <c r="CR574" s="776"/>
      <c r="CS574" s="776"/>
      <c r="CT574" s="776"/>
      <c r="CU574" s="776"/>
      <c r="CV574" s="776"/>
      <c r="CW574" s="776"/>
      <c r="CX574" s="776"/>
      <c r="CY574" s="776"/>
      <c r="CZ574" s="776"/>
      <c r="DA574" s="776"/>
      <c r="DB574" s="776"/>
      <c r="DC574" s="776"/>
      <c r="DD574" s="776"/>
      <c r="DE574" s="776"/>
      <c r="DF574" s="776"/>
      <c r="DG574" s="776"/>
      <c r="DH574" s="776"/>
      <c r="DI574" s="776"/>
      <c r="DJ574" s="776"/>
      <c r="DK574" s="776"/>
      <c r="DL574" s="776"/>
      <c r="DM574" s="776"/>
      <c r="DN574" s="776"/>
      <c r="DO574" s="776"/>
      <c r="DP574" s="776"/>
      <c r="DQ574" s="776"/>
      <c r="DR574" s="776"/>
      <c r="DS574" s="776"/>
      <c r="DT574" s="776"/>
      <c r="DU574" s="776"/>
      <c r="DV574" s="776"/>
      <c r="DW574" s="776"/>
      <c r="DX574" s="776"/>
      <c r="DY574" s="776"/>
      <c r="DZ574" s="776"/>
      <c r="EA574" s="776"/>
      <c r="EB574" s="776"/>
      <c r="EC574" s="776"/>
      <c r="ED574" s="776"/>
      <c r="EE574" s="776"/>
      <c r="EF574" s="776"/>
      <c r="EG574" s="776"/>
      <c r="EH574" s="776"/>
      <c r="EI574" s="776"/>
      <c r="EJ574" s="776"/>
      <c r="EK574" s="776"/>
      <c r="EL574" s="776"/>
      <c r="EM574" s="776"/>
      <c r="EN574" s="776"/>
      <c r="EO574" s="776"/>
      <c r="EP574" s="776"/>
      <c r="EQ574" s="776"/>
      <c r="ER574" s="776"/>
      <c r="ES574" s="776"/>
      <c r="ET574" s="776"/>
      <c r="EU574" s="776"/>
      <c r="EV574" s="776"/>
      <c r="EW574" s="776"/>
      <c r="EX574" s="776"/>
      <c r="EY574" s="776"/>
      <c r="EZ574" s="776"/>
      <c r="FA574" s="776"/>
      <c r="FB574" s="776"/>
      <c r="FC574" s="776"/>
      <c r="FD574" s="776"/>
      <c r="FE574" s="776"/>
      <c r="FF574" s="776"/>
      <c r="FG574" s="776"/>
      <c r="FH574" s="776"/>
      <c r="FI574" s="776"/>
      <c r="FJ574" s="776"/>
      <c r="FK574" s="776"/>
      <c r="FL574" s="776"/>
      <c r="FM574" s="776"/>
      <c r="FN574" s="776"/>
      <c r="FO574" s="776"/>
      <c r="FP574" s="776"/>
      <c r="FQ574" s="776"/>
      <c r="FR574" s="776"/>
      <c r="FS574" s="776"/>
      <c r="FT574" s="776"/>
      <c r="FU574" s="776"/>
      <c r="FV574" s="776"/>
      <c r="FW574" s="776"/>
      <c r="FX574" s="776"/>
      <c r="FY574" s="776"/>
      <c r="FZ574" s="776"/>
      <c r="GA574" s="776"/>
      <c r="GB574" s="776"/>
      <c r="GC574" s="776"/>
      <c r="GD574" s="776"/>
      <c r="GE574" s="776"/>
      <c r="GF574" s="776"/>
      <c r="GG574" s="776"/>
      <c r="GH574" s="776"/>
      <c r="GI574" s="776"/>
      <c r="GJ574" s="776"/>
      <c r="GK574" s="776"/>
      <c r="GL574" s="776"/>
      <c r="GM574" s="776"/>
      <c r="GN574" s="776"/>
      <c r="GO574" s="776"/>
      <c r="GP574" s="776"/>
      <c r="GQ574" s="776"/>
      <c r="GR574" s="776"/>
      <c r="GS574" s="776"/>
      <c r="GT574" s="776"/>
      <c r="GU574" s="776"/>
      <c r="GV574" s="776"/>
      <c r="GW574" s="776"/>
      <c r="GX574" s="776"/>
      <c r="GY574" s="776"/>
      <c r="GZ574" s="776"/>
    </row>
    <row r="575" spans="1:208">
      <c r="F575" s="52"/>
      <c r="G575" s="52"/>
      <c r="H575" s="52"/>
      <c r="I575" s="52"/>
      <c r="J575" s="52"/>
      <c r="K575" s="52"/>
      <c r="L575" s="52"/>
      <c r="M575" s="52"/>
      <c r="N575" s="52"/>
      <c r="O575" s="52"/>
      <c r="P575" s="52"/>
      <c r="Q575" s="52"/>
      <c r="R575" s="52"/>
      <c r="S575" s="52"/>
      <c r="T575" s="52"/>
      <c r="U575" s="52"/>
      <c r="V575" s="52"/>
      <c r="W575" s="52"/>
      <c r="X575" s="52"/>
      <c r="Y575" s="52"/>
      <c r="Z575" s="52"/>
      <c r="AA575" s="242"/>
      <c r="AB575" s="52"/>
      <c r="AC575" s="776"/>
      <c r="AD575" s="776"/>
      <c r="AE575" s="776"/>
      <c r="AF575" s="776"/>
      <c r="AG575" s="776"/>
      <c r="AH575" s="776"/>
      <c r="AI575" s="776"/>
      <c r="AJ575" s="776"/>
      <c r="AK575" s="776"/>
      <c r="AL575" s="776"/>
      <c r="AM575" s="776"/>
      <c r="AN575" s="776"/>
      <c r="AO575" s="776"/>
      <c r="AP575" s="776"/>
      <c r="AQ575" s="776"/>
      <c r="AR575" s="776"/>
      <c r="AS575" s="776"/>
      <c r="AT575" s="776"/>
      <c r="AU575" s="776"/>
      <c r="AV575" s="776"/>
      <c r="AW575" s="776"/>
      <c r="AX575" s="776"/>
      <c r="AY575" s="776"/>
      <c r="AZ575" s="776"/>
      <c r="BA575" s="776"/>
      <c r="BB575" s="776"/>
      <c r="BC575" s="776"/>
      <c r="BD575" s="776"/>
      <c r="BE575" s="776"/>
      <c r="BF575" s="776"/>
      <c r="BG575" s="776"/>
      <c r="BH575" s="776"/>
      <c r="BI575" s="776"/>
      <c r="BJ575" s="776"/>
      <c r="BK575" s="776"/>
      <c r="BL575" s="776"/>
      <c r="BM575" s="776"/>
      <c r="BN575" s="776"/>
      <c r="BO575" s="776"/>
      <c r="BP575" s="776"/>
      <c r="BQ575" s="776"/>
      <c r="BR575" s="776"/>
      <c r="BS575" s="776"/>
      <c r="BT575" s="776"/>
      <c r="BU575" s="776"/>
      <c r="BV575" s="776"/>
      <c r="BW575" s="776"/>
      <c r="BX575" s="776"/>
      <c r="BY575" s="776"/>
      <c r="BZ575" s="776"/>
      <c r="CA575" s="776"/>
      <c r="CB575" s="776"/>
      <c r="CC575" s="776"/>
      <c r="CD575" s="776"/>
      <c r="CE575" s="776"/>
      <c r="CF575" s="776"/>
      <c r="CG575" s="776"/>
      <c r="CH575" s="776"/>
      <c r="CI575" s="776"/>
      <c r="CJ575" s="776"/>
      <c r="CK575" s="776"/>
      <c r="CL575" s="776"/>
      <c r="CM575" s="776"/>
      <c r="CN575" s="776"/>
      <c r="CO575" s="776"/>
      <c r="CP575" s="776"/>
      <c r="CQ575" s="776"/>
      <c r="CR575" s="776"/>
      <c r="CS575" s="776"/>
      <c r="CT575" s="776"/>
      <c r="CU575" s="776"/>
      <c r="CV575" s="776"/>
      <c r="CW575" s="776"/>
      <c r="CX575" s="776"/>
      <c r="CY575" s="776"/>
      <c r="CZ575" s="776"/>
      <c r="DA575" s="776"/>
      <c r="DB575" s="776"/>
      <c r="DC575" s="776"/>
      <c r="DD575" s="776"/>
      <c r="DE575" s="776"/>
      <c r="DF575" s="776"/>
      <c r="DG575" s="776"/>
      <c r="DH575" s="776"/>
      <c r="DI575" s="776"/>
      <c r="DJ575" s="776"/>
      <c r="DK575" s="776"/>
      <c r="DL575" s="776"/>
      <c r="DM575" s="776"/>
      <c r="DN575" s="776"/>
      <c r="DO575" s="776"/>
      <c r="DP575" s="776"/>
      <c r="DQ575" s="776"/>
      <c r="DR575" s="776"/>
      <c r="DS575" s="776"/>
      <c r="DT575" s="776"/>
      <c r="DU575" s="776"/>
      <c r="DV575" s="776"/>
      <c r="DW575" s="776"/>
      <c r="DX575" s="776"/>
      <c r="DY575" s="776"/>
      <c r="DZ575" s="776"/>
      <c r="EA575" s="776"/>
      <c r="EB575" s="776"/>
      <c r="EC575" s="776"/>
      <c r="ED575" s="776"/>
      <c r="EE575" s="776"/>
      <c r="EF575" s="776"/>
      <c r="EG575" s="776"/>
      <c r="EH575" s="776"/>
      <c r="EI575" s="776"/>
      <c r="EJ575" s="776"/>
      <c r="EK575" s="776"/>
      <c r="EL575" s="776"/>
      <c r="EM575" s="776"/>
      <c r="EN575" s="776"/>
      <c r="EO575" s="776"/>
      <c r="EP575" s="776"/>
      <c r="EQ575" s="776"/>
      <c r="ER575" s="776"/>
      <c r="ES575" s="776"/>
      <c r="ET575" s="776"/>
      <c r="EU575" s="776"/>
      <c r="EV575" s="776"/>
      <c r="EW575" s="776"/>
      <c r="EX575" s="776"/>
      <c r="EY575" s="776"/>
      <c r="EZ575" s="776"/>
      <c r="FA575" s="776"/>
      <c r="FB575" s="776"/>
      <c r="FC575" s="776"/>
      <c r="FD575" s="776"/>
      <c r="FE575" s="776"/>
      <c r="FF575" s="776"/>
      <c r="FG575" s="776"/>
      <c r="FH575" s="776"/>
      <c r="FI575" s="776"/>
      <c r="FJ575" s="776"/>
      <c r="FK575" s="776"/>
      <c r="FL575" s="776"/>
      <c r="FM575" s="776"/>
      <c r="FN575" s="776"/>
      <c r="FO575" s="776"/>
      <c r="FP575" s="776"/>
      <c r="FQ575" s="776"/>
      <c r="FR575" s="776"/>
      <c r="FS575" s="776"/>
      <c r="FT575" s="776"/>
      <c r="FU575" s="776"/>
      <c r="FV575" s="776"/>
      <c r="FW575" s="776"/>
      <c r="FX575" s="776"/>
      <c r="FY575" s="776"/>
      <c r="FZ575" s="776"/>
      <c r="GA575" s="776"/>
      <c r="GB575" s="776"/>
      <c r="GC575" s="776"/>
      <c r="GD575" s="776"/>
      <c r="GE575" s="776"/>
      <c r="GF575" s="776"/>
      <c r="GG575" s="776"/>
      <c r="GH575" s="776"/>
      <c r="GI575" s="776"/>
      <c r="GJ575" s="776"/>
      <c r="GK575" s="776"/>
      <c r="GL575" s="776"/>
      <c r="GM575" s="776"/>
      <c r="GN575" s="776"/>
      <c r="GO575" s="776"/>
      <c r="GP575" s="776"/>
      <c r="GQ575" s="776"/>
      <c r="GR575" s="776"/>
      <c r="GS575" s="776"/>
      <c r="GT575" s="776"/>
      <c r="GU575" s="776"/>
      <c r="GV575" s="776"/>
      <c r="GW575" s="776"/>
      <c r="GX575" s="776"/>
      <c r="GY575" s="776"/>
      <c r="GZ575" s="776"/>
    </row>
    <row r="576" spans="1:208">
      <c r="F576" s="52"/>
      <c r="G576" s="52"/>
      <c r="H576" s="52"/>
      <c r="I576" s="52"/>
      <c r="J576" s="52"/>
      <c r="K576" s="52"/>
      <c r="L576" s="52"/>
      <c r="M576" s="52"/>
      <c r="N576" s="52"/>
      <c r="O576" s="52"/>
      <c r="P576" s="52"/>
      <c r="Q576" s="52"/>
      <c r="R576" s="52"/>
      <c r="S576" s="52"/>
      <c r="T576" s="52"/>
      <c r="U576" s="52"/>
      <c r="V576" s="52"/>
      <c r="W576" s="52"/>
      <c r="X576" s="52"/>
      <c r="Y576" s="52"/>
      <c r="Z576" s="52"/>
      <c r="AA576" s="242"/>
      <c r="AB576" s="52"/>
      <c r="AC576" s="776"/>
      <c r="AD576" s="776"/>
      <c r="AE576" s="776"/>
      <c r="AF576" s="776"/>
      <c r="AG576" s="776"/>
      <c r="AH576" s="776"/>
      <c r="AI576" s="776"/>
      <c r="AJ576" s="776"/>
      <c r="AK576" s="776"/>
      <c r="AL576" s="776"/>
      <c r="AM576" s="776"/>
      <c r="AN576" s="776"/>
      <c r="AO576" s="776"/>
      <c r="AP576" s="776"/>
      <c r="AQ576" s="776"/>
      <c r="AR576" s="776"/>
      <c r="AS576" s="776"/>
      <c r="AT576" s="776"/>
      <c r="AU576" s="776"/>
      <c r="AV576" s="776"/>
      <c r="AW576" s="776"/>
      <c r="AX576" s="776"/>
      <c r="AY576" s="776"/>
      <c r="AZ576" s="776"/>
      <c r="BA576" s="776"/>
      <c r="BB576" s="776"/>
      <c r="BC576" s="776"/>
      <c r="BD576" s="776"/>
      <c r="BE576" s="776"/>
      <c r="BF576" s="776"/>
      <c r="BG576" s="776"/>
      <c r="BH576" s="776"/>
      <c r="BI576" s="776"/>
      <c r="BJ576" s="776"/>
      <c r="BK576" s="776"/>
      <c r="BL576" s="776"/>
      <c r="BM576" s="776"/>
      <c r="BN576" s="776"/>
      <c r="BO576" s="776"/>
      <c r="BP576" s="776"/>
      <c r="BQ576" s="776"/>
      <c r="BR576" s="776"/>
      <c r="BS576" s="776"/>
      <c r="BT576" s="776"/>
      <c r="BU576" s="776"/>
      <c r="BV576" s="776"/>
      <c r="BW576" s="776"/>
      <c r="BX576" s="776"/>
      <c r="BY576" s="776"/>
      <c r="BZ576" s="776"/>
      <c r="CA576" s="776"/>
      <c r="CB576" s="776"/>
      <c r="CC576" s="776"/>
      <c r="CD576" s="776"/>
      <c r="CE576" s="776"/>
      <c r="CF576" s="776"/>
      <c r="CG576" s="776"/>
      <c r="CH576" s="776"/>
      <c r="CI576" s="776"/>
      <c r="CJ576" s="776"/>
      <c r="CK576" s="776"/>
      <c r="CL576" s="776"/>
      <c r="CM576" s="776"/>
      <c r="CN576" s="776"/>
      <c r="CO576" s="776"/>
      <c r="CP576" s="776"/>
      <c r="CQ576" s="776"/>
      <c r="CR576" s="776"/>
      <c r="CS576" s="776"/>
      <c r="CT576" s="776"/>
      <c r="CU576" s="776"/>
      <c r="CV576" s="776"/>
      <c r="CW576" s="776"/>
      <c r="CX576" s="776"/>
      <c r="CY576" s="776"/>
      <c r="CZ576" s="776"/>
      <c r="DA576" s="776"/>
      <c r="DB576" s="776"/>
      <c r="DC576" s="776"/>
      <c r="DD576" s="776"/>
      <c r="DE576" s="776"/>
      <c r="DF576" s="776"/>
      <c r="DG576" s="776"/>
      <c r="DH576" s="776"/>
      <c r="DI576" s="776"/>
      <c r="DJ576" s="776"/>
      <c r="DK576" s="776"/>
      <c r="DL576" s="776"/>
      <c r="DM576" s="776"/>
      <c r="DN576" s="776"/>
      <c r="DO576" s="776"/>
      <c r="DP576" s="776"/>
      <c r="DQ576" s="776"/>
      <c r="DR576" s="776"/>
      <c r="DS576" s="776"/>
      <c r="DT576" s="776"/>
      <c r="DU576" s="776"/>
      <c r="DV576" s="776"/>
      <c r="DW576" s="776"/>
      <c r="DX576" s="776"/>
      <c r="DY576" s="776"/>
      <c r="DZ576" s="776"/>
      <c r="EA576" s="776"/>
      <c r="EB576" s="776"/>
      <c r="EC576" s="776"/>
      <c r="ED576" s="776"/>
      <c r="EE576" s="776"/>
      <c r="EF576" s="776"/>
      <c r="EG576" s="776"/>
      <c r="EH576" s="776"/>
      <c r="EI576" s="776"/>
      <c r="EJ576" s="776"/>
      <c r="EK576" s="776"/>
      <c r="EL576" s="776"/>
      <c r="EM576" s="776"/>
      <c r="EN576" s="776"/>
      <c r="EO576" s="776"/>
      <c r="EP576" s="776"/>
      <c r="EQ576" s="776"/>
      <c r="ER576" s="776"/>
      <c r="ES576" s="776"/>
      <c r="ET576" s="776"/>
      <c r="EU576" s="776"/>
      <c r="EV576" s="776"/>
      <c r="EW576" s="776"/>
      <c r="EX576" s="776"/>
      <c r="EY576" s="776"/>
      <c r="EZ576" s="776"/>
      <c r="FA576" s="776"/>
      <c r="FB576" s="776"/>
      <c r="FC576" s="776"/>
      <c r="FD576" s="776"/>
      <c r="FE576" s="776"/>
      <c r="FF576" s="776"/>
      <c r="FG576" s="776"/>
      <c r="FH576" s="776"/>
      <c r="FI576" s="776"/>
      <c r="FJ576" s="776"/>
      <c r="FK576" s="776"/>
      <c r="FL576" s="776"/>
      <c r="FM576" s="776"/>
      <c r="FN576" s="776"/>
      <c r="FO576" s="776"/>
      <c r="FP576" s="776"/>
      <c r="FQ576" s="776"/>
      <c r="FR576" s="776"/>
      <c r="FS576" s="776"/>
      <c r="FT576" s="776"/>
      <c r="FU576" s="776"/>
      <c r="FV576" s="776"/>
      <c r="FW576" s="776"/>
      <c r="FX576" s="776"/>
      <c r="FY576" s="776"/>
      <c r="FZ576" s="776"/>
      <c r="GA576" s="776"/>
      <c r="GB576" s="776"/>
      <c r="GC576" s="776"/>
      <c r="GD576" s="776"/>
      <c r="GE576" s="776"/>
      <c r="GF576" s="776"/>
      <c r="GG576" s="776"/>
      <c r="GH576" s="776"/>
      <c r="GI576" s="776"/>
      <c r="GJ576" s="776"/>
      <c r="GK576" s="776"/>
      <c r="GL576" s="776"/>
      <c r="GM576" s="776"/>
      <c r="GN576" s="776"/>
      <c r="GO576" s="776"/>
      <c r="GP576" s="776"/>
      <c r="GQ576" s="776"/>
      <c r="GR576" s="776"/>
      <c r="GS576" s="776"/>
      <c r="GT576" s="776"/>
      <c r="GU576" s="776"/>
      <c r="GV576" s="776"/>
      <c r="GW576" s="776"/>
      <c r="GX576" s="776"/>
      <c r="GY576" s="776"/>
      <c r="GZ576" s="776"/>
    </row>
    <row r="577" spans="6:208">
      <c r="F577" s="52"/>
      <c r="G577" s="52"/>
      <c r="H577" s="52"/>
      <c r="I577" s="52"/>
      <c r="J577" s="52"/>
      <c r="K577" s="52"/>
      <c r="L577" s="52"/>
      <c r="M577" s="52"/>
      <c r="N577" s="52"/>
      <c r="O577" s="52"/>
      <c r="P577" s="52"/>
      <c r="Q577" s="52"/>
      <c r="R577" s="52"/>
      <c r="S577" s="52"/>
      <c r="T577" s="52"/>
      <c r="U577" s="52"/>
      <c r="V577" s="52"/>
      <c r="W577" s="52"/>
      <c r="X577" s="52"/>
      <c r="Y577" s="52"/>
      <c r="Z577" s="52"/>
      <c r="AA577" s="242"/>
      <c r="AB577" s="52"/>
      <c r="AC577" s="776"/>
      <c r="AD577" s="776"/>
      <c r="AE577" s="776"/>
      <c r="AF577" s="776"/>
      <c r="AG577" s="776"/>
      <c r="AH577" s="776"/>
      <c r="AI577" s="776"/>
      <c r="AJ577" s="776"/>
      <c r="AK577" s="776"/>
      <c r="AL577" s="776"/>
      <c r="AM577" s="776"/>
      <c r="AN577" s="776"/>
      <c r="AO577" s="776"/>
      <c r="AP577" s="776"/>
      <c r="AQ577" s="776"/>
      <c r="AR577" s="776"/>
      <c r="AS577" s="776"/>
      <c r="AT577" s="776"/>
      <c r="AU577" s="776"/>
      <c r="AV577" s="776"/>
      <c r="AW577" s="776"/>
      <c r="AX577" s="776"/>
      <c r="AY577" s="776"/>
      <c r="AZ577" s="776"/>
      <c r="BA577" s="776"/>
      <c r="BB577" s="776"/>
      <c r="BC577" s="776"/>
      <c r="BD577" s="776"/>
      <c r="BE577" s="776"/>
      <c r="BF577" s="776"/>
      <c r="BG577" s="776"/>
      <c r="BH577" s="776"/>
      <c r="BI577" s="776"/>
      <c r="BJ577" s="776"/>
      <c r="BK577" s="776"/>
      <c r="BL577" s="776"/>
      <c r="BM577" s="776"/>
      <c r="BN577" s="776"/>
      <c r="BO577" s="776"/>
      <c r="BP577" s="776"/>
      <c r="BQ577" s="776"/>
      <c r="BR577" s="776"/>
      <c r="BS577" s="776"/>
      <c r="BT577" s="776"/>
      <c r="BU577" s="776"/>
      <c r="BV577" s="776"/>
      <c r="BW577" s="776"/>
      <c r="BX577" s="776"/>
      <c r="BY577" s="776"/>
      <c r="BZ577" s="776"/>
      <c r="CA577" s="776"/>
      <c r="CB577" s="776"/>
      <c r="CC577" s="776"/>
      <c r="CD577" s="776"/>
      <c r="CE577" s="776"/>
      <c r="CF577" s="776"/>
      <c r="CG577" s="776"/>
      <c r="CH577" s="776"/>
      <c r="CI577" s="776"/>
      <c r="CJ577" s="776"/>
      <c r="CK577" s="776"/>
      <c r="CL577" s="776"/>
      <c r="CM577" s="776"/>
      <c r="CN577" s="776"/>
      <c r="CO577" s="776"/>
      <c r="CP577" s="776"/>
      <c r="CQ577" s="776"/>
      <c r="CR577" s="776"/>
      <c r="CS577" s="776"/>
      <c r="CT577" s="776"/>
      <c r="CU577" s="776"/>
      <c r="CV577" s="776"/>
      <c r="CW577" s="776"/>
      <c r="CX577" s="776"/>
      <c r="CY577" s="776"/>
      <c r="CZ577" s="776"/>
      <c r="DA577" s="776"/>
      <c r="DB577" s="776"/>
      <c r="DC577" s="776"/>
      <c r="DD577" s="776"/>
      <c r="DE577" s="776"/>
      <c r="DF577" s="776"/>
      <c r="DG577" s="776"/>
      <c r="DH577" s="776"/>
      <c r="DI577" s="776"/>
      <c r="DJ577" s="776"/>
      <c r="DK577" s="776"/>
      <c r="DL577" s="776"/>
      <c r="DM577" s="776"/>
      <c r="DN577" s="776"/>
      <c r="DO577" s="776"/>
      <c r="DP577" s="776"/>
      <c r="DQ577" s="776"/>
      <c r="DR577" s="776"/>
      <c r="DS577" s="776"/>
      <c r="DT577" s="776"/>
      <c r="DU577" s="776"/>
      <c r="DV577" s="776"/>
      <c r="DW577" s="776"/>
      <c r="DX577" s="776"/>
      <c r="DY577" s="776"/>
      <c r="DZ577" s="776"/>
      <c r="EA577" s="776"/>
      <c r="EB577" s="776"/>
      <c r="EC577" s="776"/>
      <c r="ED577" s="776"/>
      <c r="EE577" s="776"/>
      <c r="EF577" s="776"/>
      <c r="EG577" s="776"/>
      <c r="EH577" s="776"/>
      <c r="EI577" s="776"/>
      <c r="EJ577" s="776"/>
      <c r="EK577" s="776"/>
      <c r="EL577" s="776"/>
      <c r="EM577" s="776"/>
      <c r="EN577" s="776"/>
      <c r="EO577" s="776"/>
      <c r="EP577" s="776"/>
      <c r="EQ577" s="776"/>
      <c r="ER577" s="776"/>
      <c r="ES577" s="776"/>
      <c r="ET577" s="776"/>
      <c r="EU577" s="776"/>
      <c r="EV577" s="776"/>
      <c r="EW577" s="776"/>
      <c r="EX577" s="776"/>
      <c r="EY577" s="776"/>
      <c r="EZ577" s="776"/>
      <c r="FA577" s="776"/>
      <c r="FB577" s="776"/>
      <c r="FC577" s="776"/>
      <c r="FD577" s="776"/>
      <c r="FE577" s="776"/>
      <c r="FF577" s="776"/>
      <c r="FG577" s="776"/>
      <c r="FH577" s="776"/>
      <c r="FI577" s="776"/>
      <c r="FJ577" s="776"/>
      <c r="FK577" s="776"/>
      <c r="FL577" s="776"/>
      <c r="FM577" s="776"/>
      <c r="FN577" s="776"/>
      <c r="FO577" s="776"/>
      <c r="FP577" s="776"/>
      <c r="FQ577" s="776"/>
      <c r="FR577" s="776"/>
      <c r="FS577" s="776"/>
      <c r="FT577" s="776"/>
      <c r="FU577" s="776"/>
      <c r="FV577" s="776"/>
      <c r="FW577" s="776"/>
      <c r="FX577" s="776"/>
      <c r="FY577" s="776"/>
      <c r="FZ577" s="776"/>
      <c r="GA577" s="776"/>
      <c r="GB577" s="776"/>
      <c r="GC577" s="776"/>
      <c r="GD577" s="776"/>
      <c r="GE577" s="776"/>
      <c r="GF577" s="776"/>
      <c r="GG577" s="776"/>
      <c r="GH577" s="776"/>
      <c r="GI577" s="776"/>
      <c r="GJ577" s="776"/>
      <c r="GK577" s="776"/>
      <c r="GL577" s="776"/>
      <c r="GM577" s="776"/>
      <c r="GN577" s="776"/>
      <c r="GO577" s="776"/>
      <c r="GP577" s="776"/>
      <c r="GQ577" s="776"/>
      <c r="GR577" s="776"/>
      <c r="GS577" s="776"/>
      <c r="GT577" s="776"/>
      <c r="GU577" s="776"/>
      <c r="GV577" s="776"/>
      <c r="GW577" s="776"/>
      <c r="GX577" s="776"/>
      <c r="GY577" s="776"/>
      <c r="GZ577" s="776"/>
    </row>
    <row r="578" spans="6:208">
      <c r="F578" s="776"/>
      <c r="G578" s="776"/>
      <c r="H578" s="776"/>
      <c r="I578" s="776"/>
      <c r="J578" s="776"/>
      <c r="K578" s="776"/>
      <c r="L578" s="776"/>
      <c r="M578" s="776"/>
      <c r="O578" s="776"/>
      <c r="P578" s="776"/>
      <c r="Q578" s="776"/>
      <c r="R578" s="776"/>
      <c r="S578" s="776"/>
      <c r="T578" s="776"/>
      <c r="U578" s="776"/>
      <c r="V578" s="776"/>
      <c r="W578" s="776"/>
      <c r="X578" s="776"/>
      <c r="Y578" s="776"/>
      <c r="Z578" s="776"/>
      <c r="AA578" s="13"/>
      <c r="AC578" s="776"/>
      <c r="AD578" s="776"/>
      <c r="AE578" s="776"/>
      <c r="AF578" s="776"/>
      <c r="AG578" s="776"/>
      <c r="AH578" s="776"/>
      <c r="AI578" s="776"/>
      <c r="AJ578" s="776"/>
      <c r="AK578" s="776"/>
      <c r="AL578" s="776"/>
      <c r="AM578" s="776"/>
      <c r="AN578" s="776"/>
      <c r="AO578" s="776"/>
      <c r="AP578" s="776"/>
      <c r="AQ578" s="776"/>
      <c r="AR578" s="776"/>
      <c r="AS578" s="776"/>
      <c r="AT578" s="776"/>
      <c r="AU578" s="776"/>
      <c r="AV578" s="776"/>
      <c r="AW578" s="776"/>
      <c r="AX578" s="776"/>
      <c r="AY578" s="776"/>
      <c r="AZ578" s="776"/>
      <c r="BA578" s="776"/>
      <c r="BB578" s="776"/>
      <c r="BC578" s="776"/>
      <c r="BD578" s="776"/>
      <c r="BE578" s="776"/>
      <c r="BF578" s="776"/>
      <c r="BG578" s="776"/>
      <c r="BH578" s="776"/>
      <c r="BI578" s="776"/>
      <c r="BJ578" s="776"/>
      <c r="BK578" s="776"/>
      <c r="BL578" s="776"/>
      <c r="BM578" s="776"/>
      <c r="BN578" s="776"/>
      <c r="BO578" s="776"/>
      <c r="BP578" s="776"/>
      <c r="BQ578" s="776"/>
      <c r="BR578" s="776"/>
      <c r="BS578" s="776"/>
      <c r="BT578" s="776"/>
      <c r="BU578" s="776"/>
      <c r="BV578" s="776"/>
      <c r="BW578" s="776"/>
      <c r="BX578" s="776"/>
      <c r="BY578" s="776"/>
      <c r="BZ578" s="776"/>
      <c r="CA578" s="776"/>
      <c r="CB578" s="776"/>
      <c r="CC578" s="776"/>
      <c r="CD578" s="776"/>
      <c r="CE578" s="776"/>
      <c r="CF578" s="776"/>
      <c r="CG578" s="776"/>
      <c r="CH578" s="776"/>
      <c r="CI578" s="776"/>
      <c r="CJ578" s="776"/>
      <c r="CK578" s="776"/>
      <c r="CL578" s="776"/>
      <c r="CM578" s="776"/>
      <c r="CN578" s="776"/>
      <c r="CO578" s="776"/>
      <c r="CP578" s="776"/>
      <c r="CQ578" s="776"/>
      <c r="CR578" s="776"/>
      <c r="CS578" s="776"/>
      <c r="CT578" s="776"/>
      <c r="CU578" s="776"/>
      <c r="CV578" s="776"/>
      <c r="CW578" s="776"/>
      <c r="CX578" s="776"/>
      <c r="CY578" s="776"/>
      <c r="CZ578" s="776"/>
      <c r="DA578" s="776"/>
      <c r="DB578" s="776"/>
      <c r="DC578" s="776"/>
      <c r="DD578" s="776"/>
      <c r="DE578" s="776"/>
      <c r="DF578" s="776"/>
      <c r="DG578" s="776"/>
      <c r="DH578" s="776"/>
      <c r="DI578" s="776"/>
      <c r="DJ578" s="776"/>
      <c r="DK578" s="776"/>
      <c r="DL578" s="776"/>
      <c r="DM578" s="776"/>
      <c r="DN578" s="776"/>
      <c r="DO578" s="776"/>
      <c r="DP578" s="776"/>
      <c r="DQ578" s="776"/>
      <c r="DR578" s="776"/>
      <c r="DS578" s="776"/>
      <c r="DT578" s="776"/>
      <c r="DU578" s="776"/>
      <c r="DV578" s="776"/>
      <c r="DW578" s="776"/>
      <c r="DX578" s="776"/>
      <c r="DY578" s="776"/>
      <c r="DZ578" s="776"/>
      <c r="EA578" s="776"/>
      <c r="EB578" s="776"/>
      <c r="EC578" s="776"/>
      <c r="ED578" s="776"/>
      <c r="EE578" s="776"/>
      <c r="EF578" s="776"/>
      <c r="EG578" s="776"/>
      <c r="EH578" s="776"/>
      <c r="EI578" s="776"/>
      <c r="EJ578" s="776"/>
      <c r="EK578" s="776"/>
      <c r="EL578" s="776"/>
      <c r="EM578" s="776"/>
      <c r="EN578" s="776"/>
      <c r="EO578" s="776"/>
      <c r="EP578" s="776"/>
      <c r="EQ578" s="776"/>
      <c r="ER578" s="776"/>
      <c r="ES578" s="776"/>
      <c r="ET578" s="776"/>
      <c r="EU578" s="776"/>
      <c r="EV578" s="776"/>
      <c r="EW578" s="776"/>
      <c r="EX578" s="776"/>
      <c r="EY578" s="776"/>
      <c r="EZ578" s="776"/>
      <c r="FA578" s="776"/>
      <c r="FB578" s="776"/>
      <c r="FC578" s="776"/>
      <c r="FD578" s="776"/>
      <c r="FE578" s="776"/>
      <c r="FF578" s="776"/>
      <c r="FG578" s="776"/>
      <c r="FH578" s="776"/>
      <c r="FI578" s="776"/>
      <c r="FJ578" s="776"/>
      <c r="FK578" s="776"/>
      <c r="FL578" s="776"/>
      <c r="FM578" s="776"/>
      <c r="FN578" s="776"/>
      <c r="FO578" s="776"/>
      <c r="FP578" s="776"/>
      <c r="FQ578" s="776"/>
      <c r="FR578" s="776"/>
      <c r="FS578" s="776"/>
      <c r="FT578" s="776"/>
      <c r="FU578" s="776"/>
      <c r="FV578" s="776"/>
      <c r="FW578" s="776"/>
      <c r="FX578" s="776"/>
      <c r="FY578" s="776"/>
      <c r="FZ578" s="776"/>
      <c r="GA578" s="776"/>
      <c r="GB578" s="776"/>
      <c r="GC578" s="776"/>
      <c r="GD578" s="776"/>
      <c r="GE578" s="776"/>
      <c r="GF578" s="776"/>
      <c r="GG578" s="776"/>
      <c r="GH578" s="776"/>
      <c r="GI578" s="776"/>
      <c r="GJ578" s="776"/>
      <c r="GK578" s="776"/>
      <c r="GL578" s="776"/>
      <c r="GM578" s="776"/>
      <c r="GN578" s="776"/>
      <c r="GO578" s="776"/>
      <c r="GP578" s="776"/>
      <c r="GQ578" s="776"/>
      <c r="GR578" s="776"/>
      <c r="GS578" s="776"/>
      <c r="GT578" s="776"/>
      <c r="GU578" s="776"/>
      <c r="GV578" s="776"/>
      <c r="GW578" s="776"/>
      <c r="GX578" s="776"/>
      <c r="GY578" s="776"/>
      <c r="GZ578" s="776"/>
    </row>
    <row r="579" spans="6:208">
      <c r="F579" s="776"/>
      <c r="G579" s="776"/>
      <c r="H579" s="776"/>
      <c r="I579" s="776"/>
      <c r="J579" s="776"/>
      <c r="K579" s="776"/>
      <c r="L579" s="776"/>
      <c r="M579" s="776"/>
      <c r="O579" s="776"/>
      <c r="P579" s="776"/>
      <c r="Q579" s="776"/>
      <c r="R579" s="776"/>
      <c r="S579" s="776"/>
      <c r="T579" s="776"/>
      <c r="U579" s="776"/>
      <c r="V579" s="776"/>
      <c r="W579" s="776"/>
      <c r="X579" s="776"/>
      <c r="Y579" s="776"/>
      <c r="Z579" s="776"/>
      <c r="AA579" s="13"/>
      <c r="AC579" s="776"/>
      <c r="AD579" s="776"/>
      <c r="AE579" s="776"/>
      <c r="AF579" s="776"/>
      <c r="AG579" s="776"/>
      <c r="AH579" s="776"/>
      <c r="AI579" s="776"/>
      <c r="AJ579" s="776"/>
      <c r="AK579" s="776"/>
      <c r="AL579" s="776"/>
      <c r="AM579" s="776"/>
      <c r="AN579" s="776"/>
      <c r="AO579" s="776"/>
      <c r="AP579" s="776"/>
      <c r="AQ579" s="776"/>
      <c r="AR579" s="776"/>
      <c r="AS579" s="776"/>
      <c r="AT579" s="776"/>
      <c r="AU579" s="776"/>
      <c r="AV579" s="776"/>
      <c r="AW579" s="776"/>
      <c r="AX579" s="776"/>
      <c r="AY579" s="776"/>
      <c r="AZ579" s="776"/>
      <c r="BA579" s="776"/>
      <c r="BB579" s="776"/>
      <c r="BC579" s="776"/>
      <c r="BD579" s="776"/>
      <c r="BE579" s="776"/>
      <c r="BF579" s="776"/>
      <c r="BG579" s="776"/>
      <c r="BH579" s="776"/>
      <c r="BI579" s="776"/>
      <c r="BJ579" s="776"/>
      <c r="BK579" s="776"/>
      <c r="BL579" s="776"/>
      <c r="BM579" s="776"/>
      <c r="BN579" s="776"/>
      <c r="BO579" s="776"/>
      <c r="BP579" s="776"/>
      <c r="BQ579" s="776"/>
      <c r="BR579" s="776"/>
      <c r="BS579" s="776"/>
      <c r="BT579" s="776"/>
      <c r="BU579" s="776"/>
      <c r="BV579" s="776"/>
      <c r="BW579" s="776"/>
      <c r="BX579" s="776"/>
      <c r="BY579" s="776"/>
      <c r="BZ579" s="776"/>
      <c r="CA579" s="776"/>
      <c r="CB579" s="776"/>
      <c r="CC579" s="776"/>
      <c r="CD579" s="776"/>
      <c r="CE579" s="776"/>
      <c r="CF579" s="776"/>
      <c r="CG579" s="776"/>
      <c r="CH579" s="776"/>
      <c r="CI579" s="776"/>
      <c r="CJ579" s="776"/>
      <c r="CK579" s="776"/>
      <c r="CL579" s="776"/>
      <c r="CM579" s="776"/>
      <c r="CN579" s="776"/>
      <c r="CO579" s="776"/>
      <c r="CP579" s="776"/>
      <c r="CQ579" s="776"/>
      <c r="CR579" s="776"/>
      <c r="CS579" s="776"/>
      <c r="CT579" s="776"/>
      <c r="CU579" s="776"/>
      <c r="CV579" s="776"/>
      <c r="CW579" s="776"/>
      <c r="CX579" s="776"/>
      <c r="CY579" s="776"/>
      <c r="CZ579" s="776"/>
      <c r="DA579" s="776"/>
      <c r="DB579" s="776"/>
      <c r="DC579" s="776"/>
      <c r="DD579" s="776"/>
      <c r="DE579" s="776"/>
      <c r="DF579" s="776"/>
      <c r="DG579" s="776"/>
      <c r="DH579" s="776"/>
      <c r="DI579" s="776"/>
      <c r="DJ579" s="776"/>
      <c r="DK579" s="776"/>
      <c r="DL579" s="776"/>
      <c r="DM579" s="776"/>
      <c r="DN579" s="776"/>
      <c r="DO579" s="776"/>
      <c r="DP579" s="776"/>
      <c r="DQ579" s="776"/>
      <c r="DR579" s="776"/>
      <c r="DS579" s="776"/>
      <c r="DT579" s="776"/>
      <c r="DU579" s="776"/>
      <c r="DV579" s="776"/>
      <c r="DW579" s="776"/>
      <c r="DX579" s="776"/>
      <c r="DY579" s="776"/>
      <c r="DZ579" s="776"/>
      <c r="EA579" s="776"/>
      <c r="EB579" s="776"/>
      <c r="EC579" s="776"/>
      <c r="ED579" s="776"/>
      <c r="EE579" s="776"/>
      <c r="EF579" s="776"/>
      <c r="EG579" s="776"/>
      <c r="EH579" s="776"/>
      <c r="EI579" s="776"/>
      <c r="EJ579" s="776"/>
      <c r="EK579" s="776"/>
      <c r="EL579" s="776"/>
      <c r="EM579" s="776"/>
      <c r="EN579" s="776"/>
      <c r="EO579" s="776"/>
      <c r="EP579" s="776"/>
      <c r="EQ579" s="776"/>
      <c r="ER579" s="776"/>
      <c r="ES579" s="776"/>
      <c r="ET579" s="776"/>
      <c r="EU579" s="776"/>
      <c r="EV579" s="776"/>
      <c r="EW579" s="776"/>
      <c r="EX579" s="776"/>
      <c r="EY579" s="776"/>
      <c r="EZ579" s="776"/>
      <c r="FA579" s="776"/>
      <c r="FB579" s="776"/>
      <c r="FC579" s="776"/>
      <c r="FD579" s="776"/>
      <c r="FE579" s="776"/>
      <c r="FF579" s="776"/>
      <c r="FG579" s="776"/>
      <c r="FH579" s="776"/>
      <c r="FI579" s="776"/>
      <c r="FJ579" s="776"/>
      <c r="FK579" s="776"/>
      <c r="FL579" s="776"/>
      <c r="FM579" s="776"/>
      <c r="FN579" s="776"/>
      <c r="FO579" s="776"/>
      <c r="FP579" s="776"/>
      <c r="FQ579" s="776"/>
      <c r="FR579" s="776"/>
      <c r="FS579" s="776"/>
      <c r="FT579" s="776"/>
      <c r="FU579" s="776"/>
      <c r="FV579" s="776"/>
      <c r="FW579" s="776"/>
      <c r="FX579" s="776"/>
      <c r="FY579" s="776"/>
      <c r="FZ579" s="776"/>
      <c r="GA579" s="776"/>
      <c r="GB579" s="776"/>
      <c r="GC579" s="776"/>
      <c r="GD579" s="776"/>
      <c r="GE579" s="776"/>
      <c r="GF579" s="776"/>
      <c r="GG579" s="776"/>
      <c r="GH579" s="776"/>
      <c r="GI579" s="776"/>
      <c r="GJ579" s="776"/>
      <c r="GK579" s="776"/>
      <c r="GL579" s="776"/>
      <c r="GM579" s="776"/>
      <c r="GN579" s="776"/>
      <c r="GO579" s="776"/>
      <c r="GP579" s="776"/>
      <c r="GQ579" s="776"/>
      <c r="GR579" s="776"/>
      <c r="GS579" s="776"/>
      <c r="GT579" s="776"/>
      <c r="GU579" s="776"/>
      <c r="GV579" s="776"/>
      <c r="GW579" s="776"/>
      <c r="GX579" s="776"/>
      <c r="GY579" s="776"/>
      <c r="GZ579" s="776"/>
    </row>
    <row r="580" spans="6:208">
      <c r="F580" s="776"/>
      <c r="G580" s="776"/>
      <c r="H580" s="776"/>
      <c r="I580" s="776"/>
      <c r="J580" s="776"/>
      <c r="K580" s="776"/>
      <c r="L580" s="776"/>
      <c r="M580" s="776"/>
      <c r="O580" s="776"/>
      <c r="P580" s="776"/>
      <c r="Q580" s="776"/>
      <c r="R580" s="776"/>
      <c r="S580" s="776"/>
      <c r="T580" s="776"/>
      <c r="U580" s="776"/>
      <c r="V580" s="776"/>
      <c r="W580" s="776"/>
      <c r="X580" s="776"/>
      <c r="Y580" s="776"/>
      <c r="Z580" s="776"/>
      <c r="AA580" s="13"/>
      <c r="AC580" s="776"/>
      <c r="AD580" s="776"/>
      <c r="AE580" s="776"/>
      <c r="AF580" s="776"/>
      <c r="AG580" s="776"/>
      <c r="AH580" s="776"/>
      <c r="AI580" s="776"/>
      <c r="AJ580" s="776"/>
      <c r="AK580" s="776"/>
      <c r="AL580" s="776"/>
      <c r="AM580" s="776"/>
      <c r="AN580" s="776"/>
      <c r="AO580" s="776"/>
      <c r="AP580" s="776"/>
      <c r="AQ580" s="776"/>
      <c r="AR580" s="776"/>
      <c r="AS580" s="776"/>
      <c r="AT580" s="776"/>
      <c r="AU580" s="776"/>
      <c r="AV580" s="776"/>
      <c r="AW580" s="776"/>
      <c r="AX580" s="776"/>
      <c r="AY580" s="776"/>
      <c r="AZ580" s="776"/>
      <c r="BA580" s="776"/>
      <c r="BB580" s="776"/>
      <c r="BC580" s="776"/>
      <c r="BD580" s="776"/>
      <c r="BE580" s="776"/>
      <c r="BF580" s="776"/>
      <c r="BG580" s="776"/>
      <c r="BH580" s="776"/>
      <c r="BI580" s="776"/>
      <c r="BJ580" s="776"/>
      <c r="BK580" s="776"/>
      <c r="BL580" s="776"/>
      <c r="BM580" s="776"/>
      <c r="BN580" s="776"/>
      <c r="BO580" s="776"/>
      <c r="BP580" s="776"/>
      <c r="BQ580" s="776"/>
      <c r="BR580" s="776"/>
      <c r="BS580" s="776"/>
      <c r="BT580" s="776"/>
      <c r="BU580" s="776"/>
      <c r="BV580" s="776"/>
      <c r="BW580" s="776"/>
      <c r="BX580" s="776"/>
      <c r="BY580" s="776"/>
      <c r="BZ580" s="776"/>
      <c r="CA580" s="776"/>
      <c r="CB580" s="776"/>
      <c r="CC580" s="776"/>
      <c r="CD580" s="776"/>
      <c r="CE580" s="776"/>
      <c r="CF580" s="776"/>
      <c r="CG580" s="776"/>
      <c r="CH580" s="776"/>
      <c r="CI580" s="776"/>
      <c r="CJ580" s="776"/>
      <c r="CK580" s="776"/>
      <c r="CL580" s="776"/>
      <c r="CM580" s="776"/>
      <c r="CN580" s="776"/>
      <c r="CO580" s="776"/>
      <c r="CP580" s="776"/>
      <c r="CQ580" s="776"/>
      <c r="CR580" s="776"/>
      <c r="CS580" s="776"/>
      <c r="CT580" s="776"/>
      <c r="CU580" s="776"/>
      <c r="CV580" s="776"/>
      <c r="CW580" s="776"/>
      <c r="CX580" s="776"/>
      <c r="CY580" s="776"/>
      <c r="CZ580" s="776"/>
      <c r="DA580" s="776"/>
      <c r="DB580" s="776"/>
      <c r="DC580" s="776"/>
      <c r="DD580" s="776"/>
      <c r="DE580" s="776"/>
      <c r="DF580" s="776"/>
      <c r="DG580" s="776"/>
      <c r="DH580" s="776"/>
      <c r="DI580" s="776"/>
      <c r="DJ580" s="776"/>
      <c r="DK580" s="776"/>
      <c r="DL580" s="776"/>
      <c r="DM580" s="776"/>
      <c r="DN580" s="776"/>
      <c r="DO580" s="776"/>
      <c r="DP580" s="776"/>
      <c r="DQ580" s="776"/>
      <c r="DR580" s="776"/>
      <c r="DS580" s="776"/>
      <c r="DT580" s="776"/>
      <c r="DU580" s="776"/>
      <c r="DV580" s="776"/>
      <c r="DW580" s="776"/>
      <c r="DX580" s="776"/>
      <c r="DY580" s="776"/>
      <c r="DZ580" s="776"/>
      <c r="EA580" s="776"/>
      <c r="EB580" s="776"/>
      <c r="EC580" s="776"/>
      <c r="ED580" s="776"/>
      <c r="EE580" s="776"/>
      <c r="EF580" s="776"/>
      <c r="EG580" s="776"/>
      <c r="EH580" s="776"/>
      <c r="EI580" s="776"/>
      <c r="EJ580" s="776"/>
      <c r="EK580" s="776"/>
      <c r="EL580" s="776"/>
      <c r="EM580" s="776"/>
      <c r="EN580" s="776"/>
      <c r="EO580" s="776"/>
      <c r="EP580" s="776"/>
      <c r="EQ580" s="776"/>
      <c r="ER580" s="776"/>
      <c r="ES580" s="776"/>
      <c r="ET580" s="776"/>
      <c r="EU580" s="776"/>
      <c r="EV580" s="776"/>
      <c r="EW580" s="776"/>
      <c r="EX580" s="776"/>
      <c r="EY580" s="776"/>
      <c r="EZ580" s="776"/>
      <c r="FA580" s="776"/>
      <c r="FB580" s="776"/>
      <c r="FC580" s="776"/>
      <c r="FD580" s="776"/>
      <c r="FE580" s="776"/>
      <c r="FF580" s="776"/>
      <c r="FG580" s="776"/>
      <c r="FH580" s="776"/>
      <c r="FI580" s="776"/>
      <c r="FJ580" s="776"/>
      <c r="FK580" s="776"/>
      <c r="FL580" s="776"/>
      <c r="FM580" s="776"/>
      <c r="FN580" s="776"/>
      <c r="FO580" s="776"/>
      <c r="FP580" s="776"/>
      <c r="FQ580" s="776"/>
      <c r="FR580" s="776"/>
      <c r="FS580" s="776"/>
      <c r="FT580" s="776"/>
      <c r="FU580" s="776"/>
      <c r="FV580" s="776"/>
      <c r="FW580" s="776"/>
      <c r="FX580" s="776"/>
      <c r="FY580" s="776"/>
      <c r="FZ580" s="776"/>
      <c r="GA580" s="776"/>
      <c r="GB580" s="776"/>
      <c r="GC580" s="776"/>
      <c r="GD580" s="776"/>
      <c r="GE580" s="776"/>
      <c r="GF580" s="776"/>
      <c r="GG580" s="776"/>
      <c r="GH580" s="776"/>
      <c r="GI580" s="776"/>
      <c r="GJ580" s="776"/>
      <c r="GK580" s="776"/>
      <c r="GL580" s="776"/>
      <c r="GM580" s="776"/>
      <c r="GN580" s="776"/>
      <c r="GO580" s="776"/>
      <c r="GP580" s="776"/>
      <c r="GQ580" s="776"/>
      <c r="GR580" s="776"/>
      <c r="GS580" s="776"/>
      <c r="GT580" s="776"/>
      <c r="GU580" s="776"/>
      <c r="GV580" s="776"/>
      <c r="GW580" s="776"/>
      <c r="GX580" s="776"/>
      <c r="GY580" s="776"/>
      <c r="GZ580" s="776"/>
    </row>
    <row r="581" spans="6:208">
      <c r="F581" s="776"/>
      <c r="G581" s="776"/>
      <c r="H581" s="776"/>
      <c r="I581" s="776"/>
      <c r="J581" s="776"/>
      <c r="K581" s="776"/>
      <c r="L581" s="776"/>
      <c r="M581" s="776"/>
      <c r="O581" s="776"/>
      <c r="P581" s="776"/>
      <c r="Q581" s="776"/>
      <c r="R581" s="776"/>
      <c r="S581" s="776"/>
      <c r="T581" s="776"/>
      <c r="U581" s="776"/>
      <c r="V581" s="776"/>
      <c r="W581" s="776"/>
      <c r="X581" s="776"/>
      <c r="Y581" s="776"/>
      <c r="Z581" s="776"/>
      <c r="AA581" s="13"/>
      <c r="AC581" s="776"/>
      <c r="AD581" s="776"/>
      <c r="AE581" s="776"/>
      <c r="AF581" s="776"/>
      <c r="AG581" s="776"/>
      <c r="AH581" s="776"/>
      <c r="AI581" s="776"/>
      <c r="AJ581" s="776"/>
      <c r="AK581" s="776"/>
      <c r="AL581" s="776"/>
      <c r="AM581" s="776"/>
      <c r="AN581" s="776"/>
      <c r="AO581" s="776"/>
      <c r="AP581" s="776"/>
      <c r="AQ581" s="776"/>
      <c r="AR581" s="776"/>
      <c r="AS581" s="776"/>
      <c r="AT581" s="776"/>
      <c r="AU581" s="776"/>
      <c r="AV581" s="776"/>
      <c r="AW581" s="776"/>
      <c r="AX581" s="776"/>
      <c r="AY581" s="776"/>
      <c r="AZ581" s="776"/>
      <c r="BA581" s="776"/>
      <c r="BB581" s="776"/>
      <c r="BC581" s="776"/>
      <c r="BD581" s="776"/>
      <c r="BE581" s="776"/>
      <c r="BF581" s="776"/>
      <c r="BG581" s="776"/>
      <c r="BH581" s="776"/>
      <c r="BI581" s="776"/>
      <c r="BJ581" s="776"/>
      <c r="BK581" s="776"/>
      <c r="BL581" s="776"/>
      <c r="BM581" s="776"/>
      <c r="BN581" s="776"/>
      <c r="BO581" s="776"/>
      <c r="BP581" s="776"/>
      <c r="BQ581" s="776"/>
      <c r="BR581" s="776"/>
      <c r="BS581" s="776"/>
      <c r="BT581" s="776"/>
      <c r="BU581" s="776"/>
      <c r="BV581" s="776"/>
      <c r="BW581" s="776"/>
      <c r="BX581" s="776"/>
      <c r="BY581" s="776"/>
      <c r="BZ581" s="776"/>
      <c r="CA581" s="776"/>
      <c r="CB581" s="776"/>
      <c r="CC581" s="776"/>
      <c r="CD581" s="776"/>
      <c r="CE581" s="776"/>
      <c r="CF581" s="776"/>
      <c r="CG581" s="776"/>
      <c r="CH581" s="776"/>
      <c r="CI581" s="776"/>
      <c r="CJ581" s="776"/>
      <c r="CK581" s="776"/>
      <c r="CL581" s="776"/>
      <c r="CM581" s="776"/>
      <c r="CN581" s="776"/>
      <c r="CO581" s="776"/>
      <c r="CP581" s="776"/>
      <c r="CQ581" s="776"/>
      <c r="CR581" s="776"/>
      <c r="CS581" s="776"/>
      <c r="CT581" s="776"/>
      <c r="CU581" s="776"/>
      <c r="CV581" s="776"/>
      <c r="CW581" s="776"/>
      <c r="CX581" s="776"/>
      <c r="CY581" s="776"/>
      <c r="CZ581" s="776"/>
      <c r="DA581" s="776"/>
      <c r="DB581" s="776"/>
      <c r="DC581" s="776"/>
      <c r="DD581" s="776"/>
      <c r="DE581" s="776"/>
      <c r="DF581" s="776"/>
      <c r="DG581" s="776"/>
      <c r="DH581" s="776"/>
      <c r="DI581" s="776"/>
      <c r="DJ581" s="776"/>
      <c r="DK581" s="776"/>
      <c r="DL581" s="776"/>
      <c r="DM581" s="776"/>
      <c r="DN581" s="776"/>
      <c r="DO581" s="776"/>
      <c r="DP581" s="776"/>
      <c r="DQ581" s="776"/>
      <c r="DR581" s="776"/>
      <c r="DS581" s="776"/>
      <c r="DT581" s="776"/>
      <c r="DU581" s="776"/>
      <c r="DV581" s="776"/>
      <c r="DW581" s="776"/>
      <c r="DX581" s="776"/>
      <c r="DY581" s="776"/>
      <c r="DZ581" s="776"/>
      <c r="EA581" s="776"/>
      <c r="EB581" s="776"/>
      <c r="EC581" s="776"/>
      <c r="ED581" s="776"/>
      <c r="EE581" s="776"/>
      <c r="EF581" s="776"/>
      <c r="EG581" s="776"/>
      <c r="EH581" s="776"/>
      <c r="EI581" s="776"/>
      <c r="EJ581" s="776"/>
      <c r="EK581" s="776"/>
      <c r="EL581" s="776"/>
      <c r="EM581" s="776"/>
      <c r="EN581" s="776"/>
      <c r="EO581" s="776"/>
      <c r="EP581" s="776"/>
      <c r="EQ581" s="776"/>
      <c r="ER581" s="776"/>
      <c r="ES581" s="776"/>
      <c r="ET581" s="776"/>
      <c r="EU581" s="776"/>
      <c r="EV581" s="776"/>
      <c r="EW581" s="776"/>
      <c r="EX581" s="776"/>
      <c r="EY581" s="776"/>
      <c r="EZ581" s="776"/>
      <c r="FA581" s="776"/>
      <c r="FB581" s="776"/>
      <c r="FC581" s="776"/>
      <c r="FD581" s="776"/>
      <c r="FE581" s="776"/>
      <c r="FF581" s="776"/>
      <c r="FG581" s="776"/>
      <c r="FH581" s="776"/>
      <c r="FI581" s="776"/>
      <c r="FJ581" s="776"/>
      <c r="FK581" s="776"/>
      <c r="FL581" s="776"/>
      <c r="FM581" s="776"/>
      <c r="FN581" s="776"/>
      <c r="FO581" s="776"/>
      <c r="FP581" s="776"/>
      <c r="FQ581" s="776"/>
      <c r="FR581" s="776"/>
      <c r="FS581" s="776"/>
      <c r="FT581" s="776"/>
      <c r="FU581" s="776"/>
      <c r="FV581" s="776"/>
      <c r="FW581" s="776"/>
      <c r="FX581" s="776"/>
      <c r="FY581" s="776"/>
      <c r="FZ581" s="776"/>
      <c r="GA581" s="776"/>
      <c r="GB581" s="776"/>
      <c r="GC581" s="776"/>
      <c r="GD581" s="776"/>
      <c r="GE581" s="776"/>
      <c r="GF581" s="776"/>
      <c r="GG581" s="776"/>
      <c r="GH581" s="776"/>
      <c r="GI581" s="776"/>
      <c r="GJ581" s="776"/>
      <c r="GK581" s="776"/>
      <c r="GL581" s="776"/>
      <c r="GM581" s="776"/>
      <c r="GN581" s="776"/>
      <c r="GO581" s="776"/>
      <c r="GP581" s="776"/>
      <c r="GQ581" s="776"/>
      <c r="GR581" s="776"/>
      <c r="GS581" s="776"/>
      <c r="GT581" s="776"/>
      <c r="GU581" s="776"/>
      <c r="GV581" s="776"/>
      <c r="GW581" s="776"/>
      <c r="GX581" s="776"/>
      <c r="GY581" s="776"/>
      <c r="GZ581" s="776"/>
    </row>
    <row r="582" spans="6:208">
      <c r="F582" s="776"/>
      <c r="G582" s="776"/>
      <c r="H582" s="776"/>
      <c r="I582" s="776"/>
      <c r="J582" s="776"/>
      <c r="K582" s="776"/>
      <c r="L582" s="776"/>
      <c r="M582" s="776"/>
      <c r="O582" s="776"/>
      <c r="P582" s="776"/>
      <c r="Q582" s="776"/>
      <c r="R582" s="776"/>
      <c r="S582" s="776"/>
      <c r="T582" s="776"/>
      <c r="U582" s="776"/>
      <c r="V582" s="776"/>
      <c r="W582" s="776"/>
      <c r="X582" s="776"/>
      <c r="Y582" s="776"/>
      <c r="Z582" s="776"/>
      <c r="AA582" s="13"/>
      <c r="AC582" s="776"/>
      <c r="AD582" s="776"/>
      <c r="AE582" s="776"/>
      <c r="AF582" s="776"/>
      <c r="AG582" s="776"/>
      <c r="AH582" s="776"/>
      <c r="AI582" s="776"/>
      <c r="AJ582" s="776"/>
      <c r="AK582" s="776"/>
      <c r="AL582" s="776"/>
      <c r="AM582" s="776"/>
      <c r="AN582" s="776"/>
      <c r="AO582" s="776"/>
      <c r="AP582" s="776"/>
      <c r="AQ582" s="776"/>
      <c r="AR582" s="776"/>
      <c r="AS582" s="776"/>
      <c r="AT582" s="776"/>
      <c r="AU582" s="776"/>
      <c r="AV582" s="776"/>
      <c r="AW582" s="776"/>
      <c r="AX582" s="776"/>
      <c r="AY582" s="776"/>
      <c r="AZ582" s="776"/>
      <c r="BA582" s="776"/>
      <c r="BB582" s="776"/>
      <c r="BC582" s="776"/>
      <c r="BD582" s="776"/>
      <c r="BE582" s="776"/>
      <c r="BF582" s="776"/>
      <c r="BG582" s="776"/>
      <c r="BH582" s="776"/>
      <c r="BI582" s="776"/>
      <c r="BJ582" s="776"/>
      <c r="BK582" s="776"/>
      <c r="BL582" s="776"/>
      <c r="BM582" s="776"/>
      <c r="BN582" s="776"/>
      <c r="BO582" s="776"/>
      <c r="BP582" s="776"/>
      <c r="BQ582" s="776"/>
      <c r="BR582" s="776"/>
      <c r="BS582" s="776"/>
      <c r="BT582" s="776"/>
      <c r="BU582" s="776"/>
      <c r="BV582" s="776"/>
      <c r="BW582" s="776"/>
      <c r="BX582" s="776"/>
      <c r="BY582" s="776"/>
      <c r="BZ582" s="776"/>
      <c r="CA582" s="776"/>
      <c r="CB582" s="776"/>
      <c r="CC582" s="776"/>
      <c r="CD582" s="776"/>
      <c r="CE582" s="776"/>
      <c r="CF582" s="776"/>
      <c r="CG582" s="776"/>
      <c r="CH582" s="776"/>
      <c r="CI582" s="776"/>
      <c r="CJ582" s="776"/>
      <c r="CK582" s="776"/>
      <c r="CL582" s="776"/>
      <c r="CM582" s="776"/>
      <c r="CN582" s="776"/>
      <c r="CO582" s="776"/>
      <c r="CP582" s="776"/>
      <c r="CQ582" s="776"/>
      <c r="CR582" s="776"/>
      <c r="CS582" s="776"/>
      <c r="CT582" s="776"/>
      <c r="CU582" s="776"/>
      <c r="CV582" s="776"/>
      <c r="CW582" s="776"/>
      <c r="CX582" s="776"/>
      <c r="CY582" s="776"/>
      <c r="CZ582" s="776"/>
      <c r="DA582" s="776"/>
      <c r="DB582" s="776"/>
      <c r="DC582" s="776"/>
      <c r="DD582" s="776"/>
      <c r="DE582" s="776"/>
      <c r="DF582" s="776"/>
      <c r="DG582" s="776"/>
      <c r="DH582" s="776"/>
      <c r="DI582" s="776"/>
      <c r="DJ582" s="776"/>
      <c r="DK582" s="776"/>
      <c r="DL582" s="776"/>
      <c r="DM582" s="776"/>
      <c r="DN582" s="776"/>
      <c r="DO582" s="776"/>
      <c r="DP582" s="776"/>
      <c r="DQ582" s="776"/>
      <c r="DR582" s="776"/>
      <c r="DS582" s="776"/>
      <c r="DT582" s="776"/>
      <c r="DU582" s="776"/>
      <c r="DV582" s="776"/>
      <c r="DW582" s="776"/>
      <c r="DX582" s="776"/>
      <c r="DY582" s="776"/>
      <c r="DZ582" s="776"/>
      <c r="EA582" s="776"/>
      <c r="EB582" s="776"/>
      <c r="EC582" s="776"/>
      <c r="ED582" s="776"/>
      <c r="EE582" s="776"/>
      <c r="EF582" s="776"/>
      <c r="EG582" s="776"/>
      <c r="EH582" s="776"/>
      <c r="EI582" s="776"/>
      <c r="EJ582" s="776"/>
      <c r="EK582" s="776"/>
      <c r="EL582" s="776"/>
      <c r="EM582" s="776"/>
      <c r="EN582" s="776"/>
      <c r="EO582" s="776"/>
      <c r="EP582" s="776"/>
      <c r="EQ582" s="776"/>
      <c r="ER582" s="776"/>
      <c r="ES582" s="776"/>
      <c r="ET582" s="776"/>
      <c r="EU582" s="776"/>
      <c r="EV582" s="776"/>
      <c r="EW582" s="776"/>
      <c r="EX582" s="776"/>
      <c r="EY582" s="776"/>
      <c r="EZ582" s="776"/>
      <c r="FA582" s="776"/>
      <c r="FB582" s="776"/>
      <c r="FC582" s="776"/>
      <c r="FD582" s="776"/>
      <c r="FE582" s="776"/>
      <c r="FF582" s="776"/>
      <c r="FG582" s="776"/>
      <c r="FH582" s="776"/>
      <c r="FI582" s="776"/>
      <c r="FJ582" s="776"/>
      <c r="FK582" s="776"/>
      <c r="FL582" s="776"/>
      <c r="FM582" s="776"/>
      <c r="FN582" s="776"/>
      <c r="FO582" s="776"/>
      <c r="FP582" s="776"/>
      <c r="FQ582" s="776"/>
      <c r="FR582" s="776"/>
      <c r="FS582" s="776"/>
      <c r="FT582" s="776"/>
      <c r="FU582" s="776"/>
      <c r="FV582" s="776"/>
      <c r="FW582" s="776"/>
      <c r="FX582" s="776"/>
      <c r="FY582" s="776"/>
      <c r="FZ582" s="776"/>
      <c r="GA582" s="776"/>
      <c r="GB582" s="776"/>
      <c r="GC582" s="776"/>
      <c r="GD582" s="776"/>
      <c r="GE582" s="776"/>
      <c r="GF582" s="776"/>
      <c r="GG582" s="776"/>
      <c r="GH582" s="776"/>
      <c r="GI582" s="776"/>
      <c r="GJ582" s="776"/>
      <c r="GK582" s="776"/>
      <c r="GL582" s="776"/>
      <c r="GM582" s="776"/>
      <c r="GN582" s="776"/>
      <c r="GO582" s="776"/>
      <c r="GP582" s="776"/>
      <c r="GQ582" s="776"/>
      <c r="GR582" s="776"/>
      <c r="GS582" s="776"/>
      <c r="GT582" s="776"/>
      <c r="GU582" s="776"/>
      <c r="GV582" s="776"/>
      <c r="GW582" s="776"/>
      <c r="GX582" s="776"/>
      <c r="GY582" s="776"/>
      <c r="GZ582" s="776"/>
    </row>
    <row r="583" spans="6:208">
      <c r="F583" s="776"/>
      <c r="G583" s="776"/>
      <c r="H583" s="776"/>
      <c r="I583" s="776"/>
      <c r="J583" s="776"/>
      <c r="K583" s="776"/>
      <c r="L583" s="776"/>
      <c r="M583" s="776"/>
      <c r="O583" s="776"/>
      <c r="P583" s="776"/>
      <c r="Q583" s="776"/>
      <c r="R583" s="776"/>
      <c r="S583" s="776"/>
      <c r="T583" s="776"/>
      <c r="U583" s="776"/>
      <c r="V583" s="776"/>
      <c r="W583" s="776"/>
      <c r="X583" s="776"/>
      <c r="Y583" s="776"/>
      <c r="Z583" s="776"/>
      <c r="AA583" s="13"/>
      <c r="AC583" s="776"/>
      <c r="AD583" s="776"/>
      <c r="AE583" s="776"/>
      <c r="AF583" s="776"/>
      <c r="AG583" s="776"/>
      <c r="AH583" s="776"/>
      <c r="AI583" s="776"/>
      <c r="AJ583" s="776"/>
      <c r="AK583" s="776"/>
      <c r="AL583" s="776"/>
      <c r="AM583" s="776"/>
      <c r="AN583" s="776"/>
      <c r="AO583" s="776"/>
      <c r="AP583" s="776"/>
      <c r="AQ583" s="776"/>
      <c r="AR583" s="776"/>
      <c r="AS583" s="776"/>
      <c r="AT583" s="776"/>
      <c r="AU583" s="776"/>
      <c r="AV583" s="776"/>
      <c r="AW583" s="776"/>
      <c r="AX583" s="776"/>
      <c r="AY583" s="776"/>
      <c r="AZ583" s="776"/>
      <c r="BA583" s="776"/>
      <c r="BB583" s="776"/>
      <c r="BC583" s="776"/>
      <c r="BD583" s="776"/>
      <c r="BE583" s="776"/>
      <c r="BF583" s="776"/>
      <c r="BG583" s="776"/>
      <c r="BH583" s="776"/>
      <c r="BI583" s="776"/>
      <c r="BJ583" s="776"/>
      <c r="BK583" s="776"/>
      <c r="BL583" s="776"/>
      <c r="BM583" s="776"/>
      <c r="BN583" s="776"/>
      <c r="BO583" s="776"/>
      <c r="BP583" s="776"/>
      <c r="BQ583" s="776"/>
      <c r="BR583" s="776"/>
      <c r="BS583" s="776"/>
      <c r="BT583" s="776"/>
      <c r="BU583" s="776"/>
      <c r="BV583" s="776"/>
      <c r="BW583" s="776"/>
      <c r="BX583" s="776"/>
      <c r="BY583" s="776"/>
      <c r="BZ583" s="776"/>
      <c r="CA583" s="776"/>
      <c r="CB583" s="776"/>
      <c r="CC583" s="776"/>
      <c r="CD583" s="776"/>
      <c r="CE583" s="776"/>
      <c r="CF583" s="776"/>
      <c r="CG583" s="776"/>
      <c r="CH583" s="776"/>
      <c r="CI583" s="776"/>
      <c r="CJ583" s="776"/>
      <c r="CK583" s="776"/>
      <c r="CL583" s="776"/>
      <c r="CM583" s="776"/>
      <c r="CN583" s="776"/>
      <c r="CO583" s="776"/>
      <c r="CP583" s="776"/>
      <c r="CQ583" s="776"/>
      <c r="CR583" s="776"/>
      <c r="CS583" s="776"/>
      <c r="CT583" s="776"/>
      <c r="CU583" s="776"/>
      <c r="CV583" s="776"/>
      <c r="CW583" s="776"/>
      <c r="CX583" s="776"/>
      <c r="CY583" s="776"/>
      <c r="CZ583" s="776"/>
      <c r="DA583" s="776"/>
      <c r="DB583" s="776"/>
      <c r="DC583" s="776"/>
      <c r="DD583" s="776"/>
      <c r="DE583" s="776"/>
      <c r="DF583" s="776"/>
      <c r="DG583" s="776"/>
      <c r="DH583" s="776"/>
      <c r="DI583" s="776"/>
      <c r="DJ583" s="776"/>
      <c r="DK583" s="776"/>
      <c r="DL583" s="776"/>
      <c r="DM583" s="776"/>
      <c r="DN583" s="776"/>
      <c r="DO583" s="776"/>
      <c r="DP583" s="776"/>
      <c r="DQ583" s="776"/>
      <c r="DR583" s="776"/>
      <c r="DS583" s="776"/>
      <c r="DT583" s="776"/>
      <c r="DU583" s="776"/>
      <c r="DV583" s="776"/>
      <c r="DW583" s="776"/>
      <c r="DX583" s="776"/>
      <c r="DY583" s="776"/>
      <c r="DZ583" s="776"/>
      <c r="EA583" s="776"/>
      <c r="EB583" s="776"/>
      <c r="EC583" s="776"/>
      <c r="ED583" s="776"/>
      <c r="EE583" s="776"/>
      <c r="EF583" s="776"/>
      <c r="EG583" s="776"/>
      <c r="EH583" s="776"/>
      <c r="EI583" s="776"/>
      <c r="EJ583" s="776"/>
      <c r="EK583" s="776"/>
      <c r="EL583" s="776"/>
      <c r="EM583" s="776"/>
      <c r="EN583" s="776"/>
      <c r="EO583" s="776"/>
      <c r="EP583" s="776"/>
      <c r="EQ583" s="776"/>
      <c r="ER583" s="776"/>
      <c r="ES583" s="776"/>
      <c r="ET583" s="776"/>
      <c r="EU583" s="776"/>
      <c r="EV583" s="776"/>
      <c r="EW583" s="776"/>
      <c r="EX583" s="776"/>
      <c r="EY583" s="776"/>
      <c r="EZ583" s="776"/>
      <c r="FA583" s="776"/>
      <c r="FB583" s="776"/>
      <c r="FC583" s="776"/>
      <c r="FD583" s="776"/>
      <c r="FE583" s="776"/>
      <c r="FF583" s="776"/>
      <c r="FG583" s="776"/>
      <c r="FH583" s="776"/>
      <c r="FI583" s="776"/>
      <c r="FJ583" s="776"/>
      <c r="FK583" s="776"/>
      <c r="FL583" s="776"/>
      <c r="FM583" s="776"/>
      <c r="FN583" s="776"/>
      <c r="FO583" s="776"/>
      <c r="FP583" s="776"/>
      <c r="FQ583" s="776"/>
      <c r="FR583" s="776"/>
      <c r="FS583" s="776"/>
      <c r="FT583" s="776"/>
      <c r="FU583" s="776"/>
      <c r="FV583" s="776"/>
      <c r="FW583" s="776"/>
      <c r="FX583" s="776"/>
      <c r="FY583" s="776"/>
      <c r="FZ583" s="776"/>
      <c r="GA583" s="776"/>
      <c r="GB583" s="776"/>
      <c r="GC583" s="776"/>
      <c r="GD583" s="776"/>
      <c r="GE583" s="776"/>
      <c r="GF583" s="776"/>
      <c r="GG583" s="776"/>
      <c r="GH583" s="776"/>
      <c r="GI583" s="776"/>
      <c r="GJ583" s="776"/>
      <c r="GK583" s="776"/>
      <c r="GL583" s="776"/>
      <c r="GM583" s="776"/>
      <c r="GN583" s="776"/>
      <c r="GO583" s="776"/>
      <c r="GP583" s="776"/>
      <c r="GQ583" s="776"/>
      <c r="GR583" s="776"/>
      <c r="GS583" s="776"/>
      <c r="GT583" s="776"/>
      <c r="GU583" s="776"/>
      <c r="GV583" s="776"/>
      <c r="GW583" s="776"/>
      <c r="GX583" s="776"/>
      <c r="GY583" s="776"/>
      <c r="GZ583" s="776"/>
    </row>
    <row r="584" spans="6:208">
      <c r="F584" s="776"/>
      <c r="G584" s="776"/>
      <c r="H584" s="776"/>
      <c r="I584" s="776"/>
      <c r="J584" s="776"/>
      <c r="K584" s="776"/>
      <c r="L584" s="776"/>
      <c r="M584" s="776"/>
      <c r="O584" s="776"/>
      <c r="P584" s="776"/>
      <c r="Q584" s="776"/>
      <c r="R584" s="776"/>
      <c r="S584" s="776"/>
      <c r="T584" s="776"/>
      <c r="U584" s="776"/>
      <c r="V584" s="776"/>
      <c r="W584" s="776"/>
      <c r="X584" s="776"/>
      <c r="Y584" s="776"/>
      <c r="Z584" s="776"/>
      <c r="AA584" s="13"/>
      <c r="AC584" s="776"/>
      <c r="AD584" s="776"/>
      <c r="AE584" s="776"/>
      <c r="AF584" s="776"/>
      <c r="AG584" s="776"/>
      <c r="AH584" s="776"/>
      <c r="AI584" s="776"/>
      <c r="AJ584" s="776"/>
      <c r="AK584" s="776"/>
      <c r="AL584" s="776"/>
      <c r="AM584" s="776"/>
      <c r="AN584" s="776"/>
      <c r="AO584" s="776"/>
      <c r="AP584" s="776"/>
      <c r="AQ584" s="776"/>
      <c r="AR584" s="776"/>
      <c r="AS584" s="776"/>
      <c r="AT584" s="776"/>
      <c r="AU584" s="776"/>
      <c r="AV584" s="776"/>
      <c r="AW584" s="776"/>
      <c r="AX584" s="776"/>
      <c r="AY584" s="776"/>
      <c r="AZ584" s="776"/>
      <c r="BA584" s="776"/>
      <c r="BB584" s="776"/>
      <c r="BC584" s="776"/>
      <c r="BD584" s="776"/>
      <c r="BE584" s="776"/>
      <c r="BF584" s="776"/>
      <c r="BG584" s="776"/>
      <c r="BH584" s="776"/>
      <c r="BI584" s="776"/>
      <c r="BJ584" s="776"/>
      <c r="BK584" s="776"/>
      <c r="BL584" s="776"/>
      <c r="BM584" s="776"/>
      <c r="BN584" s="776"/>
      <c r="BO584" s="776"/>
      <c r="BP584" s="776"/>
      <c r="BQ584" s="776"/>
      <c r="BR584" s="776"/>
      <c r="BS584" s="776"/>
      <c r="BT584" s="776"/>
      <c r="BU584" s="776"/>
      <c r="BV584" s="776"/>
      <c r="BW584" s="776"/>
      <c r="BX584" s="776"/>
      <c r="BY584" s="776"/>
      <c r="BZ584" s="776"/>
      <c r="CA584" s="776"/>
      <c r="CB584" s="776"/>
      <c r="CC584" s="776"/>
      <c r="CD584" s="776"/>
      <c r="CE584" s="776"/>
      <c r="CF584" s="776"/>
      <c r="CG584" s="776"/>
      <c r="CH584" s="776"/>
      <c r="CI584" s="776"/>
      <c r="CJ584" s="776"/>
      <c r="CK584" s="776"/>
      <c r="CL584" s="776"/>
      <c r="CM584" s="776"/>
      <c r="CN584" s="776"/>
      <c r="CO584" s="776"/>
      <c r="CP584" s="776"/>
      <c r="CQ584" s="776"/>
      <c r="CR584" s="776"/>
      <c r="CS584" s="776"/>
      <c r="CT584" s="776"/>
      <c r="CU584" s="776"/>
      <c r="CV584" s="776"/>
      <c r="CW584" s="776"/>
      <c r="CX584" s="776"/>
      <c r="CY584" s="776"/>
      <c r="CZ584" s="776"/>
      <c r="DA584" s="776"/>
      <c r="DB584" s="776"/>
      <c r="DC584" s="776"/>
      <c r="DD584" s="776"/>
      <c r="DE584" s="776"/>
      <c r="DF584" s="776"/>
      <c r="DG584" s="776"/>
      <c r="DH584" s="776"/>
      <c r="DI584" s="776"/>
      <c r="DJ584" s="776"/>
      <c r="DK584" s="776"/>
      <c r="DL584" s="776"/>
      <c r="DM584" s="776"/>
      <c r="DN584" s="776"/>
      <c r="DO584" s="776"/>
      <c r="DP584" s="776"/>
      <c r="DQ584" s="776"/>
      <c r="DR584" s="776"/>
      <c r="DS584" s="776"/>
      <c r="DT584" s="776"/>
      <c r="DU584" s="776"/>
      <c r="DV584" s="776"/>
      <c r="DW584" s="776"/>
      <c r="DX584" s="776"/>
      <c r="DY584" s="776"/>
      <c r="DZ584" s="776"/>
      <c r="EA584" s="776"/>
      <c r="EB584" s="776"/>
      <c r="EC584" s="776"/>
      <c r="ED584" s="776"/>
      <c r="EE584" s="776"/>
      <c r="EF584" s="776"/>
      <c r="EG584" s="776"/>
      <c r="EH584" s="776"/>
      <c r="EI584" s="776"/>
      <c r="EJ584" s="776"/>
      <c r="EK584" s="776"/>
      <c r="EL584" s="776"/>
      <c r="EM584" s="776"/>
      <c r="EN584" s="776"/>
      <c r="EO584" s="776"/>
      <c r="EP584" s="776"/>
      <c r="EQ584" s="776"/>
      <c r="ER584" s="776"/>
      <c r="ES584" s="776"/>
      <c r="ET584" s="776"/>
      <c r="EU584" s="776"/>
      <c r="EV584" s="776"/>
      <c r="EW584" s="776"/>
      <c r="EX584" s="776"/>
      <c r="EY584" s="776"/>
      <c r="EZ584" s="776"/>
      <c r="FA584" s="776"/>
      <c r="FB584" s="776"/>
      <c r="FC584" s="776"/>
      <c r="FD584" s="776"/>
      <c r="FE584" s="776"/>
      <c r="FF584" s="776"/>
      <c r="FG584" s="776"/>
      <c r="FH584" s="776"/>
      <c r="FI584" s="776"/>
      <c r="FJ584" s="776"/>
      <c r="FK584" s="776"/>
      <c r="FL584" s="776"/>
      <c r="FM584" s="776"/>
      <c r="FN584" s="776"/>
      <c r="FO584" s="776"/>
      <c r="FP584" s="776"/>
      <c r="FQ584" s="776"/>
      <c r="FR584" s="776"/>
      <c r="FS584" s="776"/>
      <c r="FT584" s="776"/>
      <c r="FU584" s="776"/>
      <c r="FV584" s="776"/>
      <c r="FW584" s="776"/>
      <c r="FX584" s="776"/>
      <c r="FY584" s="776"/>
      <c r="FZ584" s="776"/>
      <c r="GA584" s="776"/>
      <c r="GB584" s="776"/>
      <c r="GC584" s="776"/>
      <c r="GD584" s="776"/>
      <c r="GE584" s="776"/>
      <c r="GF584" s="776"/>
      <c r="GG584" s="776"/>
      <c r="GH584" s="776"/>
      <c r="GI584" s="776"/>
      <c r="GJ584" s="776"/>
      <c r="GK584" s="776"/>
      <c r="GL584" s="776"/>
      <c r="GM584" s="776"/>
      <c r="GN584" s="776"/>
      <c r="GO584" s="776"/>
      <c r="GP584" s="776"/>
      <c r="GQ584" s="776"/>
      <c r="GR584" s="776"/>
      <c r="GS584" s="776"/>
      <c r="GT584" s="776"/>
      <c r="GU584" s="776"/>
      <c r="GV584" s="776"/>
      <c r="GW584" s="776"/>
      <c r="GX584" s="776"/>
      <c r="GY584" s="776"/>
      <c r="GZ584" s="776"/>
    </row>
    <row r="585" spans="6:208">
      <c r="F585" s="776"/>
      <c r="G585" s="776"/>
      <c r="H585" s="776"/>
      <c r="I585" s="776"/>
      <c r="J585" s="776"/>
      <c r="K585" s="776"/>
      <c r="L585" s="776"/>
      <c r="M585" s="776"/>
      <c r="O585" s="776"/>
      <c r="P585" s="776"/>
      <c r="Q585" s="776"/>
      <c r="R585" s="776"/>
      <c r="S585" s="776"/>
      <c r="T585" s="776"/>
      <c r="U585" s="776"/>
      <c r="V585" s="776"/>
      <c r="W585" s="776"/>
      <c r="X585" s="776"/>
      <c r="Y585" s="776"/>
      <c r="Z585" s="776"/>
      <c r="AA585" s="13"/>
    </row>
    <row r="586" spans="6:208">
      <c r="F586" s="776"/>
      <c r="G586" s="776"/>
      <c r="H586" s="776"/>
      <c r="I586" s="776"/>
      <c r="J586" s="776"/>
      <c r="K586" s="776"/>
      <c r="L586" s="776"/>
      <c r="M586" s="776"/>
      <c r="O586" s="776"/>
      <c r="P586" s="776"/>
      <c r="Q586" s="776"/>
      <c r="R586" s="776"/>
      <c r="S586" s="776"/>
      <c r="T586" s="776"/>
      <c r="U586" s="776"/>
      <c r="V586" s="776"/>
      <c r="W586" s="776"/>
      <c r="X586" s="776"/>
      <c r="Y586" s="776"/>
      <c r="Z586" s="776"/>
      <c r="AA586" s="13"/>
    </row>
    <row r="587" spans="6:208">
      <c r="F587" s="776"/>
      <c r="G587" s="776"/>
      <c r="H587" s="776"/>
      <c r="I587" s="776"/>
      <c r="J587" s="776"/>
      <c r="K587" s="776"/>
      <c r="L587" s="776"/>
      <c r="M587" s="776"/>
      <c r="O587" s="776"/>
      <c r="P587" s="776"/>
      <c r="Q587" s="776"/>
      <c r="R587" s="776"/>
      <c r="S587" s="776"/>
      <c r="T587" s="776"/>
      <c r="U587" s="776"/>
      <c r="V587" s="776"/>
      <c r="W587" s="776"/>
      <c r="X587" s="776"/>
      <c r="Y587" s="776"/>
      <c r="Z587" s="776"/>
      <c r="AA587" s="13"/>
    </row>
    <row r="588" spans="6:208">
      <c r="F588" s="776"/>
      <c r="G588" s="776"/>
      <c r="H588" s="776"/>
      <c r="I588" s="776"/>
      <c r="J588" s="776"/>
      <c r="K588" s="776"/>
      <c r="L588" s="776"/>
      <c r="M588" s="776"/>
      <c r="O588" s="776"/>
      <c r="P588" s="776"/>
      <c r="Q588" s="776"/>
      <c r="R588" s="776"/>
      <c r="S588" s="776"/>
      <c r="T588" s="776"/>
      <c r="U588" s="776"/>
      <c r="V588" s="776"/>
      <c r="W588" s="776"/>
      <c r="X588" s="776"/>
      <c r="Y588" s="776"/>
      <c r="Z588" s="776"/>
      <c r="AA588" s="13"/>
    </row>
    <row r="589" spans="6:208">
      <c r="F589" s="776"/>
      <c r="G589" s="776"/>
      <c r="H589" s="776"/>
      <c r="I589" s="776"/>
      <c r="J589" s="776"/>
      <c r="K589" s="776"/>
      <c r="L589" s="776"/>
      <c r="M589" s="776"/>
      <c r="O589" s="776"/>
      <c r="P589" s="776"/>
      <c r="Q589" s="776"/>
      <c r="R589" s="776"/>
      <c r="S589" s="776"/>
      <c r="T589" s="776"/>
      <c r="U589" s="776"/>
      <c r="V589" s="776"/>
      <c r="W589" s="776"/>
      <c r="X589" s="776"/>
      <c r="Y589" s="776"/>
      <c r="Z589" s="776"/>
      <c r="AA589" s="13"/>
    </row>
    <row r="590" spans="6:208">
      <c r="F590" s="776"/>
      <c r="G590" s="776"/>
      <c r="H590" s="776"/>
      <c r="I590" s="776"/>
      <c r="J590" s="776"/>
      <c r="K590" s="776"/>
      <c r="L590" s="776"/>
      <c r="M590" s="776"/>
      <c r="O590" s="776"/>
      <c r="P590" s="776"/>
      <c r="Q590" s="776"/>
      <c r="R590" s="776"/>
      <c r="S590" s="776"/>
      <c r="T590" s="776"/>
      <c r="U590" s="776"/>
      <c r="V590" s="776"/>
      <c r="W590" s="776"/>
      <c r="X590" s="776"/>
      <c r="Y590" s="776"/>
      <c r="Z590" s="776"/>
      <c r="AA590" s="13"/>
    </row>
    <row r="591" spans="6:208">
      <c r="F591" s="776"/>
      <c r="G591" s="776"/>
      <c r="H591" s="776"/>
      <c r="I591" s="776"/>
      <c r="J591" s="776"/>
      <c r="K591" s="776"/>
      <c r="L591" s="776"/>
      <c r="M591" s="776"/>
      <c r="O591" s="776"/>
      <c r="P591" s="776"/>
      <c r="Q591" s="776"/>
      <c r="R591" s="776"/>
      <c r="S591" s="776"/>
      <c r="T591" s="776"/>
      <c r="U591" s="776"/>
      <c r="V591" s="776"/>
      <c r="W591" s="776"/>
      <c r="X591" s="776"/>
      <c r="Y591" s="776"/>
      <c r="Z591" s="776"/>
      <c r="AA591" s="13"/>
    </row>
    <row r="592" spans="6:208">
      <c r="F592" s="776"/>
      <c r="G592" s="776"/>
      <c r="H592" s="776"/>
      <c r="I592" s="776"/>
      <c r="J592" s="776"/>
      <c r="K592" s="776"/>
      <c r="L592" s="776"/>
      <c r="M592" s="776"/>
      <c r="O592" s="776"/>
      <c r="P592" s="776"/>
      <c r="Q592" s="776"/>
      <c r="R592" s="776"/>
      <c r="S592" s="776"/>
      <c r="T592" s="776"/>
      <c r="U592" s="776"/>
      <c r="V592" s="776"/>
      <c r="W592" s="776"/>
      <c r="X592" s="776"/>
      <c r="Y592" s="776"/>
      <c r="Z592" s="776"/>
      <c r="AA592" s="13"/>
    </row>
    <row r="593" spans="6:27">
      <c r="F593" s="776"/>
      <c r="G593" s="776"/>
      <c r="H593" s="776"/>
      <c r="I593" s="776"/>
      <c r="J593" s="776"/>
      <c r="K593" s="776"/>
      <c r="L593" s="776"/>
      <c r="M593" s="776"/>
      <c r="O593" s="776"/>
      <c r="P593" s="776"/>
      <c r="Q593" s="776"/>
      <c r="R593" s="776"/>
      <c r="S593" s="776"/>
      <c r="T593" s="776"/>
      <c r="U593" s="776"/>
      <c r="V593" s="776"/>
      <c r="W593" s="776"/>
      <c r="X593" s="776"/>
      <c r="Y593" s="776"/>
      <c r="Z593" s="776"/>
      <c r="AA593" s="13"/>
    </row>
    <row r="594" spans="6:27">
      <c r="F594" s="776"/>
      <c r="G594" s="776"/>
      <c r="H594" s="776"/>
      <c r="I594" s="776"/>
      <c r="J594" s="776"/>
      <c r="K594" s="776"/>
      <c r="L594" s="776"/>
      <c r="M594" s="776"/>
      <c r="O594" s="776"/>
      <c r="P594" s="776"/>
      <c r="Q594" s="776"/>
      <c r="R594" s="776"/>
      <c r="S594" s="776"/>
      <c r="T594" s="776"/>
      <c r="U594" s="776"/>
      <c r="V594" s="776"/>
      <c r="W594" s="776"/>
      <c r="X594" s="776"/>
      <c r="Y594" s="776"/>
      <c r="Z594" s="776"/>
      <c r="AA594" s="13"/>
    </row>
    <row r="595" spans="6:27">
      <c r="F595" s="776"/>
      <c r="G595" s="776"/>
      <c r="H595" s="776"/>
      <c r="I595" s="776"/>
      <c r="J595" s="776"/>
      <c r="K595" s="776"/>
      <c r="L595" s="776"/>
      <c r="M595" s="776"/>
      <c r="O595" s="776"/>
      <c r="P595" s="776"/>
      <c r="Q595" s="776"/>
      <c r="R595" s="776"/>
      <c r="S595" s="776"/>
      <c r="T595" s="776"/>
      <c r="U595" s="776"/>
      <c r="V595" s="776"/>
      <c r="W595" s="776"/>
      <c r="X595" s="776"/>
      <c r="Y595" s="776"/>
      <c r="Z595" s="776"/>
      <c r="AA595" s="13"/>
    </row>
    <row r="596" spans="6:27">
      <c r="F596" s="776"/>
      <c r="G596" s="776"/>
      <c r="H596" s="776"/>
      <c r="I596" s="776"/>
      <c r="J596" s="776"/>
      <c r="K596" s="776"/>
      <c r="L596" s="776"/>
      <c r="M596" s="776"/>
      <c r="O596" s="776"/>
      <c r="P596" s="776"/>
      <c r="Q596" s="776"/>
      <c r="R596" s="776"/>
      <c r="S596" s="776"/>
      <c r="T596" s="776"/>
      <c r="U596" s="776"/>
      <c r="V596" s="776"/>
      <c r="W596" s="776"/>
      <c r="X596" s="776"/>
      <c r="Y596" s="776"/>
      <c r="Z596" s="776"/>
      <c r="AA596" s="13"/>
    </row>
    <row r="597" spans="6:27">
      <c r="F597" s="776"/>
      <c r="G597" s="776"/>
      <c r="H597" s="776"/>
      <c r="I597" s="776"/>
      <c r="J597" s="776"/>
      <c r="K597" s="776"/>
      <c r="L597" s="776"/>
      <c r="M597" s="776"/>
      <c r="O597" s="776"/>
      <c r="P597" s="776"/>
      <c r="Q597" s="776"/>
      <c r="R597" s="776"/>
      <c r="S597" s="776"/>
      <c r="T597" s="776"/>
      <c r="U597" s="776"/>
      <c r="V597" s="776"/>
      <c r="W597" s="776"/>
      <c r="X597" s="776"/>
      <c r="Y597" s="776"/>
      <c r="Z597" s="776"/>
      <c r="AA597" s="13"/>
    </row>
    <row r="598" spans="6:27">
      <c r="F598" s="776"/>
      <c r="G598" s="776"/>
      <c r="H598" s="776"/>
      <c r="I598" s="776"/>
      <c r="J598" s="776"/>
      <c r="K598" s="776"/>
      <c r="L598" s="776"/>
      <c r="M598" s="776"/>
      <c r="O598" s="776"/>
      <c r="P598" s="776"/>
      <c r="Q598" s="776"/>
      <c r="R598" s="776"/>
      <c r="S598" s="776"/>
      <c r="T598" s="776"/>
      <c r="U598" s="776"/>
      <c r="V598" s="776"/>
      <c r="W598" s="776"/>
      <c r="X598" s="776"/>
      <c r="Y598" s="776"/>
      <c r="Z598" s="776"/>
      <c r="AA598" s="13"/>
    </row>
    <row r="599" spans="6:27">
      <c r="F599" s="776"/>
      <c r="G599" s="776"/>
      <c r="H599" s="776"/>
      <c r="I599" s="776"/>
      <c r="J599" s="776"/>
      <c r="K599" s="776"/>
      <c r="L599" s="776"/>
      <c r="M599" s="776"/>
      <c r="O599" s="776"/>
      <c r="P599" s="776"/>
      <c r="Q599" s="776"/>
      <c r="R599" s="776"/>
      <c r="S599" s="776"/>
      <c r="T599" s="776"/>
      <c r="U599" s="776"/>
      <c r="V599" s="776"/>
      <c r="W599" s="776"/>
      <c r="X599" s="776"/>
      <c r="Y599" s="776"/>
      <c r="Z599" s="776"/>
      <c r="AA599" s="13"/>
    </row>
    <row r="600" spans="6:27">
      <c r="F600" s="776"/>
      <c r="G600" s="776"/>
      <c r="H600" s="776"/>
      <c r="I600" s="776"/>
      <c r="J600" s="776"/>
      <c r="K600" s="776"/>
      <c r="L600" s="776"/>
      <c r="M600" s="776"/>
      <c r="O600" s="776"/>
      <c r="P600" s="776"/>
      <c r="Q600" s="776"/>
      <c r="R600" s="776"/>
      <c r="S600" s="776"/>
      <c r="T600" s="776"/>
      <c r="U600" s="776"/>
      <c r="V600" s="776"/>
      <c r="W600" s="776"/>
      <c r="X600" s="776"/>
      <c r="Y600" s="776"/>
      <c r="Z600" s="776"/>
      <c r="AA600" s="13"/>
    </row>
    <row r="601" spans="6:27">
      <c r="F601" s="776"/>
      <c r="G601" s="776"/>
      <c r="H601" s="776"/>
      <c r="I601" s="776"/>
      <c r="J601" s="776"/>
      <c r="K601" s="776"/>
      <c r="L601" s="776"/>
      <c r="M601" s="776"/>
      <c r="O601" s="776"/>
      <c r="P601" s="776"/>
      <c r="Q601" s="776"/>
      <c r="R601" s="776"/>
      <c r="S601" s="776"/>
      <c r="T601" s="776"/>
      <c r="U601" s="776"/>
      <c r="V601" s="776"/>
      <c r="W601" s="776"/>
      <c r="X601" s="776"/>
      <c r="Y601" s="776"/>
      <c r="Z601" s="776"/>
      <c r="AA601" s="13"/>
    </row>
    <row r="602" spans="6:27">
      <c r="F602" s="776"/>
      <c r="G602" s="776"/>
      <c r="H602" s="776"/>
      <c r="I602" s="776"/>
      <c r="J602" s="776"/>
      <c r="K602" s="776"/>
      <c r="L602" s="776"/>
      <c r="M602" s="776"/>
      <c r="O602" s="776"/>
      <c r="P602" s="776"/>
      <c r="Q602" s="776"/>
      <c r="R602" s="776"/>
      <c r="S602" s="776"/>
      <c r="T602" s="776"/>
      <c r="U602" s="776"/>
      <c r="V602" s="776"/>
      <c r="W602" s="776"/>
      <c r="X602" s="776"/>
      <c r="Y602" s="776"/>
      <c r="Z602" s="776"/>
      <c r="AA602" s="13"/>
    </row>
    <row r="603" spans="6:27">
      <c r="F603" s="776"/>
      <c r="G603" s="776"/>
      <c r="H603" s="776"/>
      <c r="I603" s="776"/>
      <c r="J603" s="776"/>
      <c r="K603" s="776"/>
      <c r="L603" s="776"/>
      <c r="M603" s="776"/>
      <c r="O603" s="776"/>
      <c r="P603" s="776"/>
      <c r="Q603" s="776"/>
      <c r="R603" s="776"/>
      <c r="S603" s="776"/>
      <c r="T603" s="776"/>
      <c r="U603" s="776"/>
      <c r="V603" s="776"/>
      <c r="W603" s="776"/>
      <c r="X603" s="776"/>
      <c r="Y603" s="776"/>
      <c r="Z603" s="776"/>
      <c r="AA603" s="13"/>
    </row>
    <row r="604" spans="6:27">
      <c r="F604" s="776"/>
      <c r="G604" s="776"/>
      <c r="H604" s="776"/>
      <c r="I604" s="776"/>
      <c r="J604" s="776"/>
      <c r="K604" s="776"/>
      <c r="L604" s="776"/>
      <c r="M604" s="776"/>
      <c r="O604" s="776"/>
      <c r="P604" s="776"/>
      <c r="Q604" s="776"/>
      <c r="R604" s="776"/>
      <c r="S604" s="776"/>
      <c r="T604" s="776"/>
      <c r="U604" s="776"/>
      <c r="V604" s="776"/>
      <c r="W604" s="776"/>
      <c r="X604" s="776"/>
      <c r="Y604" s="776"/>
      <c r="Z604" s="776"/>
      <c r="AA604" s="13"/>
    </row>
    <row r="605" spans="6:27">
      <c r="F605" s="776"/>
      <c r="G605" s="776"/>
      <c r="H605" s="776"/>
      <c r="I605" s="776"/>
      <c r="J605" s="776"/>
      <c r="K605" s="776"/>
      <c r="L605" s="776"/>
      <c r="M605" s="776"/>
      <c r="O605" s="776"/>
      <c r="P605" s="776"/>
      <c r="Q605" s="776"/>
      <c r="R605" s="776"/>
      <c r="S605" s="776"/>
      <c r="T605" s="776"/>
      <c r="U605" s="776"/>
      <c r="V605" s="776"/>
      <c r="W605" s="776"/>
      <c r="X605" s="776"/>
      <c r="Y605" s="776"/>
      <c r="Z605" s="776"/>
      <c r="AA605" s="13"/>
    </row>
    <row r="606" spans="6:27">
      <c r="F606" s="776"/>
      <c r="G606" s="776"/>
      <c r="H606" s="776"/>
      <c r="I606" s="776"/>
      <c r="J606" s="776"/>
      <c r="K606" s="776"/>
      <c r="L606" s="776"/>
      <c r="M606" s="776"/>
      <c r="O606" s="776"/>
      <c r="P606" s="776"/>
      <c r="Q606" s="776"/>
      <c r="R606" s="776"/>
      <c r="S606" s="776"/>
      <c r="T606" s="776"/>
      <c r="U606" s="776"/>
      <c r="V606" s="776"/>
      <c r="W606" s="776"/>
      <c r="X606" s="776"/>
      <c r="Y606" s="776"/>
      <c r="Z606" s="776"/>
      <c r="AA606" s="13"/>
    </row>
    <row r="607" spans="6:27">
      <c r="F607" s="776"/>
      <c r="G607" s="776"/>
      <c r="H607" s="776"/>
      <c r="I607" s="776"/>
      <c r="J607" s="776"/>
      <c r="K607" s="776"/>
      <c r="L607" s="776"/>
      <c r="M607" s="776"/>
      <c r="O607" s="776"/>
      <c r="P607" s="776"/>
      <c r="Q607" s="776"/>
      <c r="R607" s="776"/>
      <c r="S607" s="776"/>
      <c r="T607" s="776"/>
      <c r="U607" s="776"/>
      <c r="V607" s="776"/>
      <c r="W607" s="776"/>
      <c r="X607" s="776"/>
      <c r="Y607" s="776"/>
      <c r="Z607" s="776"/>
      <c r="AA607" s="13"/>
    </row>
    <row r="608" spans="6:27">
      <c r="F608" s="776"/>
      <c r="G608" s="776"/>
      <c r="H608" s="776"/>
      <c r="I608" s="776"/>
      <c r="J608" s="776"/>
      <c r="K608" s="776"/>
      <c r="L608" s="776"/>
      <c r="M608" s="776"/>
      <c r="O608" s="776"/>
      <c r="P608" s="776"/>
      <c r="Q608" s="776"/>
      <c r="R608" s="776"/>
      <c r="S608" s="776"/>
      <c r="T608" s="776"/>
      <c r="U608" s="776"/>
      <c r="V608" s="776"/>
      <c r="W608" s="776"/>
      <c r="X608" s="776"/>
      <c r="Y608" s="776"/>
      <c r="Z608" s="776"/>
      <c r="AA608" s="13"/>
    </row>
    <row r="609" spans="6:27">
      <c r="F609" s="776"/>
      <c r="G609" s="776"/>
      <c r="H609" s="776"/>
      <c r="I609" s="776"/>
      <c r="J609" s="776"/>
      <c r="K609" s="776"/>
      <c r="L609" s="776"/>
      <c r="M609" s="776"/>
      <c r="O609" s="776"/>
      <c r="P609" s="776"/>
      <c r="Q609" s="776"/>
      <c r="R609" s="776"/>
      <c r="S609" s="776"/>
      <c r="T609" s="776"/>
      <c r="U609" s="776"/>
      <c r="V609" s="776"/>
      <c r="W609" s="776"/>
      <c r="X609" s="776"/>
      <c r="Y609" s="776"/>
      <c r="Z609" s="776"/>
      <c r="AA609" s="13"/>
    </row>
    <row r="610" spans="6:27">
      <c r="F610" s="776"/>
      <c r="G610" s="776"/>
      <c r="H610" s="776"/>
      <c r="I610" s="776"/>
      <c r="J610" s="776"/>
      <c r="K610" s="776"/>
      <c r="L610" s="776"/>
      <c r="M610" s="776"/>
      <c r="O610" s="776"/>
      <c r="P610" s="776"/>
      <c r="Q610" s="776"/>
      <c r="R610" s="776"/>
      <c r="S610" s="776"/>
      <c r="T610" s="776"/>
      <c r="U610" s="776"/>
      <c r="V610" s="776"/>
      <c r="W610" s="776"/>
      <c r="X610" s="776"/>
      <c r="Y610" s="776"/>
      <c r="Z610" s="776"/>
      <c r="AA610" s="13"/>
    </row>
    <row r="611" spans="6:27">
      <c r="F611" s="776"/>
      <c r="G611" s="776"/>
      <c r="H611" s="776"/>
      <c r="I611" s="776"/>
      <c r="J611" s="776"/>
      <c r="K611" s="776"/>
      <c r="L611" s="776"/>
      <c r="M611" s="776"/>
      <c r="O611" s="776"/>
      <c r="P611" s="776"/>
      <c r="Q611" s="776"/>
      <c r="R611" s="776"/>
      <c r="S611" s="776"/>
      <c r="T611" s="776"/>
      <c r="U611" s="776"/>
      <c r="V611" s="776"/>
      <c r="W611" s="776"/>
      <c r="X611" s="776"/>
      <c r="Y611" s="776"/>
      <c r="Z611" s="776"/>
      <c r="AA611" s="13"/>
    </row>
    <row r="612" spans="6:27">
      <c r="F612" s="776"/>
      <c r="G612" s="776"/>
      <c r="H612" s="776"/>
      <c r="I612" s="776"/>
      <c r="J612" s="776"/>
      <c r="K612" s="776"/>
      <c r="L612" s="776"/>
      <c r="M612" s="776"/>
      <c r="O612" s="776"/>
      <c r="P612" s="776"/>
      <c r="Q612" s="776"/>
      <c r="R612" s="776"/>
      <c r="S612" s="776"/>
      <c r="T612" s="776"/>
      <c r="U612" s="776"/>
      <c r="V612" s="776"/>
      <c r="W612" s="776"/>
      <c r="X612" s="776"/>
      <c r="Y612" s="776"/>
      <c r="Z612" s="776"/>
      <c r="AA612" s="13"/>
    </row>
    <row r="613" spans="6:27">
      <c r="F613" s="776"/>
      <c r="G613" s="776"/>
      <c r="H613" s="776"/>
      <c r="I613" s="776"/>
      <c r="J613" s="776"/>
      <c r="K613" s="776"/>
      <c r="L613" s="776"/>
      <c r="M613" s="776"/>
      <c r="O613" s="776"/>
      <c r="P613" s="776"/>
      <c r="Q613" s="776"/>
      <c r="R613" s="776"/>
      <c r="S613" s="776"/>
      <c r="T613" s="776"/>
      <c r="U613" s="776"/>
      <c r="V613" s="776"/>
      <c r="W613" s="776"/>
      <c r="X613" s="776"/>
      <c r="Y613" s="776"/>
      <c r="Z613" s="776"/>
      <c r="AA613" s="13"/>
    </row>
    <row r="614" spans="6:27">
      <c r="F614" s="776"/>
      <c r="G614" s="776"/>
      <c r="H614" s="776"/>
      <c r="I614" s="776"/>
      <c r="J614" s="776"/>
      <c r="K614" s="776"/>
      <c r="L614" s="776"/>
      <c r="M614" s="776"/>
      <c r="O614" s="776"/>
      <c r="P614" s="776"/>
      <c r="Q614" s="776"/>
      <c r="R614" s="776"/>
      <c r="S614" s="776"/>
      <c r="T614" s="776"/>
      <c r="U614" s="776"/>
      <c r="V614" s="776"/>
      <c r="W614" s="776"/>
      <c r="X614" s="776"/>
      <c r="Y614" s="776"/>
      <c r="Z614" s="776"/>
      <c r="AA614" s="13"/>
    </row>
    <row r="615" spans="6:27">
      <c r="F615" s="776"/>
      <c r="G615" s="776"/>
      <c r="H615" s="776"/>
      <c r="I615" s="776"/>
      <c r="J615" s="776"/>
      <c r="K615" s="776"/>
      <c r="L615" s="776"/>
      <c r="M615" s="776"/>
      <c r="O615" s="776"/>
      <c r="P615" s="776"/>
      <c r="Q615" s="776"/>
      <c r="R615" s="776"/>
      <c r="S615" s="776"/>
      <c r="T615" s="776"/>
      <c r="U615" s="776"/>
      <c r="V615" s="776"/>
      <c r="W615" s="776"/>
      <c r="X615" s="776"/>
      <c r="Y615" s="776"/>
      <c r="Z615" s="776"/>
      <c r="AA615" s="13"/>
    </row>
    <row r="616" spans="6:27">
      <c r="F616" s="776"/>
      <c r="G616" s="776"/>
      <c r="H616" s="776"/>
      <c r="I616" s="776"/>
      <c r="J616" s="776"/>
      <c r="K616" s="776"/>
      <c r="L616" s="776"/>
      <c r="M616" s="776"/>
      <c r="O616" s="776"/>
      <c r="P616" s="776"/>
      <c r="Q616" s="776"/>
      <c r="R616" s="776"/>
      <c r="S616" s="776"/>
      <c r="T616" s="776"/>
      <c r="U616" s="776"/>
      <c r="V616" s="776"/>
      <c r="W616" s="776"/>
      <c r="X616" s="776"/>
      <c r="Y616" s="776"/>
      <c r="Z616" s="776"/>
      <c r="AA616" s="13"/>
    </row>
    <row r="617" spans="6:27">
      <c r="F617" s="776"/>
      <c r="G617" s="776"/>
      <c r="H617" s="776"/>
      <c r="I617" s="776"/>
      <c r="J617" s="776"/>
      <c r="K617" s="776"/>
      <c r="L617" s="776"/>
      <c r="M617" s="776"/>
      <c r="O617" s="776"/>
      <c r="P617" s="776"/>
      <c r="Q617" s="776"/>
      <c r="R617" s="776"/>
      <c r="S617" s="776"/>
      <c r="T617" s="776"/>
      <c r="U617" s="776"/>
      <c r="V617" s="776"/>
      <c r="W617" s="776"/>
      <c r="X617" s="776"/>
      <c r="Y617" s="776"/>
      <c r="Z617" s="776"/>
      <c r="AA617" s="13"/>
    </row>
    <row r="618" spans="6:27">
      <c r="F618" s="776"/>
      <c r="G618" s="776"/>
      <c r="H618" s="776"/>
      <c r="I618" s="776"/>
      <c r="J618" s="776"/>
      <c r="K618" s="776"/>
      <c r="L618" s="776"/>
      <c r="M618" s="776"/>
      <c r="O618" s="776"/>
      <c r="P618" s="776"/>
      <c r="Q618" s="776"/>
      <c r="R618" s="776"/>
      <c r="S618" s="776"/>
      <c r="T618" s="776"/>
      <c r="U618" s="776"/>
      <c r="V618" s="776"/>
      <c r="W618" s="776"/>
      <c r="X618" s="776"/>
      <c r="Y618" s="776"/>
      <c r="Z618" s="776"/>
      <c r="AA618" s="13"/>
    </row>
    <row r="619" spans="6:27">
      <c r="F619" s="776"/>
      <c r="G619" s="776"/>
      <c r="H619" s="776"/>
      <c r="I619" s="776"/>
      <c r="J619" s="776"/>
      <c r="K619" s="776"/>
      <c r="L619" s="776"/>
      <c r="M619" s="776"/>
      <c r="O619" s="776"/>
      <c r="P619" s="776"/>
      <c r="Q619" s="776"/>
      <c r="R619" s="776"/>
      <c r="S619" s="776"/>
      <c r="T619" s="776"/>
      <c r="U619" s="776"/>
      <c r="V619" s="776"/>
      <c r="W619" s="776"/>
      <c r="X619" s="776"/>
      <c r="Y619" s="776"/>
      <c r="Z619" s="776"/>
      <c r="AA619" s="13"/>
    </row>
    <row r="620" spans="6:27">
      <c r="F620" s="776"/>
      <c r="G620" s="776"/>
      <c r="H620" s="776"/>
      <c r="I620" s="776"/>
      <c r="J620" s="776"/>
      <c r="K620" s="776"/>
      <c r="L620" s="776"/>
      <c r="M620" s="776"/>
      <c r="O620" s="776"/>
      <c r="P620" s="776"/>
      <c r="Q620" s="776"/>
      <c r="R620" s="776"/>
      <c r="S620" s="776"/>
      <c r="T620" s="776"/>
      <c r="U620" s="776"/>
      <c r="V620" s="776"/>
      <c r="W620" s="776"/>
      <c r="X620" s="776"/>
      <c r="Y620" s="776"/>
      <c r="Z620" s="776"/>
      <c r="AA620" s="13"/>
    </row>
    <row r="621" spans="6:27">
      <c r="F621" s="776"/>
      <c r="G621" s="776"/>
      <c r="H621" s="776"/>
      <c r="I621" s="776"/>
      <c r="J621" s="776"/>
      <c r="K621" s="776"/>
      <c r="L621" s="776"/>
      <c r="M621" s="776"/>
      <c r="O621" s="776"/>
      <c r="P621" s="776"/>
      <c r="Q621" s="776"/>
      <c r="R621" s="776"/>
      <c r="S621" s="776"/>
      <c r="T621" s="776"/>
      <c r="U621" s="776"/>
      <c r="V621" s="776"/>
      <c r="W621" s="776"/>
      <c r="X621" s="776"/>
      <c r="Y621" s="776"/>
      <c r="Z621" s="776"/>
      <c r="AA621" s="13"/>
    </row>
    <row r="622" spans="6:27">
      <c r="F622" s="776"/>
      <c r="G622" s="776"/>
      <c r="H622" s="776"/>
      <c r="I622" s="776"/>
      <c r="J622" s="776"/>
      <c r="K622" s="776"/>
      <c r="L622" s="776"/>
      <c r="M622" s="776"/>
      <c r="O622" s="776"/>
      <c r="P622" s="776"/>
      <c r="Q622" s="776"/>
      <c r="R622" s="776"/>
      <c r="S622" s="776"/>
      <c r="T622" s="776"/>
      <c r="U622" s="776"/>
      <c r="V622" s="776"/>
      <c r="W622" s="776"/>
      <c r="X622" s="776"/>
      <c r="Y622" s="776"/>
      <c r="Z622" s="776"/>
      <c r="AA622" s="13"/>
    </row>
    <row r="623" spans="6:27">
      <c r="F623" s="776"/>
      <c r="G623" s="776"/>
      <c r="H623" s="776"/>
      <c r="I623" s="776"/>
      <c r="J623" s="776"/>
      <c r="K623" s="776"/>
      <c r="L623" s="776"/>
      <c r="M623" s="776"/>
      <c r="O623" s="776"/>
      <c r="P623" s="776"/>
      <c r="Q623" s="776"/>
      <c r="R623" s="776"/>
      <c r="S623" s="776"/>
      <c r="T623" s="776"/>
      <c r="U623" s="776"/>
      <c r="V623" s="776"/>
      <c r="W623" s="776"/>
      <c r="X623" s="776"/>
      <c r="Y623" s="776"/>
      <c r="Z623" s="776"/>
      <c r="AA623" s="13"/>
    </row>
    <row r="624" spans="6:27">
      <c r="F624" s="776"/>
      <c r="G624" s="776"/>
      <c r="H624" s="776"/>
      <c r="I624" s="776"/>
      <c r="J624" s="776"/>
      <c r="K624" s="776"/>
      <c r="L624" s="776"/>
      <c r="M624" s="776"/>
      <c r="O624" s="776"/>
      <c r="P624" s="776"/>
      <c r="Q624" s="776"/>
      <c r="R624" s="776"/>
      <c r="S624" s="776"/>
      <c r="T624" s="776"/>
      <c r="U624" s="776"/>
      <c r="V624" s="776"/>
      <c r="W624" s="776"/>
      <c r="X624" s="776"/>
      <c r="Y624" s="776"/>
      <c r="Z624" s="776"/>
      <c r="AA624" s="13"/>
    </row>
    <row r="625" spans="6:27">
      <c r="F625" s="776"/>
      <c r="G625" s="776"/>
      <c r="H625" s="776"/>
      <c r="I625" s="776"/>
      <c r="J625" s="776"/>
      <c r="K625" s="776"/>
      <c r="L625" s="776"/>
      <c r="M625" s="776"/>
      <c r="O625" s="776"/>
      <c r="P625" s="776"/>
      <c r="Q625" s="776"/>
      <c r="R625" s="776"/>
      <c r="S625" s="776"/>
      <c r="T625" s="776"/>
      <c r="U625" s="776"/>
      <c r="V625" s="776"/>
      <c r="W625" s="776"/>
      <c r="X625" s="776"/>
      <c r="Y625" s="776"/>
      <c r="Z625" s="776"/>
      <c r="AA625" s="13"/>
    </row>
    <row r="626" spans="6:27">
      <c r="F626" s="776"/>
      <c r="G626" s="776"/>
      <c r="H626" s="776"/>
      <c r="I626" s="776"/>
      <c r="J626" s="776"/>
      <c r="K626" s="776"/>
      <c r="L626" s="776"/>
      <c r="M626" s="776"/>
      <c r="O626" s="776"/>
      <c r="P626" s="776"/>
      <c r="Q626" s="776"/>
      <c r="R626" s="776"/>
      <c r="S626" s="776"/>
      <c r="T626" s="776"/>
      <c r="U626" s="776"/>
      <c r="V626" s="776"/>
      <c r="W626" s="776"/>
      <c r="X626" s="776"/>
      <c r="Y626" s="776"/>
      <c r="Z626" s="776"/>
      <c r="AA626" s="13"/>
    </row>
    <row r="627" spans="6:27">
      <c r="F627" s="776"/>
      <c r="G627" s="776"/>
      <c r="H627" s="776"/>
      <c r="I627" s="776"/>
      <c r="J627" s="776"/>
      <c r="K627" s="776"/>
      <c r="L627" s="776"/>
      <c r="M627" s="776"/>
      <c r="O627" s="776"/>
      <c r="P627" s="776"/>
      <c r="Q627" s="776"/>
      <c r="R627" s="776"/>
      <c r="S627" s="776"/>
      <c r="T627" s="776"/>
      <c r="U627" s="776"/>
      <c r="V627" s="776"/>
      <c r="W627" s="776"/>
      <c r="X627" s="776"/>
      <c r="Y627" s="776"/>
      <c r="Z627" s="776"/>
      <c r="AA627" s="13"/>
    </row>
    <row r="628" spans="6:27">
      <c r="F628" s="776"/>
      <c r="G628" s="776"/>
      <c r="H628" s="776"/>
      <c r="I628" s="776"/>
      <c r="J628" s="776"/>
      <c r="K628" s="776"/>
      <c r="L628" s="776"/>
      <c r="M628" s="776"/>
      <c r="O628" s="776"/>
      <c r="P628" s="776"/>
      <c r="Q628" s="776"/>
      <c r="R628" s="776"/>
      <c r="S628" s="776"/>
      <c r="T628" s="776"/>
      <c r="U628" s="776"/>
      <c r="V628" s="776"/>
      <c r="W628" s="776"/>
      <c r="X628" s="776"/>
      <c r="Y628" s="776"/>
      <c r="Z628" s="776"/>
      <c r="AA628" s="13"/>
    </row>
    <row r="629" spans="6:27">
      <c r="F629" s="776"/>
      <c r="G629" s="776"/>
      <c r="H629" s="776"/>
      <c r="I629" s="776"/>
      <c r="J629" s="776"/>
      <c r="K629" s="776"/>
      <c r="L629" s="776"/>
      <c r="M629" s="776"/>
      <c r="O629" s="776"/>
      <c r="P629" s="776"/>
      <c r="Q629" s="776"/>
      <c r="R629" s="776"/>
      <c r="S629" s="776"/>
      <c r="T629" s="776"/>
      <c r="U629" s="776"/>
      <c r="V629" s="776"/>
      <c r="W629" s="776"/>
      <c r="X629" s="776"/>
      <c r="Y629" s="776"/>
      <c r="Z629" s="776"/>
      <c r="AA629" s="13"/>
    </row>
    <row r="630" spans="6:27">
      <c r="F630" s="776"/>
      <c r="G630" s="776"/>
      <c r="H630" s="776"/>
      <c r="I630" s="776"/>
      <c r="J630" s="776"/>
      <c r="K630" s="776"/>
      <c r="L630" s="776"/>
      <c r="M630" s="776"/>
      <c r="O630" s="776"/>
      <c r="P630" s="776"/>
      <c r="Q630" s="776"/>
      <c r="R630" s="776"/>
      <c r="S630" s="776"/>
      <c r="T630" s="776"/>
      <c r="U630" s="776"/>
      <c r="V630" s="776"/>
      <c r="W630" s="776"/>
      <c r="X630" s="776"/>
      <c r="Y630" s="776"/>
      <c r="Z630" s="776"/>
      <c r="AA630" s="13"/>
    </row>
    <row r="631" spans="6:27">
      <c r="F631" s="776"/>
      <c r="G631" s="776"/>
      <c r="H631" s="776"/>
      <c r="I631" s="776"/>
      <c r="J631" s="776"/>
      <c r="K631" s="776"/>
      <c r="L631" s="776"/>
      <c r="M631" s="776"/>
      <c r="O631" s="776"/>
      <c r="P631" s="776"/>
      <c r="Q631" s="776"/>
      <c r="R631" s="776"/>
      <c r="S631" s="776"/>
      <c r="T631" s="776"/>
      <c r="U631" s="776"/>
      <c r="V631" s="776"/>
      <c r="W631" s="776"/>
      <c r="X631" s="776"/>
      <c r="Y631" s="776"/>
      <c r="Z631" s="776"/>
      <c r="AA631" s="13"/>
    </row>
    <row r="632" spans="6:27">
      <c r="F632" s="776"/>
      <c r="G632" s="776"/>
      <c r="H632" s="776"/>
      <c r="I632" s="776"/>
      <c r="J632" s="776"/>
      <c r="K632" s="776"/>
      <c r="L632" s="776"/>
      <c r="M632" s="776"/>
      <c r="O632" s="776"/>
      <c r="P632" s="776"/>
      <c r="Q632" s="776"/>
      <c r="R632" s="776"/>
      <c r="S632" s="776"/>
      <c r="T632" s="776"/>
      <c r="U632" s="776"/>
      <c r="V632" s="776"/>
      <c r="W632" s="776"/>
      <c r="X632" s="776"/>
      <c r="Y632" s="776"/>
      <c r="Z632" s="776"/>
      <c r="AA632" s="13"/>
    </row>
    <row r="633" spans="6:27">
      <c r="F633" s="776"/>
      <c r="G633" s="776"/>
      <c r="H633" s="776"/>
      <c r="I633" s="776"/>
      <c r="J633" s="776"/>
      <c r="K633" s="776"/>
      <c r="L633" s="776"/>
      <c r="M633" s="776"/>
      <c r="O633" s="776"/>
      <c r="P633" s="776"/>
      <c r="Q633" s="776"/>
      <c r="R633" s="776"/>
      <c r="S633" s="776"/>
      <c r="T633" s="776"/>
      <c r="U633" s="776"/>
      <c r="V633" s="776"/>
      <c r="W633" s="776"/>
      <c r="X633" s="776"/>
      <c r="Y633" s="776"/>
      <c r="Z633" s="776"/>
      <c r="AA633" s="13"/>
    </row>
    <row r="634" spans="6:27">
      <c r="F634" s="776"/>
      <c r="G634" s="776"/>
      <c r="H634" s="776"/>
      <c r="I634" s="776"/>
      <c r="J634" s="776"/>
      <c r="K634" s="776"/>
      <c r="L634" s="776"/>
      <c r="M634" s="776"/>
      <c r="O634" s="776"/>
      <c r="P634" s="776"/>
      <c r="Q634" s="776"/>
      <c r="R634" s="776"/>
      <c r="S634" s="776"/>
      <c r="T634" s="776"/>
      <c r="U634" s="776"/>
      <c r="V634" s="776"/>
      <c r="W634" s="776"/>
      <c r="X634" s="776"/>
      <c r="Y634" s="776"/>
      <c r="Z634" s="776"/>
      <c r="AA634" s="13"/>
    </row>
    <row r="635" spans="6:27">
      <c r="F635" s="776"/>
      <c r="G635" s="776"/>
      <c r="H635" s="776"/>
      <c r="I635" s="776"/>
      <c r="J635" s="776"/>
      <c r="K635" s="776"/>
      <c r="L635" s="776"/>
      <c r="M635" s="776"/>
      <c r="O635" s="776"/>
      <c r="P635" s="776"/>
      <c r="Q635" s="776"/>
      <c r="R635" s="776"/>
      <c r="S635" s="776"/>
      <c r="T635" s="776"/>
      <c r="U635" s="776"/>
      <c r="V635" s="776"/>
      <c r="W635" s="776"/>
      <c r="X635" s="776"/>
      <c r="Y635" s="776"/>
      <c r="Z635" s="776"/>
      <c r="AA635" s="13"/>
    </row>
    <row r="636" spans="6:27">
      <c r="F636" s="776"/>
      <c r="G636" s="776"/>
      <c r="H636" s="776"/>
      <c r="I636" s="776"/>
      <c r="J636" s="776"/>
      <c r="K636" s="776"/>
      <c r="L636" s="776"/>
      <c r="M636" s="776"/>
      <c r="O636" s="776"/>
      <c r="P636" s="776"/>
      <c r="Q636" s="776"/>
      <c r="R636" s="776"/>
      <c r="S636" s="776"/>
      <c r="T636" s="776"/>
      <c r="U636" s="776"/>
      <c r="V636" s="776"/>
      <c r="W636" s="776"/>
      <c r="X636" s="776"/>
      <c r="Y636" s="776"/>
      <c r="Z636" s="776"/>
      <c r="AA636" s="13"/>
    </row>
    <row r="637" spans="6:27">
      <c r="F637" s="776"/>
      <c r="G637" s="776"/>
      <c r="H637" s="776"/>
      <c r="I637" s="776"/>
      <c r="J637" s="776"/>
      <c r="K637" s="776"/>
      <c r="L637" s="776"/>
      <c r="M637" s="776"/>
      <c r="O637" s="776"/>
      <c r="P637" s="776"/>
      <c r="Q637" s="776"/>
      <c r="R637" s="776"/>
      <c r="S637" s="776"/>
      <c r="T637" s="776"/>
      <c r="U637" s="776"/>
      <c r="V637" s="776"/>
      <c r="W637" s="776"/>
      <c r="X637" s="776"/>
      <c r="Y637" s="776"/>
      <c r="Z637" s="776"/>
      <c r="AA637" s="13"/>
    </row>
    <row r="638" spans="6:27">
      <c r="F638" s="776"/>
      <c r="G638" s="776"/>
      <c r="H638" s="776"/>
      <c r="I638" s="776"/>
      <c r="J638" s="776"/>
      <c r="K638" s="776"/>
      <c r="L638" s="776"/>
      <c r="M638" s="776"/>
      <c r="O638" s="776"/>
      <c r="P638" s="776"/>
      <c r="Q638" s="776"/>
      <c r="R638" s="776"/>
      <c r="S638" s="776"/>
      <c r="T638" s="776"/>
      <c r="U638" s="776"/>
      <c r="V638" s="776"/>
      <c r="W638" s="776"/>
      <c r="X638" s="776"/>
      <c r="Y638" s="776"/>
      <c r="Z638" s="776"/>
      <c r="AA638" s="13"/>
    </row>
    <row r="639" spans="6:27">
      <c r="F639" s="776"/>
      <c r="G639" s="776"/>
      <c r="H639" s="776"/>
      <c r="I639" s="776"/>
      <c r="J639" s="776"/>
      <c r="K639" s="776"/>
      <c r="L639" s="776"/>
      <c r="M639" s="776"/>
      <c r="O639" s="776"/>
      <c r="P639" s="776"/>
      <c r="Q639" s="776"/>
      <c r="R639" s="776"/>
      <c r="S639" s="776"/>
      <c r="T639" s="776"/>
      <c r="U639" s="776"/>
      <c r="V639" s="776"/>
      <c r="W639" s="776"/>
      <c r="X639" s="776"/>
      <c r="Y639" s="776"/>
      <c r="Z639" s="776"/>
      <c r="AA639" s="13"/>
    </row>
    <row r="640" spans="6:27">
      <c r="F640" s="776"/>
      <c r="G640" s="776"/>
      <c r="H640" s="776"/>
      <c r="I640" s="776"/>
      <c r="J640" s="776"/>
      <c r="K640" s="776"/>
      <c r="L640" s="776"/>
      <c r="M640" s="776"/>
      <c r="O640" s="776"/>
      <c r="P640" s="776"/>
      <c r="Q640" s="776"/>
      <c r="R640" s="776"/>
      <c r="S640" s="776"/>
      <c r="T640" s="776"/>
      <c r="U640" s="776"/>
      <c r="V640" s="776"/>
      <c r="W640" s="776"/>
      <c r="X640" s="776"/>
      <c r="Y640" s="776"/>
      <c r="Z640" s="776"/>
      <c r="AA640" s="13"/>
    </row>
    <row r="641" spans="6:27">
      <c r="F641" s="776"/>
      <c r="G641" s="776"/>
      <c r="H641" s="776"/>
      <c r="I641" s="776"/>
      <c r="J641" s="776"/>
      <c r="K641" s="776"/>
      <c r="L641" s="776"/>
      <c r="M641" s="776"/>
      <c r="O641" s="776"/>
      <c r="P641" s="776"/>
      <c r="Q641" s="776"/>
      <c r="R641" s="776"/>
      <c r="S641" s="776"/>
      <c r="T641" s="776"/>
      <c r="U641" s="776"/>
      <c r="V641" s="776"/>
      <c r="W641" s="776"/>
      <c r="X641" s="776"/>
      <c r="Y641" s="776"/>
      <c r="Z641" s="776"/>
      <c r="AA641" s="13"/>
    </row>
    <row r="642" spans="6:27">
      <c r="F642" s="776"/>
      <c r="G642" s="776"/>
      <c r="H642" s="776"/>
      <c r="I642" s="776"/>
      <c r="J642" s="776"/>
      <c r="K642" s="776"/>
      <c r="L642" s="776"/>
      <c r="M642" s="776"/>
      <c r="O642" s="776"/>
      <c r="P642" s="776"/>
      <c r="Q642" s="776"/>
      <c r="R642" s="776"/>
      <c r="S642" s="776"/>
      <c r="T642" s="776"/>
      <c r="U642" s="776"/>
      <c r="V642" s="776"/>
      <c r="W642" s="776"/>
      <c r="X642" s="776"/>
      <c r="Y642" s="776"/>
      <c r="Z642" s="776"/>
      <c r="AA642" s="13"/>
    </row>
    <row r="643" spans="6:27">
      <c r="F643" s="776"/>
      <c r="G643" s="776"/>
      <c r="H643" s="776"/>
      <c r="I643" s="776"/>
      <c r="J643" s="776"/>
      <c r="K643" s="776"/>
      <c r="L643" s="776"/>
      <c r="M643" s="776"/>
      <c r="O643" s="776"/>
      <c r="P643" s="776"/>
      <c r="Q643" s="776"/>
      <c r="R643" s="776"/>
      <c r="S643" s="776"/>
      <c r="T643" s="776"/>
      <c r="U643" s="776"/>
      <c r="V643" s="776"/>
      <c r="W643" s="776"/>
      <c r="X643" s="776"/>
      <c r="Y643" s="776"/>
      <c r="Z643" s="776"/>
      <c r="AA643" s="13"/>
    </row>
    <row r="644" spans="6:27">
      <c r="F644" s="776"/>
      <c r="G644" s="776"/>
      <c r="H644" s="776"/>
      <c r="I644" s="776"/>
      <c r="J644" s="776"/>
      <c r="K644" s="776"/>
      <c r="L644" s="776"/>
      <c r="M644" s="776"/>
      <c r="O644" s="776"/>
      <c r="P644" s="776"/>
      <c r="Q644" s="776"/>
      <c r="R644" s="776"/>
      <c r="S644" s="776"/>
      <c r="T644" s="776"/>
      <c r="U644" s="776"/>
      <c r="V644" s="776"/>
      <c r="W644" s="776"/>
      <c r="X644" s="776"/>
      <c r="Y644" s="776"/>
      <c r="Z644" s="776"/>
      <c r="AA644" s="13"/>
    </row>
    <row r="645" spans="6:27">
      <c r="F645" s="776"/>
      <c r="G645" s="776"/>
      <c r="H645" s="776"/>
      <c r="I645" s="776"/>
      <c r="J645" s="776"/>
      <c r="K645" s="776"/>
      <c r="L645" s="776"/>
      <c r="M645" s="776"/>
      <c r="O645" s="776"/>
      <c r="P645" s="776"/>
      <c r="Q645" s="776"/>
      <c r="R645" s="776"/>
      <c r="S645" s="776"/>
      <c r="T645" s="776"/>
      <c r="U645" s="776"/>
      <c r="V645" s="776"/>
      <c r="W645" s="776"/>
      <c r="X645" s="776"/>
      <c r="Y645" s="776"/>
      <c r="Z645" s="776"/>
      <c r="AA645" s="13"/>
    </row>
    <row r="646" spans="6:27">
      <c r="F646" s="776"/>
      <c r="G646" s="776"/>
      <c r="H646" s="776"/>
      <c r="I646" s="776"/>
      <c r="J646" s="776"/>
      <c r="K646" s="776"/>
      <c r="L646" s="776"/>
      <c r="M646" s="776"/>
      <c r="O646" s="776"/>
      <c r="P646" s="776"/>
      <c r="Q646" s="776"/>
      <c r="R646" s="776"/>
      <c r="S646" s="776"/>
      <c r="T646" s="776"/>
      <c r="U646" s="776"/>
      <c r="V646" s="776"/>
      <c r="W646" s="776"/>
      <c r="X646" s="776"/>
      <c r="Y646" s="776"/>
      <c r="Z646" s="776"/>
      <c r="AA646" s="13"/>
    </row>
    <row r="647" spans="6:27">
      <c r="F647" s="776"/>
      <c r="G647" s="776"/>
      <c r="H647" s="776"/>
      <c r="I647" s="776"/>
      <c r="J647" s="776"/>
      <c r="K647" s="776"/>
      <c r="L647" s="776"/>
      <c r="M647" s="776"/>
      <c r="O647" s="776"/>
      <c r="P647" s="776"/>
      <c r="Q647" s="776"/>
      <c r="R647" s="776"/>
      <c r="S647" s="776"/>
      <c r="T647" s="776"/>
      <c r="U647" s="776"/>
      <c r="V647" s="776"/>
      <c r="W647" s="776"/>
      <c r="X647" s="776"/>
      <c r="Y647" s="776"/>
      <c r="Z647" s="776"/>
      <c r="AA647" s="13"/>
    </row>
    <row r="648" spans="6:27">
      <c r="F648" s="776"/>
      <c r="G648" s="776"/>
      <c r="H648" s="776"/>
      <c r="I648" s="776"/>
      <c r="J648" s="776"/>
      <c r="K648" s="776"/>
      <c r="L648" s="776"/>
      <c r="M648" s="776"/>
      <c r="O648" s="776"/>
      <c r="P648" s="776"/>
      <c r="Q648" s="776"/>
      <c r="R648" s="776"/>
      <c r="S648" s="776"/>
      <c r="T648" s="776"/>
      <c r="U648" s="776"/>
      <c r="V648" s="776"/>
      <c r="W648" s="776"/>
      <c r="X648" s="776"/>
      <c r="Y648" s="776"/>
      <c r="Z648" s="776"/>
      <c r="AA648" s="13"/>
    </row>
    <row r="649" spans="6:27">
      <c r="F649" s="776"/>
      <c r="G649" s="776"/>
      <c r="H649" s="776"/>
      <c r="I649" s="776"/>
      <c r="J649" s="776"/>
      <c r="K649" s="776"/>
      <c r="L649" s="776"/>
      <c r="M649" s="776"/>
      <c r="O649" s="776"/>
      <c r="P649" s="776"/>
      <c r="Q649" s="776"/>
      <c r="R649" s="776"/>
      <c r="S649" s="776"/>
      <c r="T649" s="776"/>
      <c r="U649" s="776"/>
      <c r="V649" s="776"/>
      <c r="W649" s="776"/>
      <c r="X649" s="776"/>
      <c r="Y649" s="776"/>
      <c r="Z649" s="776"/>
      <c r="AA649" s="13"/>
    </row>
    <row r="650" spans="6:27">
      <c r="F650" s="776"/>
      <c r="G650" s="776"/>
      <c r="H650" s="776"/>
      <c r="I650" s="776"/>
      <c r="J650" s="776"/>
      <c r="K650" s="776"/>
      <c r="L650" s="776"/>
      <c r="M650" s="776"/>
      <c r="O650" s="776"/>
      <c r="P650" s="776"/>
      <c r="Q650" s="776"/>
      <c r="R650" s="776"/>
      <c r="S650" s="776"/>
      <c r="T650" s="776"/>
      <c r="U650" s="776"/>
      <c r="V650" s="776"/>
      <c r="W650" s="776"/>
      <c r="X650" s="776"/>
      <c r="Y650" s="776"/>
      <c r="Z650" s="776"/>
      <c r="AA650" s="13"/>
    </row>
    <row r="651" spans="6:27">
      <c r="F651" s="776"/>
      <c r="G651" s="776"/>
      <c r="H651" s="776"/>
      <c r="I651" s="776"/>
      <c r="J651" s="776"/>
      <c r="K651" s="776"/>
      <c r="L651" s="776"/>
      <c r="M651" s="776"/>
      <c r="O651" s="776"/>
      <c r="P651" s="776"/>
      <c r="Q651" s="776"/>
      <c r="R651" s="776"/>
      <c r="S651" s="776"/>
      <c r="T651" s="776"/>
      <c r="U651" s="776"/>
      <c r="V651" s="776"/>
      <c r="W651" s="776"/>
      <c r="X651" s="776"/>
      <c r="Y651" s="776"/>
      <c r="Z651" s="776"/>
      <c r="AA651" s="13"/>
    </row>
    <row r="652" spans="6:27">
      <c r="F652" s="776"/>
      <c r="G652" s="776"/>
      <c r="H652" s="776"/>
      <c r="I652" s="776"/>
      <c r="J652" s="776"/>
      <c r="K652" s="776"/>
      <c r="L652" s="776"/>
      <c r="M652" s="776"/>
      <c r="O652" s="776"/>
      <c r="P652" s="776"/>
      <c r="Q652" s="776"/>
      <c r="R652" s="776"/>
      <c r="S652" s="776"/>
      <c r="T652" s="776"/>
      <c r="U652" s="776"/>
      <c r="V652" s="776"/>
      <c r="W652" s="776"/>
      <c r="X652" s="776"/>
      <c r="Y652" s="776"/>
      <c r="Z652" s="776"/>
      <c r="AA652" s="13"/>
    </row>
    <row r="653" spans="6:27">
      <c r="F653" s="776"/>
      <c r="G653" s="776"/>
      <c r="H653" s="776"/>
      <c r="I653" s="776"/>
      <c r="J653" s="776"/>
      <c r="K653" s="776"/>
      <c r="L653" s="776"/>
      <c r="M653" s="776"/>
      <c r="O653" s="776"/>
      <c r="P653" s="776"/>
      <c r="Q653" s="776"/>
      <c r="R653" s="776"/>
      <c r="S653" s="776"/>
      <c r="T653" s="776"/>
      <c r="U653" s="776"/>
      <c r="V653" s="776"/>
      <c r="W653" s="776"/>
      <c r="X653" s="776"/>
      <c r="Y653" s="776"/>
      <c r="Z653" s="776"/>
      <c r="AA653" s="13"/>
    </row>
    <row r="654" spans="6:27">
      <c r="F654" s="776"/>
      <c r="G654" s="776"/>
      <c r="H654" s="776"/>
      <c r="I654" s="776"/>
      <c r="J654" s="776"/>
      <c r="K654" s="776"/>
      <c r="L654" s="776"/>
      <c r="M654" s="776"/>
      <c r="O654" s="776"/>
      <c r="P654" s="776"/>
      <c r="Q654" s="776"/>
      <c r="R654" s="776"/>
      <c r="S654" s="776"/>
      <c r="T654" s="776"/>
      <c r="U654" s="776"/>
      <c r="V654" s="776"/>
      <c r="W654" s="776"/>
      <c r="X654" s="776"/>
      <c r="Y654" s="776"/>
      <c r="Z654" s="776"/>
      <c r="AA654" s="13"/>
    </row>
    <row r="655" spans="6:27">
      <c r="F655" s="776"/>
      <c r="G655" s="776"/>
      <c r="H655" s="776"/>
      <c r="I655" s="776"/>
      <c r="J655" s="776"/>
      <c r="K655" s="776"/>
      <c r="L655" s="776"/>
      <c r="M655" s="776"/>
      <c r="O655" s="776"/>
      <c r="P655" s="776"/>
      <c r="Q655" s="776"/>
      <c r="R655" s="776"/>
      <c r="S655" s="776"/>
      <c r="T655" s="776"/>
      <c r="U655" s="776"/>
      <c r="V655" s="776"/>
      <c r="W655" s="776"/>
      <c r="X655" s="776"/>
      <c r="Y655" s="776"/>
      <c r="Z655" s="776"/>
      <c r="AA655" s="13"/>
    </row>
    <row r="656" spans="6:27">
      <c r="F656" s="776"/>
      <c r="G656" s="776"/>
      <c r="H656" s="776"/>
      <c r="I656" s="776"/>
      <c r="J656" s="776"/>
      <c r="K656" s="776"/>
      <c r="L656" s="776"/>
      <c r="M656" s="776"/>
      <c r="O656" s="776"/>
      <c r="P656" s="776"/>
      <c r="Q656" s="776"/>
      <c r="R656" s="776"/>
      <c r="S656" s="776"/>
      <c r="T656" s="776"/>
      <c r="U656" s="776"/>
      <c r="V656" s="776"/>
      <c r="W656" s="776"/>
      <c r="X656" s="776"/>
      <c r="Y656" s="776"/>
      <c r="Z656" s="776"/>
      <c r="AA656" s="13"/>
    </row>
    <row r="657" spans="6:27">
      <c r="F657" s="776"/>
      <c r="G657" s="776"/>
      <c r="H657" s="776"/>
      <c r="I657" s="776"/>
      <c r="J657" s="776"/>
      <c r="K657" s="776"/>
      <c r="L657" s="776"/>
      <c r="M657" s="776"/>
      <c r="O657" s="776"/>
      <c r="P657" s="776"/>
      <c r="Q657" s="776"/>
      <c r="R657" s="776"/>
      <c r="S657" s="776"/>
      <c r="T657" s="776"/>
      <c r="U657" s="776"/>
      <c r="V657" s="776"/>
      <c r="W657" s="776"/>
      <c r="X657" s="776"/>
      <c r="Y657" s="776"/>
      <c r="Z657" s="776"/>
      <c r="AA657" s="13"/>
    </row>
    <row r="658" spans="6:27">
      <c r="F658" s="776"/>
      <c r="G658" s="776"/>
      <c r="H658" s="776"/>
      <c r="I658" s="776"/>
      <c r="J658" s="776"/>
      <c r="K658" s="776"/>
      <c r="L658" s="776"/>
      <c r="M658" s="776"/>
      <c r="O658" s="776"/>
      <c r="P658" s="776"/>
      <c r="Q658" s="776"/>
      <c r="R658" s="776"/>
      <c r="S658" s="776"/>
      <c r="T658" s="776"/>
      <c r="U658" s="776"/>
      <c r="V658" s="776"/>
      <c r="W658" s="776"/>
      <c r="X658" s="776"/>
      <c r="Y658" s="776"/>
      <c r="Z658" s="776"/>
      <c r="AA658" s="13"/>
    </row>
    <row r="659" spans="6:27">
      <c r="F659" s="776"/>
      <c r="G659" s="776"/>
      <c r="H659" s="776"/>
      <c r="I659" s="776"/>
      <c r="J659" s="776"/>
      <c r="K659" s="776"/>
      <c r="L659" s="776"/>
      <c r="M659" s="776"/>
      <c r="O659" s="776"/>
      <c r="P659" s="776"/>
      <c r="Q659" s="776"/>
      <c r="R659" s="776"/>
      <c r="S659" s="776"/>
      <c r="T659" s="776"/>
      <c r="U659" s="776"/>
      <c r="V659" s="776"/>
      <c r="W659" s="776"/>
      <c r="X659" s="776"/>
      <c r="Y659" s="776"/>
      <c r="Z659" s="776"/>
      <c r="AA659" s="13"/>
    </row>
    <row r="660" spans="6:27">
      <c r="F660" s="776"/>
      <c r="G660" s="776"/>
      <c r="H660" s="776"/>
      <c r="I660" s="776"/>
      <c r="J660" s="776"/>
      <c r="K660" s="776"/>
      <c r="L660" s="776"/>
      <c r="M660" s="776"/>
      <c r="O660" s="776"/>
      <c r="P660" s="776"/>
      <c r="Q660" s="776"/>
      <c r="R660" s="776"/>
      <c r="S660" s="776"/>
      <c r="T660" s="776"/>
      <c r="U660" s="776"/>
      <c r="V660" s="776"/>
      <c r="W660" s="776"/>
      <c r="X660" s="776"/>
      <c r="Y660" s="776"/>
      <c r="Z660" s="776"/>
      <c r="AA660" s="13"/>
    </row>
    <row r="661" spans="6:27">
      <c r="F661" s="776"/>
      <c r="G661" s="776"/>
      <c r="H661" s="776"/>
      <c r="I661" s="776"/>
      <c r="J661" s="776"/>
      <c r="K661" s="776"/>
      <c r="L661" s="776"/>
      <c r="M661" s="776"/>
      <c r="O661" s="776"/>
      <c r="P661" s="776"/>
      <c r="Q661" s="776"/>
      <c r="R661" s="776"/>
      <c r="S661" s="776"/>
      <c r="T661" s="776"/>
      <c r="U661" s="776"/>
      <c r="V661" s="776"/>
      <c r="W661" s="776"/>
      <c r="X661" s="776"/>
      <c r="Y661" s="776"/>
      <c r="Z661" s="776"/>
      <c r="AA661" s="13"/>
    </row>
    <row r="662" spans="6:27">
      <c r="F662" s="776"/>
      <c r="G662" s="776"/>
      <c r="H662" s="776"/>
      <c r="I662" s="776"/>
      <c r="J662" s="776"/>
      <c r="K662" s="776"/>
      <c r="L662" s="776"/>
      <c r="M662" s="776"/>
      <c r="O662" s="776"/>
      <c r="P662" s="776"/>
      <c r="Q662" s="776"/>
      <c r="R662" s="776"/>
      <c r="S662" s="776"/>
      <c r="T662" s="776"/>
      <c r="U662" s="776"/>
      <c r="V662" s="776"/>
      <c r="W662" s="776"/>
      <c r="X662" s="776"/>
      <c r="Y662" s="776"/>
      <c r="Z662" s="776"/>
      <c r="AA662" s="13"/>
    </row>
    <row r="663" spans="6:27">
      <c r="F663" s="776"/>
      <c r="G663" s="776"/>
      <c r="H663" s="776"/>
      <c r="I663" s="776"/>
      <c r="J663" s="776"/>
      <c r="K663" s="776"/>
      <c r="L663" s="776"/>
      <c r="M663" s="776"/>
      <c r="O663" s="776"/>
      <c r="P663" s="776"/>
      <c r="Q663" s="776"/>
      <c r="R663" s="776"/>
      <c r="S663" s="776"/>
      <c r="T663" s="776"/>
      <c r="U663" s="776"/>
      <c r="V663" s="776"/>
      <c r="W663" s="776"/>
      <c r="X663" s="776"/>
      <c r="Y663" s="776"/>
      <c r="Z663" s="776"/>
      <c r="AA663" s="13"/>
    </row>
    <row r="664" spans="6:27">
      <c r="F664" s="776"/>
      <c r="G664" s="776"/>
      <c r="H664" s="776"/>
      <c r="I664" s="776"/>
      <c r="J664" s="776"/>
      <c r="K664" s="776"/>
      <c r="L664" s="776"/>
      <c r="M664" s="776"/>
      <c r="O664" s="776"/>
      <c r="P664" s="776"/>
      <c r="Q664" s="776"/>
      <c r="R664" s="776"/>
      <c r="S664" s="776"/>
      <c r="T664" s="776"/>
      <c r="U664" s="776"/>
      <c r="V664" s="776"/>
      <c r="W664" s="776"/>
      <c r="X664" s="776"/>
      <c r="Y664" s="776"/>
      <c r="Z664" s="776"/>
      <c r="AA664" s="13"/>
    </row>
    <row r="665" spans="6:27">
      <c r="F665" s="776"/>
      <c r="G665" s="776"/>
      <c r="H665" s="776"/>
      <c r="I665" s="776"/>
      <c r="J665" s="776"/>
      <c r="K665" s="776"/>
      <c r="L665" s="776"/>
      <c r="M665" s="776"/>
      <c r="O665" s="776"/>
      <c r="P665" s="776"/>
      <c r="Q665" s="776"/>
      <c r="R665" s="776"/>
      <c r="S665" s="776"/>
      <c r="T665" s="776"/>
      <c r="U665" s="776"/>
      <c r="V665" s="776"/>
      <c r="W665" s="776"/>
      <c r="X665" s="776"/>
      <c r="Y665" s="776"/>
      <c r="Z665" s="776"/>
      <c r="AA665" s="13"/>
    </row>
    <row r="666" spans="6:27">
      <c r="F666" s="776"/>
      <c r="G666" s="776"/>
      <c r="H666" s="776"/>
      <c r="I666" s="776"/>
      <c r="J666" s="776"/>
      <c r="K666" s="776"/>
      <c r="L666" s="776"/>
      <c r="M666" s="776"/>
      <c r="O666" s="776"/>
      <c r="P666" s="776"/>
      <c r="Q666" s="776"/>
      <c r="R666" s="776"/>
      <c r="S666" s="776"/>
      <c r="T666" s="776"/>
      <c r="U666" s="776"/>
      <c r="V666" s="776"/>
      <c r="W666" s="776"/>
      <c r="X666" s="776"/>
      <c r="Y666" s="776"/>
      <c r="Z666" s="776"/>
      <c r="AA666" s="13"/>
    </row>
    <row r="667" spans="6:27">
      <c r="F667" s="776"/>
      <c r="G667" s="776"/>
      <c r="H667" s="776"/>
      <c r="I667" s="776"/>
      <c r="J667" s="776"/>
      <c r="K667" s="776"/>
      <c r="L667" s="776"/>
      <c r="M667" s="776"/>
      <c r="O667" s="776"/>
      <c r="P667" s="776"/>
      <c r="Q667" s="776"/>
      <c r="R667" s="776"/>
      <c r="S667" s="776"/>
      <c r="T667" s="776"/>
      <c r="U667" s="776"/>
      <c r="V667" s="776"/>
      <c r="W667" s="776"/>
      <c r="X667" s="776"/>
      <c r="Y667" s="776"/>
      <c r="Z667" s="776"/>
      <c r="AA667" s="13"/>
    </row>
    <row r="668" spans="6:27">
      <c r="F668" s="776"/>
      <c r="G668" s="776"/>
      <c r="H668" s="776"/>
      <c r="I668" s="776"/>
      <c r="J668" s="776"/>
      <c r="K668" s="776"/>
      <c r="L668" s="776"/>
      <c r="M668" s="776"/>
      <c r="O668" s="776"/>
      <c r="P668" s="776"/>
      <c r="Q668" s="776"/>
      <c r="R668" s="776"/>
      <c r="S668" s="776"/>
      <c r="T668" s="776"/>
      <c r="U668" s="776"/>
      <c r="V668" s="776"/>
      <c r="W668" s="776"/>
      <c r="X668" s="776"/>
      <c r="Y668" s="776"/>
      <c r="Z668" s="776"/>
      <c r="AA668" s="13"/>
    </row>
    <row r="669" spans="6:27">
      <c r="F669" s="776"/>
      <c r="G669" s="776"/>
      <c r="H669" s="776"/>
      <c r="I669" s="776"/>
      <c r="J669" s="776"/>
      <c r="K669" s="776"/>
      <c r="L669" s="776"/>
      <c r="M669" s="776"/>
      <c r="O669" s="776"/>
      <c r="P669" s="776"/>
      <c r="Q669" s="776"/>
      <c r="R669" s="776"/>
      <c r="S669" s="776"/>
      <c r="T669" s="776"/>
      <c r="U669" s="776"/>
      <c r="V669" s="776"/>
      <c r="W669" s="776"/>
      <c r="X669" s="776"/>
      <c r="Y669" s="776"/>
      <c r="Z669" s="776"/>
      <c r="AA669" s="13"/>
    </row>
    <row r="670" spans="6:27">
      <c r="F670" s="776"/>
      <c r="G670" s="776"/>
      <c r="H670" s="776"/>
      <c r="I670" s="776"/>
      <c r="J670" s="776"/>
      <c r="K670" s="776"/>
      <c r="L670" s="776"/>
      <c r="M670" s="776"/>
      <c r="O670" s="776"/>
      <c r="P670" s="776"/>
      <c r="Q670" s="776"/>
      <c r="R670" s="776"/>
      <c r="S670" s="776"/>
      <c r="T670" s="776"/>
      <c r="U670" s="776"/>
      <c r="V670" s="776"/>
      <c r="W670" s="776"/>
      <c r="X670" s="776"/>
      <c r="Y670" s="776"/>
      <c r="Z670" s="776"/>
      <c r="AA670" s="13"/>
    </row>
    <row r="671" spans="6:27">
      <c r="F671" s="776"/>
      <c r="G671" s="776"/>
      <c r="H671" s="776"/>
      <c r="I671" s="776"/>
      <c r="J671" s="776"/>
      <c r="K671" s="776"/>
      <c r="L671" s="776"/>
      <c r="M671" s="776"/>
      <c r="O671" s="776"/>
      <c r="P671" s="776"/>
      <c r="Q671" s="776"/>
      <c r="R671" s="776"/>
      <c r="S671" s="776"/>
      <c r="T671" s="776"/>
      <c r="U671" s="776"/>
      <c r="V671" s="776"/>
      <c r="W671" s="776"/>
      <c r="X671" s="776"/>
      <c r="Y671" s="776"/>
      <c r="Z671" s="776"/>
      <c r="AA671" s="13"/>
    </row>
    <row r="672" spans="6:27">
      <c r="F672" s="776"/>
      <c r="G672" s="776"/>
      <c r="H672" s="776"/>
      <c r="I672" s="776"/>
      <c r="J672" s="776"/>
      <c r="K672" s="776"/>
      <c r="L672" s="776"/>
      <c r="M672" s="776"/>
      <c r="O672" s="776"/>
      <c r="P672" s="776"/>
      <c r="Q672" s="776"/>
      <c r="R672" s="776"/>
      <c r="S672" s="776"/>
      <c r="T672" s="776"/>
      <c r="U672" s="776"/>
      <c r="V672" s="776"/>
      <c r="W672" s="776"/>
      <c r="X672" s="776"/>
      <c r="Y672" s="776"/>
      <c r="Z672" s="776"/>
      <c r="AA672" s="13"/>
    </row>
    <row r="673" spans="6:27">
      <c r="F673" s="776"/>
      <c r="G673" s="776"/>
      <c r="H673" s="776"/>
      <c r="I673" s="776"/>
      <c r="J673" s="776"/>
      <c r="K673" s="776"/>
      <c r="L673" s="776"/>
      <c r="M673" s="776"/>
      <c r="O673" s="776"/>
      <c r="P673" s="776"/>
      <c r="Q673" s="776"/>
      <c r="R673" s="776"/>
      <c r="S673" s="776"/>
      <c r="T673" s="776"/>
      <c r="U673" s="776"/>
      <c r="V673" s="776"/>
      <c r="W673" s="776"/>
      <c r="X673" s="776"/>
      <c r="Y673" s="776"/>
      <c r="Z673" s="776"/>
      <c r="AA673" s="13"/>
    </row>
    <row r="674" spans="6:27">
      <c r="F674" s="776"/>
      <c r="G674" s="776"/>
      <c r="H674" s="776"/>
      <c r="I674" s="776"/>
      <c r="J674" s="776"/>
      <c r="K674" s="776"/>
      <c r="L674" s="776"/>
      <c r="M674" s="776"/>
      <c r="O674" s="776"/>
      <c r="P674" s="776"/>
      <c r="Q674" s="776"/>
      <c r="R674" s="776"/>
      <c r="S674" s="776"/>
      <c r="T674" s="776"/>
      <c r="U674" s="776"/>
      <c r="V674" s="776"/>
      <c r="W674" s="776"/>
      <c r="X674" s="776"/>
      <c r="Y674" s="776"/>
      <c r="Z674" s="776"/>
      <c r="AA674" s="13"/>
    </row>
    <row r="675" spans="6:27">
      <c r="F675" s="776"/>
      <c r="G675" s="776"/>
      <c r="H675" s="776"/>
      <c r="I675" s="776"/>
      <c r="J675" s="776"/>
      <c r="K675" s="776"/>
      <c r="L675" s="776"/>
      <c r="M675" s="776"/>
      <c r="O675" s="776"/>
      <c r="P675" s="776"/>
      <c r="Q675" s="776"/>
      <c r="R675" s="776"/>
      <c r="S675" s="776"/>
      <c r="T675" s="776"/>
      <c r="U675" s="776"/>
      <c r="V675" s="776"/>
      <c r="W675" s="776"/>
      <c r="X675" s="776"/>
      <c r="Y675" s="776"/>
      <c r="Z675" s="776"/>
      <c r="AA675" s="13"/>
    </row>
    <row r="676" spans="6:27">
      <c r="F676" s="776"/>
      <c r="G676" s="776"/>
      <c r="H676" s="776"/>
      <c r="I676" s="776"/>
      <c r="J676" s="776"/>
      <c r="K676" s="776"/>
      <c r="L676" s="776"/>
      <c r="M676" s="776"/>
      <c r="O676" s="776"/>
      <c r="P676" s="776"/>
      <c r="Q676" s="776"/>
      <c r="R676" s="776"/>
      <c r="S676" s="776"/>
      <c r="T676" s="776"/>
      <c r="U676" s="776"/>
      <c r="V676" s="776"/>
      <c r="W676" s="776"/>
      <c r="X676" s="776"/>
      <c r="Y676" s="776"/>
      <c r="Z676" s="776"/>
      <c r="AA676" s="13"/>
    </row>
    <row r="677" spans="6:27">
      <c r="F677" s="776"/>
      <c r="G677" s="776"/>
      <c r="H677" s="776"/>
      <c r="I677" s="776"/>
      <c r="J677" s="776"/>
      <c r="K677" s="776"/>
      <c r="L677" s="776"/>
      <c r="M677" s="776"/>
      <c r="O677" s="776"/>
      <c r="P677" s="776"/>
      <c r="Q677" s="776"/>
      <c r="R677" s="776"/>
      <c r="S677" s="776"/>
      <c r="T677" s="776"/>
      <c r="U677" s="776"/>
      <c r="V677" s="776"/>
      <c r="W677" s="776"/>
      <c r="X677" s="776"/>
      <c r="Y677" s="776"/>
      <c r="Z677" s="776"/>
      <c r="AA677" s="13"/>
    </row>
    <row r="678" spans="6:27">
      <c r="F678" s="776"/>
      <c r="G678" s="776"/>
      <c r="H678" s="776"/>
      <c r="I678" s="776"/>
      <c r="J678" s="776"/>
      <c r="K678" s="776"/>
      <c r="L678" s="776"/>
      <c r="M678" s="776"/>
      <c r="O678" s="776"/>
      <c r="P678" s="776"/>
      <c r="Q678" s="776"/>
      <c r="R678" s="776"/>
      <c r="S678" s="776"/>
      <c r="T678" s="776"/>
      <c r="U678" s="776"/>
      <c r="V678" s="776"/>
      <c r="W678" s="776"/>
      <c r="X678" s="776"/>
      <c r="Y678" s="776"/>
      <c r="Z678" s="776"/>
      <c r="AA678" s="13"/>
    </row>
    <row r="679" spans="6:27">
      <c r="F679" s="776"/>
      <c r="G679" s="776"/>
      <c r="H679" s="776"/>
      <c r="I679" s="776"/>
      <c r="J679" s="776"/>
      <c r="K679" s="776"/>
      <c r="L679" s="776"/>
      <c r="M679" s="776"/>
      <c r="O679" s="776"/>
      <c r="P679" s="776"/>
      <c r="Q679" s="776"/>
      <c r="R679" s="776"/>
      <c r="S679" s="776"/>
      <c r="T679" s="776"/>
      <c r="U679" s="776"/>
      <c r="V679" s="776"/>
      <c r="W679" s="776"/>
      <c r="X679" s="776"/>
      <c r="Y679" s="776"/>
      <c r="Z679" s="776"/>
      <c r="AA679" s="13"/>
    </row>
    <row r="680" spans="6:27">
      <c r="F680" s="776"/>
      <c r="G680" s="776"/>
      <c r="H680" s="776"/>
      <c r="I680" s="776"/>
      <c r="J680" s="776"/>
      <c r="K680" s="776"/>
      <c r="L680" s="776"/>
      <c r="M680" s="776"/>
      <c r="O680" s="776"/>
      <c r="P680" s="776"/>
      <c r="Q680" s="776"/>
      <c r="R680" s="776"/>
      <c r="S680" s="776"/>
      <c r="T680" s="776"/>
      <c r="U680" s="776"/>
      <c r="V680" s="776"/>
      <c r="W680" s="776"/>
      <c r="X680" s="776"/>
      <c r="Y680" s="776"/>
      <c r="Z680" s="776"/>
      <c r="AA680" s="13"/>
    </row>
    <row r="681" spans="6:27">
      <c r="F681" s="776"/>
      <c r="G681" s="776"/>
      <c r="H681" s="776"/>
      <c r="I681" s="776"/>
      <c r="J681" s="776"/>
      <c r="K681" s="776"/>
      <c r="L681" s="776"/>
      <c r="M681" s="776"/>
      <c r="O681" s="776"/>
      <c r="P681" s="776"/>
      <c r="Q681" s="776"/>
      <c r="R681" s="776"/>
      <c r="S681" s="776"/>
      <c r="T681" s="776"/>
      <c r="U681" s="776"/>
      <c r="V681" s="776"/>
      <c r="W681" s="776"/>
      <c r="X681" s="776"/>
      <c r="Y681" s="776"/>
      <c r="Z681" s="776"/>
      <c r="AA681" s="13"/>
    </row>
    <row r="682" spans="6:27">
      <c r="F682" s="776"/>
      <c r="G682" s="776"/>
      <c r="H682" s="776"/>
      <c r="I682" s="776"/>
      <c r="J682" s="776"/>
      <c r="K682" s="776"/>
      <c r="L682" s="776"/>
      <c r="M682" s="776"/>
      <c r="O682" s="776"/>
      <c r="P682" s="776"/>
      <c r="Q682" s="776"/>
      <c r="R682" s="776"/>
      <c r="S682" s="776"/>
      <c r="T682" s="776"/>
      <c r="U682" s="776"/>
      <c r="V682" s="776"/>
      <c r="W682" s="776"/>
      <c r="X682" s="776"/>
      <c r="Y682" s="776"/>
      <c r="Z682" s="776"/>
      <c r="AA682" s="13"/>
    </row>
    <row r="683" spans="6:27">
      <c r="F683" s="776"/>
      <c r="G683" s="776"/>
      <c r="H683" s="776"/>
      <c r="I683" s="776"/>
      <c r="J683" s="776"/>
      <c r="K683" s="776"/>
      <c r="L683" s="776"/>
      <c r="M683" s="776"/>
      <c r="O683" s="776"/>
      <c r="P683" s="776"/>
      <c r="Q683" s="776"/>
      <c r="R683" s="776"/>
      <c r="S683" s="776"/>
      <c r="T683" s="776"/>
      <c r="U683" s="776"/>
      <c r="V683" s="776"/>
      <c r="W683" s="776"/>
      <c r="X683" s="776"/>
      <c r="Y683" s="776"/>
      <c r="Z683" s="776"/>
      <c r="AA683" s="13"/>
    </row>
    <row r="684" spans="6:27">
      <c r="F684" s="776"/>
      <c r="G684" s="776"/>
      <c r="H684" s="776"/>
      <c r="I684" s="776"/>
      <c r="J684" s="776"/>
      <c r="K684" s="776"/>
      <c r="L684" s="776"/>
      <c r="M684" s="776"/>
      <c r="O684" s="776"/>
      <c r="P684" s="776"/>
      <c r="Q684" s="776"/>
      <c r="R684" s="776"/>
      <c r="S684" s="776"/>
      <c r="T684" s="776"/>
      <c r="U684" s="776"/>
      <c r="V684" s="776"/>
      <c r="W684" s="776"/>
      <c r="X684" s="776"/>
      <c r="Y684" s="776"/>
      <c r="Z684" s="776"/>
      <c r="AA684" s="13"/>
    </row>
    <row r="685" spans="6:27">
      <c r="F685" s="776"/>
      <c r="G685" s="776"/>
      <c r="H685" s="776"/>
      <c r="I685" s="776"/>
      <c r="J685" s="776"/>
      <c r="K685" s="776"/>
      <c r="L685" s="776"/>
      <c r="M685" s="776"/>
      <c r="O685" s="776"/>
      <c r="P685" s="776"/>
      <c r="Q685" s="776"/>
      <c r="R685" s="776"/>
      <c r="S685" s="776"/>
      <c r="T685" s="776"/>
      <c r="U685" s="776"/>
      <c r="V685" s="776"/>
      <c r="W685" s="776"/>
      <c r="X685" s="776"/>
      <c r="Y685" s="776"/>
      <c r="Z685" s="776"/>
      <c r="AA685" s="13"/>
    </row>
    <row r="686" spans="6:27">
      <c r="F686" s="776"/>
      <c r="G686" s="776"/>
      <c r="H686" s="776"/>
      <c r="I686" s="776"/>
      <c r="J686" s="776"/>
      <c r="K686" s="776"/>
      <c r="L686" s="776"/>
      <c r="M686" s="776"/>
      <c r="O686" s="776"/>
      <c r="P686" s="776"/>
      <c r="Q686" s="776"/>
      <c r="R686" s="776"/>
      <c r="S686" s="776"/>
      <c r="T686" s="776"/>
      <c r="U686" s="776"/>
      <c r="V686" s="776"/>
      <c r="W686" s="776"/>
      <c r="X686" s="776"/>
      <c r="Y686" s="776"/>
      <c r="Z686" s="776"/>
      <c r="AA686" s="13"/>
    </row>
    <row r="687" spans="6:27">
      <c r="F687" s="776"/>
      <c r="G687" s="776"/>
      <c r="H687" s="776"/>
      <c r="I687" s="776"/>
      <c r="J687" s="776"/>
      <c r="K687" s="776"/>
      <c r="L687" s="776"/>
      <c r="M687" s="776"/>
      <c r="O687" s="776"/>
      <c r="P687" s="776"/>
      <c r="Q687" s="776"/>
      <c r="R687" s="776"/>
      <c r="S687" s="776"/>
      <c r="T687" s="776"/>
      <c r="U687" s="776"/>
      <c r="V687" s="776"/>
      <c r="W687" s="776"/>
      <c r="X687" s="776"/>
      <c r="Y687" s="776"/>
      <c r="Z687" s="776"/>
      <c r="AA687" s="13"/>
    </row>
    <row r="688" spans="6:27">
      <c r="F688" s="776"/>
      <c r="G688" s="776"/>
      <c r="H688" s="776"/>
      <c r="I688" s="776"/>
      <c r="J688" s="776"/>
      <c r="K688" s="776"/>
      <c r="L688" s="776"/>
      <c r="M688" s="776"/>
      <c r="O688" s="776"/>
      <c r="P688" s="776"/>
      <c r="Q688" s="776"/>
      <c r="R688" s="776"/>
      <c r="S688" s="776"/>
      <c r="T688" s="776"/>
      <c r="U688" s="776"/>
      <c r="V688" s="776"/>
      <c r="W688" s="776"/>
      <c r="X688" s="776"/>
      <c r="Y688" s="776"/>
      <c r="Z688" s="776"/>
      <c r="AA688" s="13"/>
    </row>
    <row r="689" spans="6:27">
      <c r="F689" s="776"/>
      <c r="G689" s="776"/>
      <c r="H689" s="776"/>
      <c r="I689" s="776"/>
      <c r="J689" s="776"/>
      <c r="K689" s="776"/>
      <c r="L689" s="776"/>
      <c r="M689" s="776"/>
      <c r="O689" s="776"/>
      <c r="P689" s="776"/>
      <c r="Q689" s="776"/>
      <c r="R689" s="776"/>
      <c r="S689" s="776"/>
      <c r="T689" s="776"/>
      <c r="U689" s="776"/>
      <c r="V689" s="776"/>
      <c r="W689" s="776"/>
      <c r="X689" s="776"/>
      <c r="Y689" s="776"/>
      <c r="Z689" s="776"/>
      <c r="AA689" s="13"/>
    </row>
    <row r="690" spans="6:27">
      <c r="F690" s="776"/>
      <c r="G690" s="776"/>
      <c r="H690" s="776"/>
      <c r="I690" s="776"/>
      <c r="J690" s="776"/>
      <c r="K690" s="776"/>
      <c r="L690" s="776"/>
      <c r="M690" s="776"/>
      <c r="O690" s="776"/>
      <c r="P690" s="776"/>
      <c r="Q690" s="776"/>
      <c r="R690" s="776"/>
      <c r="S690" s="776"/>
      <c r="T690" s="776"/>
      <c r="U690" s="776"/>
      <c r="V690" s="776"/>
      <c r="W690" s="776"/>
      <c r="X690" s="776"/>
      <c r="Y690" s="776"/>
      <c r="Z690" s="776"/>
      <c r="AA690" s="13"/>
    </row>
    <row r="691" spans="6:27">
      <c r="F691" s="776"/>
      <c r="G691" s="776"/>
      <c r="H691" s="776"/>
      <c r="I691" s="776"/>
      <c r="J691" s="776"/>
      <c r="K691" s="776"/>
      <c r="L691" s="776"/>
      <c r="M691" s="776"/>
      <c r="O691" s="776"/>
      <c r="P691" s="776"/>
      <c r="Q691" s="776"/>
      <c r="R691" s="776"/>
      <c r="S691" s="776"/>
      <c r="T691" s="776"/>
      <c r="U691" s="776"/>
      <c r="V691" s="776"/>
      <c r="W691" s="776"/>
      <c r="X691" s="776"/>
      <c r="Y691" s="776"/>
      <c r="Z691" s="776"/>
      <c r="AA691" s="13"/>
    </row>
    <row r="692" spans="6:27">
      <c r="F692" s="776"/>
      <c r="G692" s="776"/>
      <c r="H692" s="776"/>
      <c r="I692" s="776"/>
      <c r="J692" s="776"/>
      <c r="K692" s="776"/>
      <c r="L692" s="776"/>
      <c r="M692" s="776"/>
      <c r="O692" s="776"/>
      <c r="P692" s="776"/>
      <c r="Q692" s="776"/>
      <c r="R692" s="776"/>
      <c r="S692" s="776"/>
      <c r="T692" s="776"/>
      <c r="U692" s="776"/>
      <c r="V692" s="776"/>
      <c r="W692" s="776"/>
      <c r="X692" s="776"/>
      <c r="Y692" s="776"/>
      <c r="Z692" s="776"/>
      <c r="AA692" s="13"/>
    </row>
    <row r="693" spans="6:27">
      <c r="F693" s="776"/>
      <c r="G693" s="776"/>
      <c r="H693" s="776"/>
      <c r="I693" s="776"/>
      <c r="J693" s="776"/>
      <c r="K693" s="776"/>
      <c r="L693" s="776"/>
      <c r="M693" s="776"/>
      <c r="O693" s="776"/>
      <c r="P693" s="776"/>
      <c r="Q693" s="776"/>
      <c r="R693" s="776"/>
      <c r="S693" s="776"/>
      <c r="T693" s="776"/>
      <c r="U693" s="776"/>
      <c r="V693" s="776"/>
      <c r="W693" s="776"/>
      <c r="X693" s="776"/>
      <c r="Y693" s="776"/>
      <c r="Z693" s="776"/>
      <c r="AA693" s="13"/>
    </row>
    <row r="694" spans="6:27">
      <c r="F694" s="776"/>
      <c r="G694" s="776"/>
      <c r="H694" s="776"/>
      <c r="I694" s="776"/>
      <c r="J694" s="776"/>
      <c r="K694" s="776"/>
      <c r="L694" s="776"/>
      <c r="M694" s="776"/>
      <c r="O694" s="776"/>
      <c r="P694" s="776"/>
      <c r="Q694" s="776"/>
      <c r="R694" s="776"/>
      <c r="S694" s="776"/>
      <c r="T694" s="776"/>
      <c r="U694" s="776"/>
      <c r="V694" s="776"/>
      <c r="W694" s="776"/>
      <c r="X694" s="776"/>
      <c r="Y694" s="776"/>
      <c r="Z694" s="776"/>
      <c r="AA694" s="13"/>
    </row>
    <row r="695" spans="6:27">
      <c r="F695" s="776"/>
      <c r="G695" s="776"/>
      <c r="H695" s="776"/>
      <c r="I695" s="776"/>
      <c r="J695" s="776"/>
      <c r="K695" s="776"/>
      <c r="L695" s="776"/>
      <c r="M695" s="776"/>
      <c r="O695" s="776"/>
      <c r="P695" s="776"/>
      <c r="Q695" s="776"/>
      <c r="R695" s="776"/>
      <c r="S695" s="776"/>
      <c r="T695" s="776"/>
      <c r="U695" s="776"/>
      <c r="V695" s="776"/>
      <c r="W695" s="776"/>
      <c r="X695" s="776"/>
      <c r="Y695" s="776"/>
      <c r="Z695" s="776"/>
      <c r="AA695" s="13"/>
    </row>
    <row r="696" spans="6:27">
      <c r="F696" s="776"/>
      <c r="G696" s="776"/>
      <c r="H696" s="776"/>
      <c r="I696" s="776"/>
      <c r="J696" s="776"/>
      <c r="K696" s="776"/>
      <c r="L696" s="776"/>
      <c r="M696" s="776"/>
      <c r="O696" s="776"/>
      <c r="P696" s="776"/>
      <c r="Q696" s="776"/>
      <c r="R696" s="776"/>
      <c r="S696" s="776"/>
      <c r="T696" s="776"/>
      <c r="U696" s="776"/>
      <c r="V696" s="776"/>
      <c r="W696" s="776"/>
      <c r="X696" s="776"/>
      <c r="Y696" s="776"/>
      <c r="Z696" s="776"/>
      <c r="AA696" s="13"/>
    </row>
    <row r="697" spans="6:27">
      <c r="F697" s="776"/>
      <c r="G697" s="776"/>
      <c r="H697" s="776"/>
      <c r="I697" s="776"/>
      <c r="J697" s="776"/>
      <c r="K697" s="776"/>
      <c r="L697" s="776"/>
      <c r="M697" s="776"/>
      <c r="O697" s="776"/>
      <c r="P697" s="776"/>
      <c r="Q697" s="776"/>
      <c r="R697" s="776"/>
      <c r="S697" s="776"/>
      <c r="T697" s="776"/>
      <c r="U697" s="776"/>
      <c r="V697" s="776"/>
      <c r="W697" s="776"/>
      <c r="X697" s="776"/>
      <c r="Y697" s="776"/>
      <c r="Z697" s="776"/>
      <c r="AA697" s="13"/>
    </row>
    <row r="698" spans="6:27">
      <c r="F698" s="776"/>
      <c r="G698" s="776"/>
      <c r="H698" s="776"/>
      <c r="I698" s="776"/>
      <c r="J698" s="776"/>
      <c r="K698" s="776"/>
      <c r="L698" s="776"/>
      <c r="M698" s="776"/>
      <c r="O698" s="776"/>
      <c r="P698" s="776"/>
      <c r="Q698" s="776"/>
      <c r="R698" s="776"/>
      <c r="S698" s="776"/>
      <c r="T698" s="776"/>
      <c r="U698" s="776"/>
      <c r="V698" s="776"/>
      <c r="W698" s="776"/>
      <c r="X698" s="776"/>
      <c r="Y698" s="776"/>
      <c r="Z698" s="776"/>
      <c r="AA698" s="13"/>
    </row>
    <row r="699" spans="6:27">
      <c r="F699" s="776"/>
      <c r="G699" s="776"/>
      <c r="H699" s="776"/>
      <c r="I699" s="776"/>
      <c r="J699" s="776"/>
      <c r="K699" s="776"/>
      <c r="L699" s="776"/>
      <c r="M699" s="776"/>
      <c r="O699" s="776"/>
      <c r="P699" s="776"/>
      <c r="Q699" s="776"/>
      <c r="R699" s="776"/>
      <c r="S699" s="776"/>
      <c r="T699" s="776"/>
      <c r="U699" s="776"/>
      <c r="V699" s="776"/>
      <c r="W699" s="776"/>
      <c r="X699" s="776"/>
      <c r="Y699" s="776"/>
      <c r="Z699" s="776"/>
      <c r="AA699" s="13"/>
    </row>
    <row r="700" spans="6:27">
      <c r="F700" s="776"/>
      <c r="G700" s="776"/>
      <c r="H700" s="776"/>
      <c r="I700" s="776"/>
      <c r="J700" s="776"/>
      <c r="K700" s="776"/>
      <c r="L700" s="776"/>
      <c r="M700" s="776"/>
      <c r="O700" s="776"/>
      <c r="P700" s="776"/>
      <c r="Q700" s="776"/>
      <c r="R700" s="776"/>
      <c r="S700" s="776"/>
      <c r="T700" s="776"/>
      <c r="U700" s="776"/>
      <c r="V700" s="776"/>
      <c r="W700" s="776"/>
      <c r="X700" s="776"/>
      <c r="Y700" s="776"/>
      <c r="Z700" s="776"/>
      <c r="AA700" s="13"/>
    </row>
    <row r="701" spans="6:27">
      <c r="F701" s="776"/>
      <c r="G701" s="776"/>
      <c r="H701" s="776"/>
      <c r="I701" s="776"/>
      <c r="J701" s="776"/>
      <c r="K701" s="776"/>
      <c r="L701" s="776"/>
      <c r="M701" s="776"/>
      <c r="O701" s="776"/>
      <c r="P701" s="776"/>
      <c r="Q701" s="776"/>
      <c r="R701" s="776"/>
      <c r="S701" s="776"/>
      <c r="T701" s="776"/>
      <c r="U701" s="776"/>
      <c r="V701" s="776"/>
      <c r="W701" s="776"/>
      <c r="X701" s="776"/>
      <c r="Y701" s="776"/>
      <c r="Z701" s="776"/>
      <c r="AA701" s="13"/>
    </row>
    <row r="702" spans="6:27">
      <c r="F702" s="776"/>
      <c r="G702" s="776"/>
      <c r="H702" s="776"/>
      <c r="I702" s="776"/>
      <c r="J702" s="776"/>
      <c r="K702" s="776"/>
      <c r="L702" s="776"/>
      <c r="M702" s="776"/>
      <c r="O702" s="776"/>
      <c r="P702" s="776"/>
      <c r="Q702" s="776"/>
      <c r="R702" s="776"/>
      <c r="S702" s="776"/>
      <c r="T702" s="776"/>
      <c r="U702" s="776"/>
      <c r="V702" s="776"/>
      <c r="W702" s="776"/>
      <c r="X702" s="776"/>
      <c r="Y702" s="776"/>
      <c r="Z702" s="776"/>
      <c r="AA702" s="13"/>
    </row>
    <row r="703" spans="6:27">
      <c r="F703" s="776"/>
      <c r="G703" s="776"/>
      <c r="H703" s="776"/>
      <c r="I703" s="776"/>
      <c r="J703" s="776"/>
      <c r="K703" s="776"/>
      <c r="L703" s="776"/>
      <c r="M703" s="776"/>
      <c r="O703" s="776"/>
      <c r="P703" s="776"/>
      <c r="Q703" s="776"/>
      <c r="R703" s="776"/>
      <c r="S703" s="776"/>
      <c r="T703" s="776"/>
      <c r="U703" s="776"/>
      <c r="V703" s="776"/>
      <c r="W703" s="776"/>
      <c r="X703" s="776"/>
      <c r="Y703" s="776"/>
      <c r="Z703" s="776"/>
      <c r="AA703" s="13"/>
    </row>
    <row r="704" spans="6:27">
      <c r="F704" s="776"/>
      <c r="G704" s="776"/>
      <c r="H704" s="776"/>
      <c r="I704" s="776"/>
      <c r="J704" s="776"/>
      <c r="K704" s="776"/>
      <c r="L704" s="776"/>
      <c r="M704" s="776"/>
      <c r="O704" s="776"/>
      <c r="P704" s="776"/>
      <c r="Q704" s="776"/>
      <c r="R704" s="776"/>
      <c r="S704" s="776"/>
      <c r="T704" s="776"/>
      <c r="U704" s="776"/>
      <c r="V704" s="776"/>
      <c r="W704" s="776"/>
      <c r="X704" s="776"/>
      <c r="Y704" s="776"/>
      <c r="Z704" s="776"/>
      <c r="AA704" s="13"/>
    </row>
    <row r="705" spans="6:27">
      <c r="F705" s="776"/>
      <c r="G705" s="776"/>
      <c r="H705" s="776"/>
      <c r="I705" s="776"/>
      <c r="J705" s="776"/>
      <c r="K705" s="776"/>
      <c r="L705" s="776"/>
      <c r="M705" s="776"/>
      <c r="O705" s="776"/>
      <c r="P705" s="776"/>
      <c r="Q705" s="776"/>
      <c r="R705" s="776"/>
      <c r="S705" s="776"/>
      <c r="T705" s="776"/>
      <c r="U705" s="776"/>
      <c r="V705" s="776"/>
      <c r="W705" s="776"/>
      <c r="X705" s="776"/>
      <c r="Y705" s="776"/>
      <c r="Z705" s="776"/>
      <c r="AA705" s="13"/>
    </row>
    <row r="706" spans="6:27">
      <c r="F706" s="776"/>
      <c r="G706" s="776"/>
      <c r="H706" s="776"/>
      <c r="I706" s="776"/>
      <c r="J706" s="776"/>
      <c r="K706" s="776"/>
      <c r="L706" s="776"/>
      <c r="M706" s="776"/>
      <c r="O706" s="776"/>
      <c r="P706" s="776"/>
      <c r="Q706" s="776"/>
      <c r="R706" s="776"/>
      <c r="S706" s="776"/>
      <c r="T706" s="776"/>
      <c r="U706" s="776"/>
      <c r="V706" s="776"/>
      <c r="W706" s="776"/>
      <c r="X706" s="776"/>
      <c r="Y706" s="776"/>
      <c r="Z706" s="776"/>
      <c r="AA706" s="13"/>
    </row>
    <row r="707" spans="6:27">
      <c r="F707" s="776"/>
      <c r="G707" s="776"/>
      <c r="H707" s="776"/>
      <c r="I707" s="776"/>
      <c r="J707" s="776"/>
      <c r="K707" s="776"/>
      <c r="L707" s="776"/>
      <c r="M707" s="776"/>
      <c r="O707" s="776"/>
      <c r="P707" s="776"/>
      <c r="Q707" s="776"/>
      <c r="R707" s="776"/>
      <c r="S707" s="776"/>
      <c r="T707" s="776"/>
      <c r="U707" s="776"/>
      <c r="V707" s="776"/>
      <c r="W707" s="776"/>
      <c r="X707" s="776"/>
      <c r="Y707" s="776"/>
      <c r="Z707" s="776"/>
      <c r="AA707" s="13"/>
    </row>
    <row r="708" spans="6:27">
      <c r="F708" s="776"/>
      <c r="G708" s="776"/>
      <c r="H708" s="776"/>
      <c r="I708" s="776"/>
      <c r="J708" s="776"/>
      <c r="K708" s="776"/>
      <c r="L708" s="776"/>
      <c r="M708" s="776"/>
      <c r="O708" s="776"/>
      <c r="P708" s="776"/>
      <c r="Q708" s="776"/>
      <c r="R708" s="776"/>
      <c r="S708" s="776"/>
      <c r="T708" s="776"/>
      <c r="U708" s="776"/>
      <c r="V708" s="776"/>
      <c r="W708" s="776"/>
      <c r="X708" s="776"/>
      <c r="Y708" s="776"/>
      <c r="Z708" s="776"/>
      <c r="AA708" s="13"/>
    </row>
    <row r="709" spans="6:27">
      <c r="F709" s="776"/>
      <c r="G709" s="776"/>
      <c r="H709" s="776"/>
      <c r="I709" s="776"/>
      <c r="J709" s="776"/>
      <c r="K709" s="776"/>
      <c r="L709" s="776"/>
      <c r="M709" s="776"/>
      <c r="O709" s="776"/>
      <c r="P709" s="776"/>
      <c r="Q709" s="776"/>
      <c r="R709" s="776"/>
      <c r="S709" s="776"/>
      <c r="T709" s="776"/>
      <c r="U709" s="776"/>
      <c r="V709" s="776"/>
      <c r="W709" s="776"/>
      <c r="X709" s="776"/>
      <c r="Y709" s="776"/>
      <c r="Z709" s="776"/>
      <c r="AA709" s="13"/>
    </row>
    <row r="710" spans="6:27">
      <c r="F710" s="776"/>
      <c r="G710" s="776"/>
      <c r="H710" s="776"/>
      <c r="I710" s="776"/>
      <c r="J710" s="776"/>
      <c r="K710" s="776"/>
      <c r="L710" s="776"/>
      <c r="M710" s="776"/>
      <c r="O710" s="776"/>
      <c r="P710" s="776"/>
      <c r="Q710" s="776"/>
      <c r="R710" s="776"/>
      <c r="S710" s="776"/>
      <c r="T710" s="776"/>
      <c r="U710" s="776"/>
      <c r="V710" s="776"/>
      <c r="W710" s="776"/>
      <c r="X710" s="776"/>
      <c r="Y710" s="776"/>
      <c r="Z710" s="776"/>
      <c r="AA710" s="13"/>
    </row>
    <row r="711" spans="6:27">
      <c r="F711" s="776"/>
      <c r="G711" s="776"/>
      <c r="H711" s="776"/>
      <c r="I711" s="776"/>
      <c r="J711" s="776"/>
      <c r="K711" s="776"/>
      <c r="L711" s="776"/>
      <c r="M711" s="776"/>
      <c r="O711" s="776"/>
      <c r="P711" s="776"/>
      <c r="Q711" s="776"/>
      <c r="R711" s="776"/>
      <c r="S711" s="776"/>
      <c r="T711" s="776"/>
      <c r="U711" s="776"/>
      <c r="V711" s="776"/>
      <c r="W711" s="776"/>
      <c r="X711" s="776"/>
      <c r="Y711" s="776"/>
      <c r="Z711" s="776"/>
      <c r="AA711" s="13"/>
    </row>
    <row r="712" spans="6:27">
      <c r="F712" s="776"/>
      <c r="G712" s="776"/>
      <c r="H712" s="776"/>
      <c r="I712" s="776"/>
      <c r="J712" s="776"/>
      <c r="K712" s="776"/>
      <c r="L712" s="776"/>
      <c r="M712" s="776"/>
      <c r="O712" s="776"/>
      <c r="P712" s="776"/>
      <c r="Q712" s="776"/>
      <c r="R712" s="776"/>
      <c r="S712" s="776"/>
      <c r="T712" s="776"/>
      <c r="U712" s="776"/>
      <c r="V712" s="776"/>
      <c r="W712" s="776"/>
      <c r="X712" s="776"/>
      <c r="Y712" s="776"/>
      <c r="Z712" s="776"/>
      <c r="AA712" s="13"/>
    </row>
    <row r="713" spans="6:27">
      <c r="F713" s="776"/>
      <c r="G713" s="776"/>
      <c r="H713" s="776"/>
      <c r="I713" s="776"/>
      <c r="J713" s="776"/>
      <c r="K713" s="776"/>
      <c r="L713" s="776"/>
      <c r="M713" s="776"/>
      <c r="O713" s="776"/>
      <c r="P713" s="776"/>
      <c r="Q713" s="776"/>
      <c r="R713" s="776"/>
      <c r="S713" s="776"/>
      <c r="T713" s="776"/>
      <c r="U713" s="776"/>
      <c r="V713" s="776"/>
      <c r="W713" s="776"/>
      <c r="X713" s="776"/>
      <c r="Y713" s="776"/>
      <c r="Z713" s="776"/>
      <c r="AA713" s="13"/>
    </row>
    <row r="714" spans="6:27">
      <c r="F714" s="776"/>
      <c r="G714" s="776"/>
      <c r="H714" s="776"/>
      <c r="I714" s="776"/>
      <c r="J714" s="776"/>
      <c r="K714" s="776"/>
      <c r="L714" s="776"/>
      <c r="M714" s="776"/>
      <c r="O714" s="776"/>
      <c r="P714" s="776"/>
      <c r="Q714" s="776"/>
      <c r="R714" s="776"/>
      <c r="S714" s="776"/>
      <c r="T714" s="776"/>
      <c r="U714" s="776"/>
      <c r="V714" s="776"/>
      <c r="W714" s="776"/>
      <c r="X714" s="776"/>
      <c r="Y714" s="776"/>
      <c r="Z714" s="776"/>
      <c r="AA714" s="13"/>
    </row>
    <row r="715" spans="6:27">
      <c r="F715" s="776"/>
      <c r="G715" s="776"/>
      <c r="H715" s="776"/>
      <c r="I715" s="776"/>
      <c r="J715" s="776"/>
      <c r="K715" s="776"/>
      <c r="L715" s="776"/>
      <c r="M715" s="776"/>
      <c r="O715" s="776"/>
      <c r="P715" s="776"/>
      <c r="Q715" s="776"/>
      <c r="R715" s="776"/>
      <c r="S715" s="776"/>
      <c r="T715" s="776"/>
      <c r="U715" s="776"/>
      <c r="V715" s="776"/>
      <c r="W715" s="776"/>
      <c r="X715" s="776"/>
      <c r="Y715" s="776"/>
      <c r="Z715" s="776"/>
      <c r="AA715" s="13"/>
    </row>
    <row r="716" spans="6:27">
      <c r="F716" s="776"/>
      <c r="G716" s="776"/>
      <c r="H716" s="776"/>
      <c r="I716" s="776"/>
      <c r="J716" s="776"/>
      <c r="K716" s="776"/>
      <c r="L716" s="776"/>
      <c r="M716" s="776"/>
      <c r="O716" s="776"/>
      <c r="P716" s="776"/>
      <c r="Q716" s="776"/>
      <c r="R716" s="776"/>
      <c r="S716" s="776"/>
      <c r="T716" s="776"/>
      <c r="U716" s="776"/>
      <c r="V716" s="776"/>
      <c r="W716" s="776"/>
      <c r="X716" s="776"/>
      <c r="Y716" s="776"/>
      <c r="Z716" s="776"/>
      <c r="AA716" s="13"/>
    </row>
    <row r="717" spans="6:27">
      <c r="F717" s="776"/>
      <c r="G717" s="776"/>
      <c r="H717" s="776"/>
      <c r="I717" s="776"/>
      <c r="J717" s="776"/>
      <c r="K717" s="776"/>
      <c r="L717" s="776"/>
      <c r="M717" s="776"/>
      <c r="O717" s="776"/>
      <c r="P717" s="776"/>
      <c r="Q717" s="776"/>
      <c r="R717" s="776"/>
      <c r="S717" s="776"/>
      <c r="T717" s="776"/>
      <c r="U717" s="776"/>
      <c r="V717" s="776"/>
      <c r="W717" s="776"/>
      <c r="X717" s="776"/>
      <c r="Y717" s="776"/>
      <c r="Z717" s="776"/>
      <c r="AA717" s="13"/>
    </row>
    <row r="718" spans="6:27">
      <c r="F718" s="776"/>
      <c r="G718" s="776"/>
      <c r="H718" s="776"/>
      <c r="I718" s="776"/>
      <c r="J718" s="776"/>
      <c r="K718" s="776"/>
      <c r="L718" s="776"/>
      <c r="M718" s="776"/>
      <c r="O718" s="776"/>
      <c r="P718" s="776"/>
      <c r="Q718" s="776"/>
      <c r="R718" s="776"/>
      <c r="S718" s="776"/>
      <c r="T718" s="776"/>
      <c r="U718" s="776"/>
      <c r="V718" s="776"/>
      <c r="W718" s="776"/>
      <c r="X718" s="776"/>
      <c r="Y718" s="776"/>
      <c r="Z718" s="776"/>
      <c r="AA718" s="13"/>
    </row>
    <row r="719" spans="6:27">
      <c r="F719" s="776"/>
      <c r="G719" s="776"/>
      <c r="H719" s="776"/>
      <c r="I719" s="776"/>
      <c r="J719" s="776"/>
      <c r="K719" s="776"/>
      <c r="L719" s="776"/>
      <c r="M719" s="776"/>
      <c r="O719" s="776"/>
      <c r="P719" s="776"/>
      <c r="Q719" s="776"/>
      <c r="R719" s="776"/>
      <c r="S719" s="776"/>
      <c r="T719" s="776"/>
      <c r="U719" s="776"/>
      <c r="V719" s="776"/>
      <c r="W719" s="776"/>
      <c r="X719" s="776"/>
      <c r="Y719" s="776"/>
      <c r="Z719" s="776"/>
      <c r="AA719" s="13"/>
    </row>
    <row r="720" spans="6:27">
      <c r="F720" s="776"/>
      <c r="G720" s="776"/>
      <c r="H720" s="776"/>
      <c r="I720" s="776"/>
      <c r="J720" s="776"/>
      <c r="K720" s="776"/>
      <c r="L720" s="776"/>
      <c r="M720" s="776"/>
      <c r="O720" s="776"/>
      <c r="P720" s="776"/>
      <c r="Q720" s="776"/>
      <c r="R720" s="776"/>
      <c r="S720" s="776"/>
      <c r="T720" s="776"/>
      <c r="U720" s="776"/>
      <c r="V720" s="776"/>
      <c r="W720" s="776"/>
      <c r="X720" s="776"/>
      <c r="Y720" s="776"/>
      <c r="Z720" s="776"/>
      <c r="AA720" s="13"/>
    </row>
    <row r="721" spans="6:27">
      <c r="F721" s="776"/>
      <c r="G721" s="776"/>
      <c r="H721" s="776"/>
      <c r="I721" s="776"/>
      <c r="J721" s="776"/>
      <c r="K721" s="776"/>
      <c r="L721" s="776"/>
      <c r="M721" s="776"/>
      <c r="O721" s="776"/>
      <c r="P721" s="776"/>
      <c r="Q721" s="776"/>
      <c r="R721" s="776"/>
      <c r="S721" s="776"/>
      <c r="T721" s="776"/>
      <c r="U721" s="776"/>
      <c r="V721" s="776"/>
      <c r="W721" s="776"/>
      <c r="X721" s="776"/>
      <c r="Y721" s="776"/>
      <c r="Z721" s="776"/>
      <c r="AA721" s="13"/>
    </row>
    <row r="722" spans="6:27">
      <c r="F722" s="776"/>
      <c r="G722" s="776"/>
      <c r="H722" s="776"/>
      <c r="I722" s="776"/>
      <c r="J722" s="776"/>
      <c r="K722" s="776"/>
      <c r="L722" s="776"/>
      <c r="M722" s="776"/>
      <c r="O722" s="776"/>
      <c r="P722" s="776"/>
      <c r="Q722" s="776"/>
      <c r="R722" s="776"/>
      <c r="S722" s="776"/>
      <c r="T722" s="776"/>
      <c r="U722" s="776"/>
      <c r="V722" s="776"/>
      <c r="W722" s="776"/>
      <c r="X722" s="776"/>
      <c r="Y722" s="776"/>
      <c r="Z722" s="776"/>
      <c r="AA722" s="13"/>
    </row>
    <row r="723" spans="6:27">
      <c r="F723" s="776"/>
      <c r="G723" s="776"/>
      <c r="H723" s="776"/>
      <c r="I723" s="776"/>
      <c r="J723" s="776"/>
      <c r="K723" s="776"/>
      <c r="L723" s="776"/>
      <c r="M723" s="776"/>
      <c r="O723" s="776"/>
      <c r="P723" s="776"/>
      <c r="Q723" s="776"/>
      <c r="R723" s="776"/>
      <c r="S723" s="776"/>
      <c r="T723" s="776"/>
      <c r="U723" s="776"/>
      <c r="V723" s="776"/>
      <c r="W723" s="776"/>
      <c r="X723" s="776"/>
      <c r="Y723" s="776"/>
      <c r="Z723" s="776"/>
      <c r="AA723" s="13"/>
    </row>
    <row r="724" spans="6:27">
      <c r="F724" s="776"/>
      <c r="G724" s="776"/>
      <c r="H724" s="776"/>
      <c r="I724" s="776"/>
      <c r="J724" s="776"/>
      <c r="K724" s="776"/>
      <c r="L724" s="776"/>
      <c r="M724" s="776"/>
      <c r="O724" s="776"/>
      <c r="P724" s="776"/>
      <c r="Q724" s="776"/>
      <c r="R724" s="776"/>
      <c r="S724" s="776"/>
      <c r="T724" s="776"/>
      <c r="U724" s="776"/>
      <c r="V724" s="776"/>
      <c r="W724" s="776"/>
      <c r="X724" s="776"/>
      <c r="Y724" s="776"/>
      <c r="Z724" s="776"/>
      <c r="AA724" s="13"/>
    </row>
    <row r="725" spans="6:27">
      <c r="F725" s="776"/>
      <c r="G725" s="776"/>
      <c r="H725" s="776"/>
      <c r="I725" s="776"/>
      <c r="J725" s="776"/>
      <c r="K725" s="776"/>
      <c r="L725" s="776"/>
      <c r="M725" s="776"/>
      <c r="O725" s="776"/>
      <c r="P725" s="776"/>
      <c r="Q725" s="776"/>
      <c r="R725" s="776"/>
      <c r="S725" s="776"/>
      <c r="T725" s="776"/>
      <c r="U725" s="776"/>
      <c r="V725" s="776"/>
      <c r="W725" s="776"/>
      <c r="X725" s="776"/>
      <c r="Y725" s="776"/>
      <c r="Z725" s="776"/>
      <c r="AA725" s="13"/>
    </row>
    <row r="726" spans="6:27">
      <c r="F726" s="776"/>
      <c r="G726" s="776"/>
      <c r="H726" s="776"/>
      <c r="I726" s="776"/>
      <c r="J726" s="776"/>
      <c r="K726" s="776"/>
      <c r="L726" s="776"/>
      <c r="M726" s="776"/>
      <c r="O726" s="776"/>
      <c r="P726" s="776"/>
      <c r="Q726" s="776"/>
      <c r="R726" s="776"/>
      <c r="S726" s="776"/>
      <c r="T726" s="776"/>
      <c r="U726" s="776"/>
      <c r="V726" s="776"/>
      <c r="W726" s="776"/>
      <c r="X726" s="776"/>
      <c r="Y726" s="776"/>
      <c r="Z726" s="776"/>
      <c r="AA726" s="13"/>
    </row>
    <row r="727" spans="6:27">
      <c r="F727" s="776"/>
      <c r="G727" s="776"/>
      <c r="H727" s="776"/>
      <c r="I727" s="776"/>
      <c r="J727" s="776"/>
      <c r="K727" s="776"/>
      <c r="L727" s="776"/>
      <c r="M727" s="776"/>
      <c r="O727" s="776"/>
      <c r="P727" s="776"/>
      <c r="Q727" s="776"/>
      <c r="R727" s="776"/>
      <c r="S727" s="776"/>
      <c r="T727" s="776"/>
      <c r="U727" s="776"/>
      <c r="V727" s="776"/>
      <c r="W727" s="776"/>
      <c r="X727" s="776"/>
      <c r="Y727" s="776"/>
      <c r="Z727" s="776"/>
      <c r="AA727" s="13"/>
    </row>
    <row r="728" spans="6:27">
      <c r="F728" s="776"/>
      <c r="G728" s="776"/>
      <c r="H728" s="776"/>
      <c r="I728" s="776"/>
      <c r="J728" s="776"/>
      <c r="K728" s="776"/>
      <c r="L728" s="776"/>
      <c r="M728" s="776"/>
      <c r="O728" s="776"/>
      <c r="P728" s="776"/>
      <c r="Q728" s="776"/>
      <c r="R728" s="776"/>
      <c r="S728" s="776"/>
      <c r="T728" s="776"/>
      <c r="U728" s="776"/>
      <c r="V728" s="776"/>
      <c r="W728" s="776"/>
      <c r="X728" s="776"/>
      <c r="Y728" s="776"/>
      <c r="Z728" s="776"/>
      <c r="AA728" s="13"/>
    </row>
    <row r="729" spans="6:27">
      <c r="F729" s="776"/>
      <c r="G729" s="776"/>
      <c r="H729" s="776"/>
      <c r="I729" s="776"/>
      <c r="J729" s="776"/>
      <c r="K729" s="776"/>
      <c r="L729" s="776"/>
      <c r="M729" s="776"/>
      <c r="O729" s="776"/>
      <c r="P729" s="776"/>
      <c r="Q729" s="776"/>
      <c r="R729" s="776"/>
      <c r="S729" s="776"/>
      <c r="T729" s="776"/>
      <c r="U729" s="776"/>
      <c r="V729" s="776"/>
      <c r="W729" s="776"/>
      <c r="X729" s="776"/>
      <c r="Y729" s="776"/>
      <c r="Z729" s="776"/>
      <c r="AA729" s="13"/>
    </row>
    <row r="730" spans="6:27">
      <c r="F730" s="776"/>
      <c r="G730" s="776"/>
      <c r="H730" s="776"/>
      <c r="I730" s="776"/>
      <c r="J730" s="776"/>
      <c r="K730" s="776"/>
      <c r="L730" s="776"/>
      <c r="M730" s="776"/>
      <c r="O730" s="776"/>
      <c r="P730" s="776"/>
      <c r="Q730" s="776"/>
      <c r="R730" s="776"/>
      <c r="S730" s="776"/>
      <c r="T730" s="776"/>
      <c r="U730" s="776"/>
      <c r="V730" s="776"/>
      <c r="W730" s="776"/>
      <c r="X730" s="776"/>
      <c r="Y730" s="776"/>
      <c r="Z730" s="776"/>
      <c r="AA730" s="13"/>
    </row>
    <row r="731" spans="6:27">
      <c r="F731" s="776"/>
      <c r="G731" s="776"/>
      <c r="H731" s="776"/>
      <c r="I731" s="776"/>
      <c r="J731" s="776"/>
      <c r="K731" s="776"/>
      <c r="L731" s="776"/>
      <c r="M731" s="776"/>
      <c r="O731" s="776"/>
      <c r="P731" s="776"/>
      <c r="Q731" s="776"/>
      <c r="R731" s="776"/>
      <c r="S731" s="776"/>
      <c r="T731" s="776"/>
      <c r="U731" s="776"/>
      <c r="V731" s="776"/>
      <c r="W731" s="776"/>
      <c r="X731" s="776"/>
      <c r="Y731" s="776"/>
      <c r="Z731" s="776"/>
      <c r="AA731" s="13"/>
    </row>
    <row r="732" spans="6:27">
      <c r="F732" s="776"/>
      <c r="G732" s="776"/>
      <c r="H732" s="776"/>
      <c r="I732" s="776"/>
      <c r="J732" s="776"/>
      <c r="K732" s="776"/>
      <c r="L732" s="776"/>
      <c r="M732" s="776"/>
      <c r="O732" s="776"/>
      <c r="P732" s="776"/>
      <c r="Q732" s="776"/>
      <c r="R732" s="776"/>
      <c r="S732" s="776"/>
      <c r="T732" s="776"/>
      <c r="U732" s="776"/>
      <c r="V732" s="776"/>
      <c r="W732" s="776"/>
      <c r="X732" s="776"/>
      <c r="Y732" s="776"/>
      <c r="Z732" s="776"/>
      <c r="AA732" s="13"/>
    </row>
    <row r="733" spans="6:27">
      <c r="F733" s="776"/>
      <c r="G733" s="776"/>
      <c r="H733" s="776"/>
      <c r="I733" s="776"/>
      <c r="J733" s="776"/>
      <c r="K733" s="776"/>
      <c r="L733" s="776"/>
      <c r="M733" s="776"/>
      <c r="O733" s="776"/>
      <c r="P733" s="776"/>
      <c r="Q733" s="776"/>
      <c r="R733" s="776"/>
      <c r="S733" s="776"/>
      <c r="T733" s="776"/>
      <c r="U733" s="776"/>
      <c r="V733" s="776"/>
      <c r="W733" s="776"/>
      <c r="X733" s="776"/>
      <c r="Y733" s="776"/>
      <c r="Z733" s="776"/>
      <c r="AA733" s="13"/>
    </row>
    <row r="734" spans="6:27">
      <c r="F734" s="776"/>
      <c r="G734" s="776"/>
      <c r="H734" s="776"/>
      <c r="I734" s="776"/>
      <c r="J734" s="776"/>
      <c r="K734" s="776"/>
      <c r="L734" s="776"/>
      <c r="M734" s="776"/>
      <c r="O734" s="776"/>
      <c r="P734" s="776"/>
      <c r="Q734" s="776"/>
      <c r="R734" s="776"/>
      <c r="S734" s="776"/>
      <c r="T734" s="776"/>
      <c r="U734" s="776"/>
      <c r="V734" s="776"/>
      <c r="W734" s="776"/>
      <c r="X734" s="776"/>
      <c r="Y734" s="776"/>
      <c r="Z734" s="776"/>
      <c r="AA734" s="13"/>
    </row>
    <row r="735" spans="6:27">
      <c r="F735" s="776"/>
      <c r="G735" s="776"/>
      <c r="H735" s="776"/>
      <c r="I735" s="776"/>
      <c r="J735" s="776"/>
      <c r="K735" s="776"/>
      <c r="L735" s="776"/>
      <c r="M735" s="776"/>
      <c r="O735" s="776"/>
      <c r="P735" s="776"/>
      <c r="Q735" s="776"/>
      <c r="R735" s="776"/>
      <c r="S735" s="776"/>
      <c r="T735" s="776"/>
      <c r="U735" s="776"/>
      <c r="V735" s="776"/>
      <c r="W735" s="776"/>
      <c r="X735" s="776"/>
      <c r="Y735" s="776"/>
      <c r="Z735" s="776"/>
      <c r="AA735" s="13"/>
    </row>
    <row r="736" spans="6:27">
      <c r="F736" s="776"/>
      <c r="G736" s="776"/>
      <c r="H736" s="776"/>
      <c r="I736" s="776"/>
      <c r="J736" s="776"/>
      <c r="K736" s="776"/>
      <c r="L736" s="776"/>
      <c r="M736" s="776"/>
      <c r="O736" s="776"/>
      <c r="P736" s="776"/>
      <c r="Q736" s="776"/>
      <c r="R736" s="776"/>
      <c r="S736" s="776"/>
      <c r="T736" s="776"/>
      <c r="U736" s="776"/>
      <c r="V736" s="776"/>
      <c r="W736" s="776"/>
      <c r="X736" s="776"/>
      <c r="Y736" s="776"/>
      <c r="Z736" s="776"/>
      <c r="AA736" s="13"/>
    </row>
    <row r="737" spans="6:27">
      <c r="F737" s="776"/>
      <c r="G737" s="776"/>
      <c r="H737" s="776"/>
      <c r="I737" s="776"/>
      <c r="J737" s="776"/>
      <c r="K737" s="776"/>
      <c r="L737" s="776"/>
      <c r="M737" s="776"/>
      <c r="O737" s="776"/>
      <c r="P737" s="776"/>
      <c r="Q737" s="776"/>
      <c r="R737" s="776"/>
      <c r="S737" s="776"/>
      <c r="T737" s="776"/>
      <c r="U737" s="776"/>
      <c r="V737" s="776"/>
      <c r="W737" s="776"/>
      <c r="X737" s="776"/>
      <c r="Y737" s="776"/>
      <c r="Z737" s="776"/>
      <c r="AA737" s="13"/>
    </row>
    <row r="738" spans="6:27">
      <c r="F738" s="776"/>
      <c r="G738" s="776"/>
      <c r="H738" s="776"/>
      <c r="I738" s="776"/>
      <c r="J738" s="776"/>
      <c r="K738" s="776"/>
      <c r="L738" s="776"/>
      <c r="M738" s="776"/>
      <c r="O738" s="776"/>
      <c r="P738" s="776"/>
      <c r="Q738" s="776"/>
      <c r="R738" s="776"/>
      <c r="S738" s="776"/>
      <c r="T738" s="776"/>
      <c r="U738" s="776"/>
      <c r="V738" s="776"/>
      <c r="W738" s="776"/>
      <c r="X738" s="776"/>
      <c r="Y738" s="776"/>
      <c r="Z738" s="776"/>
      <c r="AA738" s="13"/>
    </row>
    <row r="739" spans="6:27">
      <c r="F739" s="776"/>
      <c r="G739" s="776"/>
      <c r="H739" s="776"/>
      <c r="I739" s="776"/>
      <c r="J739" s="776"/>
      <c r="K739" s="776"/>
      <c r="L739" s="776"/>
      <c r="M739" s="776"/>
      <c r="O739" s="776"/>
      <c r="P739" s="776"/>
      <c r="Q739" s="776"/>
      <c r="R739" s="776"/>
      <c r="S739" s="776"/>
      <c r="T739" s="776"/>
      <c r="U739" s="776"/>
      <c r="V739" s="776"/>
      <c r="W739" s="776"/>
      <c r="X739" s="776"/>
      <c r="Y739" s="776"/>
      <c r="Z739" s="776"/>
      <c r="AA739" s="13"/>
    </row>
    <row r="740" spans="6:27">
      <c r="F740" s="776"/>
      <c r="G740" s="776"/>
      <c r="H740" s="776"/>
      <c r="I740" s="776"/>
      <c r="J740" s="776"/>
      <c r="K740" s="776"/>
      <c r="L740" s="776"/>
      <c r="M740" s="776"/>
      <c r="O740" s="776"/>
      <c r="P740" s="776"/>
      <c r="Q740" s="776"/>
      <c r="R740" s="776"/>
      <c r="S740" s="776"/>
      <c r="T740" s="776"/>
      <c r="U740" s="776"/>
      <c r="V740" s="776"/>
      <c r="W740" s="776"/>
      <c r="X740" s="776"/>
      <c r="Y740" s="776"/>
      <c r="Z740" s="776"/>
      <c r="AA740" s="13"/>
    </row>
    <row r="741" spans="6:27">
      <c r="F741" s="776"/>
      <c r="G741" s="776"/>
      <c r="H741" s="776"/>
      <c r="I741" s="776"/>
      <c r="J741" s="776"/>
      <c r="K741" s="776"/>
      <c r="L741" s="776"/>
      <c r="M741" s="776"/>
      <c r="O741" s="776"/>
      <c r="P741" s="776"/>
      <c r="Q741" s="776"/>
      <c r="R741" s="776"/>
      <c r="S741" s="776"/>
      <c r="T741" s="776"/>
      <c r="U741" s="776"/>
      <c r="V741" s="776"/>
      <c r="W741" s="776"/>
      <c r="X741" s="776"/>
      <c r="Y741" s="776"/>
      <c r="Z741" s="776"/>
      <c r="AA741" s="13"/>
    </row>
    <row r="742" spans="6:27">
      <c r="F742" s="776"/>
      <c r="G742" s="776"/>
      <c r="H742" s="776"/>
      <c r="I742" s="776"/>
      <c r="J742" s="776"/>
      <c r="K742" s="776"/>
      <c r="L742" s="776"/>
      <c r="M742" s="776"/>
      <c r="O742" s="776"/>
      <c r="P742" s="776"/>
      <c r="Q742" s="776"/>
      <c r="R742" s="776"/>
      <c r="S742" s="776"/>
      <c r="T742" s="776"/>
      <c r="U742" s="776"/>
      <c r="V742" s="776"/>
      <c r="W742" s="776"/>
      <c r="X742" s="776"/>
      <c r="Y742" s="776"/>
      <c r="Z742" s="776"/>
      <c r="AA742" s="13"/>
    </row>
    <row r="743" spans="6:27">
      <c r="F743" s="776"/>
      <c r="G743" s="776"/>
      <c r="H743" s="776"/>
      <c r="I743" s="776"/>
      <c r="J743" s="776"/>
      <c r="K743" s="776"/>
      <c r="L743" s="776"/>
      <c r="M743" s="776"/>
      <c r="O743" s="776"/>
      <c r="P743" s="776"/>
      <c r="Q743" s="776"/>
      <c r="R743" s="776"/>
      <c r="S743" s="776"/>
      <c r="T743" s="776"/>
      <c r="U743" s="776"/>
      <c r="V743" s="776"/>
      <c r="W743" s="776"/>
      <c r="X743" s="776"/>
      <c r="Y743" s="776"/>
      <c r="Z743" s="776"/>
      <c r="AA743" s="13"/>
    </row>
    <row r="744" spans="6:27">
      <c r="F744" s="776"/>
      <c r="G744" s="776"/>
      <c r="H744" s="776"/>
      <c r="I744" s="776"/>
      <c r="J744" s="776"/>
      <c r="K744" s="776"/>
      <c r="L744" s="776"/>
      <c r="M744" s="776"/>
      <c r="O744" s="776"/>
      <c r="P744" s="776"/>
      <c r="Q744" s="776"/>
      <c r="R744" s="776"/>
      <c r="S744" s="776"/>
      <c r="T744" s="776"/>
      <c r="U744" s="776"/>
      <c r="V744" s="776"/>
      <c r="W744" s="776"/>
      <c r="X744" s="776"/>
      <c r="Y744" s="776"/>
      <c r="Z744" s="776"/>
      <c r="AA744" s="13"/>
    </row>
    <row r="745" spans="6:27">
      <c r="F745" s="776"/>
      <c r="G745" s="776"/>
      <c r="H745" s="776"/>
      <c r="I745" s="776"/>
      <c r="J745" s="776"/>
      <c r="K745" s="776"/>
      <c r="L745" s="776"/>
      <c r="M745" s="776"/>
      <c r="O745" s="776"/>
      <c r="P745" s="776"/>
      <c r="Q745" s="776"/>
      <c r="R745" s="776"/>
      <c r="S745" s="776"/>
      <c r="T745" s="776"/>
      <c r="U745" s="776"/>
      <c r="V745" s="776"/>
      <c r="W745" s="776"/>
      <c r="X745" s="776"/>
      <c r="Y745" s="776"/>
      <c r="Z745" s="776"/>
      <c r="AA745" s="13"/>
    </row>
    <row r="746" spans="6:27">
      <c r="F746" s="776"/>
      <c r="G746" s="776"/>
      <c r="H746" s="776"/>
      <c r="I746" s="776"/>
      <c r="J746" s="776"/>
      <c r="K746" s="776"/>
      <c r="L746" s="776"/>
      <c r="M746" s="776"/>
      <c r="O746" s="776"/>
      <c r="P746" s="776"/>
      <c r="Q746" s="776"/>
      <c r="R746" s="776"/>
      <c r="S746" s="776"/>
      <c r="T746" s="776"/>
      <c r="U746" s="776"/>
      <c r="V746" s="776"/>
      <c r="W746" s="776"/>
      <c r="X746" s="776"/>
      <c r="Y746" s="776"/>
      <c r="Z746" s="776"/>
      <c r="AA746" s="13"/>
    </row>
    <row r="747" spans="6:27">
      <c r="F747" s="776"/>
      <c r="G747" s="776"/>
      <c r="H747" s="776"/>
      <c r="I747" s="776"/>
      <c r="J747" s="776"/>
      <c r="K747" s="776"/>
      <c r="L747" s="776"/>
      <c r="M747" s="776"/>
      <c r="O747" s="776"/>
      <c r="P747" s="776"/>
      <c r="Q747" s="776"/>
      <c r="R747" s="776"/>
      <c r="S747" s="776"/>
      <c r="T747" s="776"/>
      <c r="U747" s="776"/>
      <c r="V747" s="776"/>
      <c r="W747" s="776"/>
      <c r="X747" s="776"/>
      <c r="Y747" s="776"/>
      <c r="Z747" s="776"/>
      <c r="AA747" s="13"/>
    </row>
    <row r="748" spans="6:27">
      <c r="F748" s="776"/>
      <c r="G748" s="776"/>
      <c r="H748" s="776"/>
      <c r="I748" s="776"/>
      <c r="J748" s="776"/>
      <c r="K748" s="776"/>
      <c r="L748" s="776"/>
      <c r="M748" s="776"/>
      <c r="O748" s="776"/>
      <c r="P748" s="776"/>
      <c r="Q748" s="776"/>
      <c r="R748" s="776"/>
      <c r="S748" s="776"/>
      <c r="T748" s="776"/>
      <c r="U748" s="776"/>
      <c r="V748" s="776"/>
      <c r="W748" s="776"/>
      <c r="X748" s="776"/>
      <c r="Y748" s="776"/>
      <c r="Z748" s="776"/>
      <c r="AA748" s="13"/>
    </row>
    <row r="749" spans="6:27">
      <c r="F749" s="776"/>
      <c r="G749" s="776"/>
      <c r="H749" s="776"/>
      <c r="I749" s="776"/>
      <c r="J749" s="776"/>
      <c r="K749" s="776"/>
      <c r="L749" s="776"/>
      <c r="M749" s="776"/>
      <c r="O749" s="776"/>
      <c r="P749" s="776"/>
      <c r="Q749" s="776"/>
      <c r="R749" s="776"/>
      <c r="S749" s="776"/>
      <c r="T749" s="776"/>
      <c r="U749" s="776"/>
      <c r="V749" s="776"/>
      <c r="W749" s="776"/>
      <c r="X749" s="776"/>
      <c r="Y749" s="776"/>
      <c r="Z749" s="776"/>
      <c r="AA749" s="13"/>
    </row>
    <row r="750" spans="6:27">
      <c r="F750" s="776"/>
      <c r="G750" s="776"/>
      <c r="H750" s="776"/>
      <c r="I750" s="776"/>
      <c r="J750" s="776"/>
      <c r="K750" s="776"/>
      <c r="L750" s="776"/>
      <c r="M750" s="776"/>
      <c r="O750" s="776"/>
      <c r="P750" s="776"/>
      <c r="Q750" s="776"/>
      <c r="R750" s="776"/>
      <c r="S750" s="776"/>
      <c r="T750" s="776"/>
      <c r="U750" s="776"/>
      <c r="V750" s="776"/>
      <c r="W750" s="776"/>
      <c r="X750" s="776"/>
      <c r="Y750" s="776"/>
      <c r="Z750" s="776"/>
      <c r="AA750" s="13"/>
    </row>
    <row r="751" spans="6:27">
      <c r="F751" s="776"/>
      <c r="G751" s="776"/>
      <c r="H751" s="776"/>
      <c r="I751" s="776"/>
      <c r="J751" s="776"/>
      <c r="K751" s="776"/>
      <c r="L751" s="776"/>
      <c r="M751" s="776"/>
      <c r="O751" s="776"/>
      <c r="P751" s="776"/>
      <c r="Q751" s="776"/>
      <c r="R751" s="776"/>
      <c r="S751" s="776"/>
      <c r="T751" s="776"/>
      <c r="U751" s="776"/>
      <c r="V751" s="776"/>
      <c r="W751" s="776"/>
      <c r="X751" s="776"/>
      <c r="Y751" s="776"/>
      <c r="Z751" s="776"/>
      <c r="AA751" s="13"/>
    </row>
    <row r="752" spans="6:27">
      <c r="F752" s="776"/>
      <c r="G752" s="776"/>
      <c r="H752" s="776"/>
      <c r="I752" s="776"/>
      <c r="J752" s="776"/>
      <c r="K752" s="776"/>
      <c r="L752" s="776"/>
      <c r="M752" s="776"/>
      <c r="O752" s="776"/>
      <c r="P752" s="776"/>
      <c r="Q752" s="776"/>
      <c r="R752" s="776"/>
      <c r="S752" s="776"/>
      <c r="T752" s="776"/>
      <c r="U752" s="776"/>
      <c r="V752" s="776"/>
      <c r="W752" s="776"/>
      <c r="X752" s="776"/>
      <c r="Y752" s="776"/>
      <c r="Z752" s="776"/>
      <c r="AA752" s="13"/>
    </row>
    <row r="753" spans="6:27">
      <c r="F753" s="776"/>
      <c r="G753" s="776"/>
      <c r="H753" s="776"/>
      <c r="I753" s="776"/>
      <c r="J753" s="776"/>
      <c r="K753" s="776"/>
      <c r="L753" s="776"/>
      <c r="M753" s="776"/>
      <c r="O753" s="776"/>
      <c r="P753" s="776"/>
      <c r="Q753" s="776"/>
      <c r="R753" s="776"/>
      <c r="S753" s="776"/>
      <c r="T753" s="776"/>
      <c r="U753" s="776"/>
      <c r="V753" s="776"/>
      <c r="W753" s="776"/>
      <c r="X753" s="776"/>
      <c r="Y753" s="776"/>
      <c r="Z753" s="776"/>
      <c r="AA753" s="13"/>
    </row>
    <row r="754" spans="6:27">
      <c r="F754" s="776"/>
      <c r="G754" s="776"/>
      <c r="H754" s="776"/>
      <c r="I754" s="776"/>
      <c r="J754" s="776"/>
      <c r="K754" s="776"/>
      <c r="L754" s="776"/>
      <c r="M754" s="776"/>
      <c r="O754" s="776"/>
      <c r="P754" s="776"/>
      <c r="Q754" s="776"/>
      <c r="R754" s="776"/>
      <c r="S754" s="776"/>
      <c r="T754" s="776"/>
      <c r="U754" s="776"/>
      <c r="V754" s="776"/>
      <c r="W754" s="776"/>
      <c r="X754" s="776"/>
      <c r="Y754" s="776"/>
      <c r="Z754" s="776"/>
      <c r="AA754" s="13"/>
    </row>
    <row r="755" spans="6:27">
      <c r="F755" s="776"/>
      <c r="G755" s="776"/>
      <c r="H755" s="776"/>
      <c r="I755" s="776"/>
      <c r="J755" s="776"/>
      <c r="K755" s="776"/>
      <c r="L755" s="776"/>
      <c r="M755" s="776"/>
      <c r="O755" s="776"/>
      <c r="P755" s="776"/>
      <c r="Q755" s="776"/>
      <c r="R755" s="776"/>
      <c r="S755" s="776"/>
      <c r="T755" s="776"/>
      <c r="U755" s="776"/>
      <c r="V755" s="776"/>
      <c r="W755" s="776"/>
      <c r="X755" s="776"/>
      <c r="Y755" s="776"/>
      <c r="Z755" s="776"/>
      <c r="AA755" s="13"/>
    </row>
    <row r="756" spans="6:27">
      <c r="F756" s="776"/>
      <c r="G756" s="776"/>
      <c r="H756" s="776"/>
      <c r="I756" s="776"/>
      <c r="J756" s="776"/>
      <c r="K756" s="776"/>
      <c r="L756" s="776"/>
      <c r="M756" s="776"/>
      <c r="O756" s="776"/>
      <c r="P756" s="776"/>
      <c r="Q756" s="776"/>
      <c r="R756" s="776"/>
      <c r="S756" s="776"/>
      <c r="T756" s="776"/>
      <c r="U756" s="776"/>
      <c r="V756" s="776"/>
      <c r="W756" s="776"/>
      <c r="X756" s="776"/>
      <c r="Y756" s="776"/>
      <c r="Z756" s="776"/>
      <c r="AA756" s="13"/>
    </row>
    <row r="757" spans="6:27">
      <c r="F757" s="776"/>
      <c r="G757" s="776"/>
      <c r="H757" s="776"/>
      <c r="I757" s="776"/>
      <c r="J757" s="776"/>
      <c r="K757" s="776"/>
      <c r="L757" s="776"/>
      <c r="M757" s="776"/>
      <c r="O757" s="776"/>
      <c r="P757" s="776"/>
      <c r="Q757" s="776"/>
      <c r="R757" s="776"/>
      <c r="S757" s="776"/>
      <c r="T757" s="776"/>
      <c r="U757" s="776"/>
      <c r="V757" s="776"/>
      <c r="W757" s="776"/>
      <c r="X757" s="776"/>
      <c r="Y757" s="776"/>
      <c r="Z757" s="776"/>
      <c r="AA757" s="13"/>
    </row>
    <row r="758" spans="6:27">
      <c r="F758" s="776"/>
      <c r="G758" s="776"/>
      <c r="H758" s="776"/>
      <c r="I758" s="776"/>
      <c r="J758" s="776"/>
      <c r="K758" s="776"/>
      <c r="L758" s="776"/>
      <c r="M758" s="776"/>
      <c r="O758" s="776"/>
      <c r="P758" s="776"/>
      <c r="Q758" s="776"/>
      <c r="R758" s="776"/>
      <c r="S758" s="776"/>
      <c r="T758" s="776"/>
      <c r="U758" s="776"/>
      <c r="V758" s="776"/>
      <c r="W758" s="776"/>
      <c r="X758" s="776"/>
      <c r="Y758" s="776"/>
      <c r="Z758" s="776"/>
      <c r="AA758" s="13"/>
    </row>
    <row r="759" spans="6:27">
      <c r="F759" s="776"/>
      <c r="G759" s="776"/>
      <c r="H759" s="776"/>
      <c r="I759" s="776"/>
      <c r="J759" s="776"/>
      <c r="K759" s="776"/>
      <c r="L759" s="776"/>
      <c r="M759" s="776"/>
      <c r="O759" s="776"/>
      <c r="P759" s="776"/>
      <c r="Q759" s="776"/>
      <c r="R759" s="776"/>
      <c r="S759" s="776"/>
      <c r="T759" s="776"/>
      <c r="U759" s="776"/>
      <c r="V759" s="776"/>
      <c r="W759" s="776"/>
      <c r="X759" s="776"/>
      <c r="Y759" s="776"/>
      <c r="Z759" s="776"/>
      <c r="AA759" s="13"/>
    </row>
    <row r="760" spans="6:27">
      <c r="F760" s="776"/>
      <c r="G760" s="776"/>
      <c r="H760" s="776"/>
      <c r="I760" s="776"/>
      <c r="J760" s="776"/>
      <c r="K760" s="776"/>
      <c r="L760" s="776"/>
      <c r="M760" s="776"/>
      <c r="O760" s="776"/>
      <c r="P760" s="776"/>
      <c r="Q760" s="776"/>
      <c r="R760" s="776"/>
      <c r="S760" s="776"/>
      <c r="T760" s="776"/>
      <c r="U760" s="776"/>
      <c r="V760" s="776"/>
      <c r="W760" s="776"/>
      <c r="X760" s="776"/>
      <c r="Y760" s="776"/>
      <c r="Z760" s="776"/>
      <c r="AA760" s="13"/>
    </row>
    <row r="761" spans="6:27">
      <c r="F761" s="776"/>
      <c r="G761" s="776"/>
      <c r="H761" s="776"/>
      <c r="I761" s="776"/>
      <c r="J761" s="776"/>
      <c r="K761" s="776"/>
      <c r="L761" s="776"/>
      <c r="M761" s="776"/>
      <c r="O761" s="776"/>
      <c r="P761" s="776"/>
      <c r="Q761" s="776"/>
      <c r="R761" s="776"/>
      <c r="S761" s="776"/>
      <c r="T761" s="776"/>
      <c r="U761" s="776"/>
      <c r="V761" s="776"/>
      <c r="W761" s="776"/>
      <c r="X761" s="776"/>
      <c r="Y761" s="776"/>
      <c r="Z761" s="776"/>
      <c r="AA761" s="13"/>
    </row>
    <row r="762" spans="6:27">
      <c r="F762" s="776"/>
      <c r="G762" s="776"/>
      <c r="H762" s="776"/>
      <c r="I762" s="776"/>
      <c r="J762" s="776"/>
      <c r="K762" s="776"/>
      <c r="L762" s="776"/>
      <c r="M762" s="776"/>
      <c r="O762" s="776"/>
      <c r="P762" s="776"/>
      <c r="Q762" s="776"/>
      <c r="R762" s="776"/>
      <c r="S762" s="776"/>
      <c r="T762" s="776"/>
      <c r="U762" s="776"/>
      <c r="V762" s="776"/>
      <c r="W762" s="776"/>
      <c r="X762" s="776"/>
      <c r="Y762" s="776"/>
      <c r="Z762" s="776"/>
      <c r="AA762" s="13"/>
    </row>
    <row r="763" spans="6:27">
      <c r="F763" s="776"/>
      <c r="G763" s="776"/>
      <c r="H763" s="776"/>
      <c r="I763" s="776"/>
      <c r="J763" s="776"/>
      <c r="K763" s="776"/>
      <c r="L763" s="776"/>
      <c r="M763" s="776"/>
      <c r="O763" s="776"/>
      <c r="P763" s="776"/>
      <c r="Q763" s="776"/>
      <c r="R763" s="776"/>
      <c r="S763" s="776"/>
      <c r="T763" s="776"/>
      <c r="U763" s="776"/>
      <c r="V763" s="776"/>
      <c r="W763" s="776"/>
      <c r="X763" s="776"/>
      <c r="Y763" s="776"/>
      <c r="Z763" s="776"/>
      <c r="AA763" s="13"/>
    </row>
    <row r="764" spans="6:27">
      <c r="F764" s="776"/>
      <c r="G764" s="776"/>
      <c r="H764" s="776"/>
      <c r="I764" s="776"/>
      <c r="J764" s="776"/>
      <c r="K764" s="776"/>
      <c r="L764" s="776"/>
      <c r="M764" s="776"/>
      <c r="O764" s="776"/>
      <c r="P764" s="776"/>
      <c r="Q764" s="776"/>
      <c r="R764" s="776"/>
      <c r="S764" s="776"/>
      <c r="T764" s="776"/>
      <c r="U764" s="776"/>
      <c r="V764" s="776"/>
      <c r="W764" s="776"/>
      <c r="X764" s="776"/>
      <c r="Y764" s="776"/>
      <c r="Z764" s="776"/>
      <c r="AA764" s="13"/>
    </row>
    <row r="765" spans="6:27">
      <c r="F765" s="776"/>
      <c r="G765" s="776"/>
      <c r="H765" s="776"/>
      <c r="I765" s="776"/>
      <c r="J765" s="776"/>
      <c r="K765" s="776"/>
      <c r="L765" s="776"/>
      <c r="M765" s="776"/>
      <c r="O765" s="776"/>
      <c r="P765" s="776"/>
      <c r="Q765" s="776"/>
      <c r="R765" s="776"/>
      <c r="S765" s="776"/>
      <c r="T765" s="776"/>
      <c r="U765" s="776"/>
      <c r="V765" s="776"/>
      <c r="W765" s="776"/>
      <c r="X765" s="776"/>
      <c r="Y765" s="776"/>
      <c r="Z765" s="776"/>
      <c r="AA765" s="13"/>
    </row>
    <row r="766" spans="6:27">
      <c r="F766" s="776"/>
      <c r="G766" s="776"/>
      <c r="H766" s="776"/>
      <c r="I766" s="776"/>
      <c r="J766" s="776"/>
      <c r="K766" s="776"/>
      <c r="L766" s="776"/>
      <c r="M766" s="776"/>
      <c r="O766" s="776"/>
      <c r="P766" s="776"/>
      <c r="Q766" s="776"/>
      <c r="R766" s="776"/>
      <c r="S766" s="776"/>
      <c r="T766" s="776"/>
      <c r="U766" s="776"/>
      <c r="V766" s="776"/>
      <c r="W766" s="776"/>
      <c r="X766" s="776"/>
      <c r="Y766" s="776"/>
      <c r="Z766" s="776"/>
      <c r="AA766" s="13"/>
    </row>
    <row r="767" spans="6:27">
      <c r="F767" s="776"/>
      <c r="G767" s="776"/>
      <c r="H767" s="776"/>
      <c r="I767" s="776"/>
      <c r="J767" s="776"/>
      <c r="K767" s="776"/>
      <c r="L767" s="776"/>
      <c r="M767" s="776"/>
      <c r="O767" s="776"/>
      <c r="P767" s="776"/>
      <c r="Q767" s="776"/>
      <c r="R767" s="776"/>
      <c r="S767" s="776"/>
      <c r="T767" s="776"/>
      <c r="U767" s="776"/>
      <c r="V767" s="776"/>
      <c r="W767" s="776"/>
      <c r="X767" s="776"/>
      <c r="Y767" s="776"/>
      <c r="Z767" s="776"/>
      <c r="AA767" s="13"/>
    </row>
    <row r="768" spans="6:27">
      <c r="F768" s="776"/>
      <c r="G768" s="776"/>
      <c r="H768" s="776"/>
      <c r="I768" s="776"/>
      <c r="J768" s="776"/>
      <c r="K768" s="776"/>
      <c r="L768" s="776"/>
      <c r="M768" s="776"/>
      <c r="O768" s="776"/>
      <c r="P768" s="776"/>
      <c r="Q768" s="776"/>
      <c r="R768" s="776"/>
      <c r="S768" s="776"/>
      <c r="T768" s="776"/>
      <c r="U768" s="776"/>
      <c r="V768" s="776"/>
      <c r="W768" s="776"/>
      <c r="X768" s="776"/>
      <c r="Y768" s="776"/>
      <c r="Z768" s="776"/>
      <c r="AA768" s="13"/>
    </row>
    <row r="769" spans="6:27">
      <c r="F769" s="776"/>
      <c r="G769" s="776"/>
      <c r="H769" s="776"/>
      <c r="I769" s="776"/>
      <c r="J769" s="776"/>
      <c r="K769" s="776"/>
      <c r="L769" s="776"/>
      <c r="M769" s="776"/>
      <c r="O769" s="776"/>
      <c r="P769" s="776"/>
      <c r="Q769" s="776"/>
      <c r="R769" s="776"/>
      <c r="S769" s="776"/>
      <c r="T769" s="776"/>
      <c r="U769" s="776"/>
      <c r="V769" s="776"/>
      <c r="W769" s="776"/>
      <c r="X769" s="776"/>
      <c r="Y769" s="776"/>
      <c r="Z769" s="776"/>
      <c r="AA769" s="13"/>
    </row>
    <row r="770" spans="6:27">
      <c r="F770" s="776"/>
      <c r="G770" s="776"/>
      <c r="H770" s="776"/>
      <c r="I770" s="776"/>
      <c r="J770" s="776"/>
      <c r="K770" s="776"/>
      <c r="L770" s="776"/>
      <c r="M770" s="776"/>
      <c r="O770" s="776"/>
      <c r="P770" s="776"/>
      <c r="Q770" s="776"/>
      <c r="R770" s="776"/>
      <c r="S770" s="776"/>
      <c r="T770" s="776"/>
      <c r="U770" s="776"/>
      <c r="V770" s="776"/>
      <c r="W770" s="776"/>
      <c r="X770" s="776"/>
      <c r="Y770" s="776"/>
      <c r="Z770" s="776"/>
      <c r="AA770" s="13"/>
    </row>
    <row r="771" spans="6:27">
      <c r="F771" s="776"/>
      <c r="G771" s="776"/>
      <c r="H771" s="776"/>
      <c r="I771" s="776"/>
      <c r="J771" s="776"/>
      <c r="K771" s="776"/>
      <c r="L771" s="776"/>
      <c r="M771" s="776"/>
      <c r="O771" s="776"/>
      <c r="P771" s="776"/>
      <c r="Q771" s="776"/>
      <c r="R771" s="776"/>
      <c r="S771" s="776"/>
      <c r="T771" s="776"/>
      <c r="U771" s="776"/>
      <c r="V771" s="776"/>
      <c r="W771" s="776"/>
      <c r="X771" s="776"/>
      <c r="Y771" s="776"/>
      <c r="Z771" s="776"/>
      <c r="AA771" s="13"/>
    </row>
    <row r="772" spans="6:27">
      <c r="F772" s="776"/>
      <c r="G772" s="776"/>
      <c r="H772" s="776"/>
      <c r="I772" s="776"/>
      <c r="J772" s="776"/>
      <c r="K772" s="776"/>
      <c r="L772" s="776"/>
      <c r="M772" s="776"/>
      <c r="O772" s="776"/>
      <c r="P772" s="776"/>
      <c r="Q772" s="776"/>
      <c r="R772" s="776"/>
      <c r="S772" s="776"/>
      <c r="T772" s="776"/>
      <c r="U772" s="776"/>
      <c r="V772" s="776"/>
      <c r="W772" s="776"/>
      <c r="X772" s="776"/>
      <c r="Y772" s="776"/>
      <c r="Z772" s="776"/>
      <c r="AA772" s="13"/>
    </row>
    <row r="773" spans="6:27">
      <c r="F773" s="776"/>
      <c r="G773" s="776"/>
      <c r="H773" s="776"/>
      <c r="I773" s="776"/>
      <c r="J773" s="776"/>
      <c r="K773" s="776"/>
      <c r="L773" s="776"/>
      <c r="M773" s="776"/>
      <c r="O773" s="776"/>
      <c r="P773" s="776"/>
      <c r="Q773" s="776"/>
      <c r="R773" s="776"/>
      <c r="S773" s="776"/>
      <c r="T773" s="776"/>
      <c r="U773" s="776"/>
      <c r="V773" s="776"/>
      <c r="W773" s="776"/>
      <c r="X773" s="776"/>
      <c r="Y773" s="776"/>
      <c r="Z773" s="776"/>
      <c r="AA773" s="13"/>
    </row>
    <row r="774" spans="6:27">
      <c r="F774" s="776"/>
      <c r="G774" s="776"/>
      <c r="H774" s="776"/>
      <c r="I774" s="776"/>
      <c r="J774" s="776"/>
      <c r="K774" s="776"/>
      <c r="L774" s="776"/>
      <c r="M774" s="776"/>
      <c r="O774" s="776"/>
      <c r="P774" s="776"/>
      <c r="Q774" s="776"/>
      <c r="R774" s="776"/>
      <c r="S774" s="776"/>
      <c r="T774" s="776"/>
      <c r="U774" s="776"/>
      <c r="V774" s="776"/>
      <c r="W774" s="776"/>
      <c r="X774" s="776"/>
      <c r="Y774" s="776"/>
      <c r="Z774" s="776"/>
      <c r="AA774" s="13"/>
    </row>
    <row r="775" spans="6:27">
      <c r="F775" s="776"/>
      <c r="G775" s="776"/>
      <c r="H775" s="776"/>
      <c r="I775" s="776"/>
      <c r="J775" s="776"/>
      <c r="K775" s="776"/>
      <c r="L775" s="776"/>
      <c r="M775" s="776"/>
      <c r="O775" s="776"/>
      <c r="P775" s="776"/>
      <c r="Q775" s="776"/>
      <c r="R775" s="776"/>
      <c r="S775" s="776"/>
      <c r="T775" s="776"/>
      <c r="U775" s="776"/>
      <c r="V775" s="776"/>
      <c r="W775" s="776"/>
      <c r="X775" s="776"/>
      <c r="Y775" s="776"/>
      <c r="Z775" s="776"/>
      <c r="AA775" s="13"/>
    </row>
    <row r="776" spans="6:27">
      <c r="F776" s="776"/>
      <c r="G776" s="776"/>
      <c r="H776" s="776"/>
      <c r="I776" s="776"/>
      <c r="J776" s="776"/>
      <c r="K776" s="776"/>
      <c r="L776" s="776"/>
      <c r="M776" s="776"/>
      <c r="O776" s="776"/>
      <c r="P776" s="776"/>
      <c r="Q776" s="776"/>
      <c r="R776" s="776"/>
      <c r="S776" s="776"/>
      <c r="T776" s="776"/>
      <c r="U776" s="776"/>
      <c r="V776" s="776"/>
      <c r="W776" s="776"/>
      <c r="X776" s="776"/>
      <c r="Y776" s="776"/>
      <c r="Z776" s="776"/>
      <c r="AA776" s="13"/>
    </row>
    <row r="777" spans="6:27">
      <c r="F777" s="776"/>
      <c r="G777" s="776"/>
      <c r="H777" s="776"/>
      <c r="I777" s="776"/>
      <c r="J777" s="776"/>
      <c r="K777" s="776"/>
      <c r="L777" s="776"/>
      <c r="M777" s="776"/>
      <c r="O777" s="776"/>
      <c r="P777" s="776"/>
      <c r="Q777" s="776"/>
      <c r="R777" s="776"/>
      <c r="S777" s="776"/>
      <c r="T777" s="776"/>
      <c r="U777" s="776"/>
      <c r="V777" s="776"/>
      <c r="W777" s="776"/>
      <c r="X777" s="776"/>
      <c r="Y777" s="776"/>
      <c r="Z777" s="776"/>
      <c r="AA777" s="13"/>
    </row>
    <row r="778" spans="6:27">
      <c r="F778" s="776"/>
      <c r="G778" s="776"/>
      <c r="H778" s="776"/>
      <c r="I778" s="776"/>
      <c r="J778" s="776"/>
      <c r="K778" s="776"/>
      <c r="L778" s="776"/>
      <c r="M778" s="776"/>
      <c r="O778" s="776"/>
      <c r="P778" s="776"/>
      <c r="Q778" s="776"/>
      <c r="R778" s="776"/>
      <c r="S778" s="776"/>
      <c r="T778" s="776"/>
      <c r="U778" s="776"/>
      <c r="V778" s="776"/>
      <c r="W778" s="776"/>
      <c r="X778" s="776"/>
      <c r="Y778" s="776"/>
      <c r="Z778" s="776"/>
      <c r="AA778" s="13"/>
    </row>
    <row r="779" spans="6:27">
      <c r="F779" s="776"/>
      <c r="G779" s="776"/>
      <c r="H779" s="776"/>
      <c r="I779" s="776"/>
      <c r="J779" s="776"/>
      <c r="K779" s="776"/>
      <c r="L779" s="776"/>
      <c r="M779" s="776"/>
      <c r="O779" s="776"/>
      <c r="P779" s="776"/>
      <c r="Q779" s="776"/>
      <c r="R779" s="776"/>
      <c r="S779" s="776"/>
      <c r="T779" s="776"/>
      <c r="U779" s="776"/>
      <c r="V779" s="776"/>
      <c r="W779" s="776"/>
      <c r="X779" s="776"/>
      <c r="Y779" s="776"/>
      <c r="Z779" s="776"/>
      <c r="AA779" s="13"/>
    </row>
    <row r="780" spans="6:27">
      <c r="F780" s="776"/>
      <c r="G780" s="776"/>
      <c r="H780" s="776"/>
      <c r="I780" s="776"/>
      <c r="J780" s="776"/>
      <c r="K780" s="776"/>
      <c r="L780" s="776"/>
      <c r="M780" s="776"/>
      <c r="O780" s="776"/>
      <c r="P780" s="776"/>
      <c r="Q780" s="776"/>
      <c r="R780" s="776"/>
      <c r="S780" s="776"/>
      <c r="T780" s="776"/>
      <c r="U780" s="776"/>
      <c r="V780" s="776"/>
      <c r="W780" s="776"/>
      <c r="X780" s="776"/>
      <c r="Y780" s="776"/>
      <c r="Z780" s="776"/>
      <c r="AA780" s="13"/>
    </row>
    <row r="781" spans="6:27">
      <c r="F781" s="776"/>
      <c r="G781" s="776"/>
      <c r="H781" s="776"/>
      <c r="I781" s="776"/>
      <c r="J781" s="776"/>
      <c r="K781" s="776"/>
      <c r="L781" s="776"/>
      <c r="M781" s="776"/>
      <c r="O781" s="776"/>
      <c r="P781" s="776"/>
      <c r="Q781" s="776"/>
      <c r="R781" s="776"/>
      <c r="S781" s="776"/>
      <c r="T781" s="776"/>
      <c r="U781" s="776"/>
      <c r="V781" s="776"/>
      <c r="W781" s="776"/>
      <c r="X781" s="776"/>
      <c r="Y781" s="776"/>
      <c r="Z781" s="776"/>
      <c r="AA781" s="13"/>
    </row>
    <row r="782" spans="6:27">
      <c r="F782" s="776"/>
      <c r="G782" s="776"/>
      <c r="H782" s="776"/>
      <c r="I782" s="776"/>
      <c r="J782" s="776"/>
      <c r="K782" s="776"/>
      <c r="L782" s="776"/>
      <c r="M782" s="776"/>
      <c r="O782" s="776"/>
      <c r="P782" s="776"/>
      <c r="Q782" s="776"/>
      <c r="R782" s="776"/>
      <c r="S782" s="776"/>
      <c r="T782" s="776"/>
      <c r="U782" s="776"/>
      <c r="V782" s="776"/>
      <c r="W782" s="776"/>
      <c r="X782" s="776"/>
      <c r="Y782" s="776"/>
      <c r="Z782" s="776"/>
      <c r="AA782" s="13"/>
    </row>
    <row r="783" spans="6:27">
      <c r="F783" s="776"/>
      <c r="G783" s="776"/>
      <c r="H783" s="776"/>
      <c r="I783" s="776"/>
      <c r="J783" s="776"/>
      <c r="K783" s="776"/>
      <c r="L783" s="776"/>
      <c r="M783" s="776"/>
      <c r="O783" s="776"/>
      <c r="P783" s="776"/>
      <c r="Q783" s="776"/>
      <c r="R783" s="776"/>
      <c r="S783" s="776"/>
      <c r="T783" s="776"/>
      <c r="U783" s="776"/>
      <c r="V783" s="776"/>
      <c r="W783" s="776"/>
      <c r="X783" s="776"/>
      <c r="Y783" s="776"/>
      <c r="Z783" s="776"/>
      <c r="AA783" s="13"/>
    </row>
    <row r="784" spans="6:27">
      <c r="F784" s="776"/>
      <c r="G784" s="776"/>
      <c r="H784" s="776"/>
      <c r="I784" s="776"/>
      <c r="J784" s="776"/>
      <c r="K784" s="776"/>
      <c r="L784" s="776"/>
      <c r="M784" s="776"/>
      <c r="O784" s="776"/>
      <c r="P784" s="776"/>
      <c r="Q784" s="776"/>
      <c r="R784" s="776"/>
      <c r="S784" s="776"/>
      <c r="T784" s="776"/>
      <c r="U784" s="776"/>
      <c r="V784" s="776"/>
      <c r="W784" s="776"/>
      <c r="X784" s="776"/>
      <c r="Y784" s="776"/>
      <c r="Z784" s="776"/>
      <c r="AA784" s="13"/>
    </row>
    <row r="785" spans="6:27">
      <c r="F785" s="776"/>
      <c r="G785" s="776"/>
      <c r="H785" s="776"/>
      <c r="I785" s="776"/>
      <c r="J785" s="776"/>
      <c r="K785" s="776"/>
      <c r="L785" s="776"/>
      <c r="M785" s="776"/>
      <c r="O785" s="776"/>
      <c r="P785" s="776"/>
      <c r="Q785" s="776"/>
      <c r="R785" s="776"/>
      <c r="S785" s="776"/>
      <c r="T785" s="776"/>
      <c r="U785" s="776"/>
      <c r="V785" s="776"/>
      <c r="W785" s="776"/>
      <c r="X785" s="776"/>
      <c r="Y785" s="776"/>
      <c r="Z785" s="776"/>
      <c r="AA785" s="13"/>
    </row>
    <row r="786" spans="6:27">
      <c r="F786" s="776"/>
      <c r="G786" s="776"/>
      <c r="H786" s="776"/>
      <c r="I786" s="776"/>
      <c r="J786" s="776"/>
      <c r="K786" s="776"/>
      <c r="L786" s="776"/>
      <c r="M786" s="776"/>
      <c r="O786" s="776"/>
      <c r="P786" s="776"/>
      <c r="Q786" s="776"/>
      <c r="R786" s="776"/>
      <c r="S786" s="776"/>
      <c r="T786" s="776"/>
      <c r="U786" s="776"/>
      <c r="V786" s="776"/>
      <c r="W786" s="776"/>
      <c r="X786" s="776"/>
      <c r="Y786" s="776"/>
      <c r="Z786" s="776"/>
      <c r="AA786" s="13"/>
    </row>
    <row r="787" spans="6:27">
      <c r="F787" s="776"/>
      <c r="G787" s="776"/>
      <c r="H787" s="776"/>
      <c r="I787" s="776"/>
      <c r="J787" s="776"/>
      <c r="K787" s="776"/>
      <c r="L787" s="776"/>
      <c r="M787" s="776"/>
      <c r="O787" s="776"/>
      <c r="P787" s="776"/>
      <c r="Q787" s="776"/>
      <c r="R787" s="776"/>
      <c r="S787" s="776"/>
      <c r="T787" s="776"/>
      <c r="U787" s="776"/>
      <c r="V787" s="776"/>
      <c r="W787" s="776"/>
      <c r="X787" s="776"/>
      <c r="Y787" s="776"/>
      <c r="Z787" s="776"/>
      <c r="AA787" s="13"/>
    </row>
    <row r="788" spans="6:27">
      <c r="F788" s="776"/>
      <c r="G788" s="776"/>
      <c r="H788" s="776"/>
      <c r="I788" s="776"/>
      <c r="J788" s="776"/>
      <c r="K788" s="776"/>
      <c r="L788" s="776"/>
      <c r="M788" s="776"/>
      <c r="O788" s="776"/>
      <c r="P788" s="776"/>
      <c r="Q788" s="776"/>
      <c r="R788" s="776"/>
      <c r="S788" s="776"/>
      <c r="T788" s="776"/>
      <c r="U788" s="776"/>
      <c r="V788" s="776"/>
      <c r="W788" s="776"/>
      <c r="X788" s="776"/>
      <c r="Y788" s="776"/>
      <c r="Z788" s="776"/>
      <c r="AA788" s="13"/>
    </row>
    <row r="789" spans="6:27">
      <c r="F789" s="776"/>
      <c r="G789" s="776"/>
      <c r="H789" s="776"/>
      <c r="I789" s="776"/>
      <c r="J789" s="776"/>
      <c r="K789" s="776"/>
      <c r="L789" s="776"/>
      <c r="M789" s="776"/>
      <c r="O789" s="776"/>
      <c r="P789" s="776"/>
      <c r="Q789" s="776"/>
      <c r="R789" s="776"/>
      <c r="S789" s="776"/>
      <c r="T789" s="776"/>
      <c r="U789" s="776"/>
      <c r="V789" s="776"/>
      <c r="W789" s="776"/>
      <c r="X789" s="776"/>
      <c r="Y789" s="776"/>
      <c r="Z789" s="776"/>
      <c r="AA789" s="13"/>
    </row>
    <row r="790" spans="6:27">
      <c r="F790" s="776"/>
      <c r="G790" s="776"/>
      <c r="H790" s="776"/>
      <c r="I790" s="776"/>
      <c r="J790" s="776"/>
      <c r="K790" s="776"/>
      <c r="L790" s="776"/>
      <c r="M790" s="776"/>
      <c r="O790" s="776"/>
      <c r="P790" s="776"/>
      <c r="Q790" s="776"/>
      <c r="R790" s="776"/>
      <c r="S790" s="776"/>
      <c r="T790" s="776"/>
      <c r="U790" s="776"/>
      <c r="V790" s="776"/>
      <c r="W790" s="776"/>
      <c r="X790" s="776"/>
      <c r="Y790" s="776"/>
      <c r="Z790" s="776"/>
      <c r="AA790" s="13"/>
    </row>
    <row r="791" spans="6:27">
      <c r="F791" s="776"/>
      <c r="G791" s="776"/>
      <c r="H791" s="776"/>
      <c r="I791" s="776"/>
      <c r="J791" s="776"/>
      <c r="K791" s="776"/>
      <c r="L791" s="776"/>
      <c r="M791" s="776"/>
      <c r="O791" s="776"/>
      <c r="P791" s="776"/>
      <c r="Q791" s="776"/>
      <c r="R791" s="776"/>
      <c r="S791" s="776"/>
      <c r="T791" s="776"/>
      <c r="U791" s="776"/>
      <c r="V791" s="776"/>
      <c r="W791" s="776"/>
      <c r="X791" s="776"/>
      <c r="Y791" s="776"/>
      <c r="Z791" s="776"/>
      <c r="AA791" s="13"/>
    </row>
    <row r="792" spans="6:27">
      <c r="F792" s="776"/>
      <c r="G792" s="776"/>
      <c r="H792" s="776"/>
      <c r="I792" s="776"/>
      <c r="J792" s="776"/>
      <c r="K792" s="776"/>
      <c r="L792" s="776"/>
      <c r="M792" s="776"/>
      <c r="O792" s="776"/>
      <c r="P792" s="776"/>
      <c r="Q792" s="776"/>
      <c r="R792" s="776"/>
      <c r="S792" s="776"/>
      <c r="T792" s="776"/>
      <c r="U792" s="776"/>
      <c r="V792" s="776"/>
      <c r="W792" s="776"/>
      <c r="X792" s="776"/>
      <c r="Y792" s="776"/>
      <c r="Z792" s="776"/>
      <c r="AA792" s="13"/>
    </row>
    <row r="793" spans="6:27">
      <c r="F793" s="776"/>
      <c r="G793" s="776"/>
      <c r="H793" s="776"/>
      <c r="I793" s="776"/>
      <c r="J793" s="776"/>
      <c r="K793" s="776"/>
      <c r="L793" s="776"/>
      <c r="M793" s="776"/>
      <c r="O793" s="776"/>
      <c r="P793" s="776"/>
      <c r="Q793" s="776"/>
      <c r="R793" s="776"/>
      <c r="S793" s="776"/>
      <c r="T793" s="776"/>
      <c r="U793" s="776"/>
      <c r="V793" s="776"/>
      <c r="W793" s="776"/>
      <c r="X793" s="776"/>
      <c r="Y793" s="776"/>
      <c r="Z793" s="776"/>
      <c r="AA793" s="13"/>
    </row>
    <row r="794" spans="6:27">
      <c r="F794" s="776"/>
      <c r="G794" s="776"/>
      <c r="H794" s="776"/>
      <c r="I794" s="776"/>
      <c r="J794" s="776"/>
      <c r="K794" s="776"/>
      <c r="L794" s="776"/>
      <c r="M794" s="776"/>
      <c r="O794" s="776"/>
      <c r="P794" s="776"/>
      <c r="Q794" s="776"/>
      <c r="R794" s="776"/>
      <c r="S794" s="776"/>
      <c r="T794" s="776"/>
      <c r="U794" s="776"/>
      <c r="V794" s="776"/>
      <c r="W794" s="776"/>
      <c r="X794" s="776"/>
      <c r="Y794" s="776"/>
      <c r="Z794" s="776"/>
      <c r="AA794" s="13"/>
    </row>
    <row r="795" spans="6:27">
      <c r="F795" s="776"/>
      <c r="G795" s="776"/>
      <c r="H795" s="776"/>
      <c r="I795" s="776"/>
      <c r="J795" s="776"/>
      <c r="K795" s="776"/>
      <c r="L795" s="776"/>
      <c r="M795" s="776"/>
      <c r="O795" s="776"/>
      <c r="P795" s="776"/>
      <c r="Q795" s="776"/>
      <c r="R795" s="776"/>
      <c r="S795" s="776"/>
      <c r="T795" s="776"/>
      <c r="U795" s="776"/>
      <c r="V795" s="776"/>
      <c r="W795" s="776"/>
      <c r="X795" s="776"/>
      <c r="Y795" s="776"/>
      <c r="Z795" s="776"/>
      <c r="AA795" s="13"/>
    </row>
    <row r="796" spans="6:27">
      <c r="F796" s="776"/>
      <c r="G796" s="776"/>
      <c r="H796" s="776"/>
      <c r="I796" s="776"/>
      <c r="J796" s="776"/>
      <c r="K796" s="776"/>
      <c r="L796" s="776"/>
      <c r="M796" s="776"/>
      <c r="O796" s="776"/>
      <c r="P796" s="776"/>
      <c r="Q796" s="776"/>
      <c r="R796" s="776"/>
      <c r="S796" s="776"/>
      <c r="T796" s="776"/>
      <c r="U796" s="776"/>
      <c r="V796" s="776"/>
      <c r="W796" s="776"/>
      <c r="X796" s="776"/>
      <c r="Y796" s="776"/>
      <c r="Z796" s="776"/>
      <c r="AA796" s="13"/>
    </row>
    <row r="797" spans="6:27">
      <c r="F797" s="776"/>
      <c r="G797" s="776"/>
      <c r="H797" s="776"/>
      <c r="I797" s="776"/>
      <c r="J797" s="776"/>
      <c r="K797" s="776"/>
      <c r="L797" s="776"/>
      <c r="M797" s="776"/>
      <c r="O797" s="776"/>
      <c r="P797" s="776"/>
      <c r="Q797" s="776"/>
      <c r="R797" s="776"/>
      <c r="S797" s="776"/>
      <c r="T797" s="776"/>
      <c r="U797" s="776"/>
      <c r="V797" s="776"/>
      <c r="W797" s="776"/>
      <c r="X797" s="776"/>
      <c r="Y797" s="776"/>
      <c r="Z797" s="776"/>
      <c r="AA797" s="13"/>
    </row>
    <row r="798" spans="6:27">
      <c r="F798" s="776"/>
      <c r="G798" s="776"/>
      <c r="H798" s="776"/>
      <c r="I798" s="776"/>
      <c r="J798" s="776"/>
      <c r="K798" s="776"/>
      <c r="L798" s="776"/>
      <c r="M798" s="776"/>
      <c r="O798" s="776"/>
      <c r="P798" s="776"/>
      <c r="Q798" s="776"/>
      <c r="R798" s="776"/>
      <c r="S798" s="776"/>
      <c r="T798" s="776"/>
      <c r="U798" s="776"/>
      <c r="V798" s="776"/>
      <c r="W798" s="776"/>
      <c r="X798" s="776"/>
      <c r="Y798" s="776"/>
      <c r="Z798" s="776"/>
      <c r="AA798" s="13"/>
    </row>
    <row r="799" spans="6:27">
      <c r="F799" s="776"/>
      <c r="G799" s="776"/>
      <c r="H799" s="776"/>
      <c r="I799" s="776"/>
      <c r="J799" s="776"/>
      <c r="K799" s="776"/>
      <c r="L799" s="776"/>
      <c r="M799" s="776"/>
      <c r="O799" s="776"/>
      <c r="P799" s="776"/>
      <c r="Q799" s="776"/>
      <c r="R799" s="776"/>
      <c r="S799" s="776"/>
      <c r="T799" s="776"/>
      <c r="U799" s="776"/>
      <c r="V799" s="776"/>
      <c r="W799" s="776"/>
      <c r="X799" s="776"/>
      <c r="Y799" s="776"/>
      <c r="Z799" s="776"/>
      <c r="AA799" s="13"/>
    </row>
    <row r="800" spans="6:27">
      <c r="F800" s="776"/>
      <c r="G800" s="776"/>
      <c r="H800" s="776"/>
      <c r="I800" s="776"/>
      <c r="J800" s="776"/>
      <c r="K800" s="776"/>
      <c r="L800" s="776"/>
      <c r="M800" s="776"/>
      <c r="O800" s="776"/>
      <c r="P800" s="776"/>
      <c r="Q800" s="776"/>
      <c r="R800" s="776"/>
      <c r="S800" s="776"/>
      <c r="T800" s="776"/>
      <c r="U800" s="776"/>
      <c r="V800" s="776"/>
      <c r="W800" s="776"/>
      <c r="X800" s="776"/>
      <c r="Y800" s="776"/>
      <c r="Z800" s="776"/>
      <c r="AA800" s="13"/>
    </row>
    <row r="801" spans="6:27">
      <c r="F801" s="776"/>
      <c r="G801" s="776"/>
      <c r="H801" s="776"/>
      <c r="I801" s="776"/>
      <c r="J801" s="776"/>
      <c r="K801" s="776"/>
      <c r="L801" s="776"/>
      <c r="M801" s="776"/>
      <c r="O801" s="776"/>
      <c r="P801" s="776"/>
      <c r="Q801" s="776"/>
      <c r="R801" s="776"/>
      <c r="S801" s="776"/>
      <c r="T801" s="776"/>
      <c r="U801" s="776"/>
      <c r="V801" s="776"/>
      <c r="W801" s="776"/>
      <c r="X801" s="776"/>
      <c r="Y801" s="776"/>
      <c r="Z801" s="776"/>
      <c r="AA801" s="13"/>
    </row>
    <row r="802" spans="6:27">
      <c r="F802" s="776"/>
      <c r="G802" s="776"/>
      <c r="H802" s="776"/>
      <c r="I802" s="776"/>
      <c r="J802" s="776"/>
      <c r="K802" s="776"/>
      <c r="L802" s="776"/>
      <c r="M802" s="776"/>
      <c r="O802" s="776"/>
      <c r="P802" s="776"/>
      <c r="Q802" s="776"/>
      <c r="R802" s="776"/>
      <c r="S802" s="776"/>
      <c r="T802" s="776"/>
      <c r="U802" s="776"/>
      <c r="V802" s="776"/>
      <c r="W802" s="776"/>
      <c r="X802" s="776"/>
      <c r="Y802" s="776"/>
      <c r="Z802" s="776"/>
      <c r="AA802" s="13"/>
    </row>
    <row r="803" spans="6:27">
      <c r="F803" s="776"/>
      <c r="G803" s="776"/>
      <c r="H803" s="776"/>
      <c r="I803" s="776"/>
      <c r="J803" s="776"/>
      <c r="K803" s="776"/>
      <c r="L803" s="776"/>
      <c r="M803" s="776"/>
      <c r="O803" s="776"/>
      <c r="P803" s="776"/>
      <c r="Q803" s="776"/>
      <c r="R803" s="776"/>
      <c r="S803" s="776"/>
      <c r="T803" s="776"/>
      <c r="U803" s="776"/>
      <c r="V803" s="776"/>
      <c r="W803" s="776"/>
      <c r="X803" s="776"/>
      <c r="Y803" s="776"/>
      <c r="Z803" s="776"/>
      <c r="AA803" s="13"/>
    </row>
    <row r="804" spans="6:27">
      <c r="F804" s="776"/>
      <c r="G804" s="776"/>
      <c r="H804" s="776"/>
      <c r="I804" s="776"/>
      <c r="J804" s="776"/>
      <c r="K804" s="776"/>
      <c r="L804" s="776"/>
      <c r="M804" s="776"/>
      <c r="O804" s="776"/>
      <c r="P804" s="776"/>
      <c r="Q804" s="776"/>
      <c r="R804" s="776"/>
      <c r="S804" s="776"/>
      <c r="T804" s="776"/>
      <c r="U804" s="776"/>
      <c r="V804" s="776"/>
      <c r="W804" s="776"/>
      <c r="X804" s="776"/>
      <c r="Y804" s="776"/>
      <c r="Z804" s="776"/>
      <c r="AA804" s="13"/>
    </row>
    <row r="805" spans="6:27">
      <c r="F805" s="776"/>
      <c r="G805" s="776"/>
      <c r="H805" s="776"/>
      <c r="I805" s="776"/>
      <c r="J805" s="776"/>
      <c r="K805" s="776"/>
      <c r="L805" s="776"/>
      <c r="M805" s="776"/>
      <c r="O805" s="776"/>
      <c r="P805" s="776"/>
      <c r="Q805" s="776"/>
      <c r="R805" s="776"/>
      <c r="S805" s="776"/>
      <c r="T805" s="776"/>
      <c r="U805" s="776"/>
      <c r="V805" s="776"/>
      <c r="W805" s="776"/>
      <c r="X805" s="776"/>
      <c r="Y805" s="776"/>
      <c r="Z805" s="776"/>
      <c r="AA805" s="13"/>
    </row>
    <row r="806" spans="6:27">
      <c r="F806" s="776"/>
      <c r="G806" s="776"/>
      <c r="H806" s="776"/>
      <c r="I806" s="776"/>
      <c r="J806" s="776"/>
      <c r="K806" s="776"/>
      <c r="L806" s="776"/>
      <c r="M806" s="776"/>
      <c r="O806" s="776"/>
      <c r="P806" s="776"/>
      <c r="Q806" s="776"/>
      <c r="R806" s="776"/>
      <c r="S806" s="776"/>
      <c r="T806" s="776"/>
      <c r="U806" s="776"/>
      <c r="V806" s="776"/>
      <c r="W806" s="776"/>
      <c r="X806" s="776"/>
      <c r="Y806" s="776"/>
      <c r="Z806" s="776"/>
      <c r="AA806" s="13"/>
    </row>
    <row r="807" spans="6:27">
      <c r="F807" s="776"/>
      <c r="G807" s="776"/>
      <c r="H807" s="776"/>
      <c r="I807" s="776"/>
      <c r="J807" s="776"/>
      <c r="K807" s="776"/>
      <c r="L807" s="776"/>
      <c r="M807" s="776"/>
      <c r="O807" s="776"/>
      <c r="P807" s="776"/>
      <c r="Q807" s="776"/>
      <c r="R807" s="776"/>
      <c r="S807" s="776"/>
      <c r="T807" s="776"/>
      <c r="U807" s="776"/>
      <c r="V807" s="776"/>
      <c r="W807" s="776"/>
      <c r="X807" s="776"/>
      <c r="Y807" s="776"/>
      <c r="Z807" s="776"/>
      <c r="AA807" s="13"/>
    </row>
    <row r="808" spans="6:27">
      <c r="F808" s="776"/>
      <c r="G808" s="776"/>
      <c r="H808" s="776"/>
      <c r="I808" s="776"/>
      <c r="J808" s="776"/>
      <c r="K808" s="776"/>
      <c r="L808" s="776"/>
      <c r="M808" s="776"/>
      <c r="O808" s="776"/>
      <c r="P808" s="776"/>
      <c r="Q808" s="776"/>
      <c r="R808" s="776"/>
      <c r="S808" s="776"/>
      <c r="T808" s="776"/>
      <c r="U808" s="776"/>
      <c r="V808" s="776"/>
      <c r="W808" s="776"/>
      <c r="X808" s="776"/>
      <c r="Y808" s="776"/>
      <c r="Z808" s="776"/>
      <c r="AA808" s="13"/>
    </row>
    <row r="809" spans="6:27">
      <c r="F809" s="776"/>
      <c r="G809" s="776"/>
      <c r="H809" s="776"/>
      <c r="I809" s="776"/>
      <c r="J809" s="776"/>
      <c r="K809" s="776"/>
      <c r="L809" s="776"/>
      <c r="M809" s="776"/>
      <c r="O809" s="776"/>
      <c r="P809" s="776"/>
      <c r="Q809" s="776"/>
      <c r="R809" s="776"/>
      <c r="S809" s="776"/>
      <c r="T809" s="776"/>
      <c r="U809" s="776"/>
      <c r="V809" s="776"/>
      <c r="W809" s="776"/>
      <c r="X809" s="776"/>
      <c r="Y809" s="776"/>
      <c r="Z809" s="776"/>
      <c r="AA809" s="13"/>
    </row>
    <row r="810" spans="6:27">
      <c r="F810" s="776"/>
      <c r="G810" s="776"/>
      <c r="H810" s="776"/>
      <c r="I810" s="776"/>
      <c r="J810" s="776"/>
      <c r="K810" s="776"/>
      <c r="L810" s="776"/>
      <c r="M810" s="776"/>
      <c r="O810" s="776"/>
      <c r="P810" s="776"/>
      <c r="Q810" s="776"/>
      <c r="R810" s="776"/>
      <c r="S810" s="776"/>
      <c r="T810" s="776"/>
      <c r="U810" s="776"/>
      <c r="V810" s="776"/>
      <c r="W810" s="776"/>
      <c r="X810" s="776"/>
      <c r="Y810" s="776"/>
      <c r="Z810" s="776"/>
      <c r="AA810" s="13"/>
    </row>
    <row r="811" spans="6:27">
      <c r="F811" s="776"/>
      <c r="G811" s="776"/>
      <c r="H811" s="776"/>
      <c r="I811" s="776"/>
      <c r="J811" s="776"/>
      <c r="K811" s="776"/>
      <c r="L811" s="776"/>
      <c r="M811" s="776"/>
      <c r="O811" s="776"/>
      <c r="P811" s="776"/>
      <c r="Q811" s="776"/>
      <c r="R811" s="776"/>
      <c r="S811" s="776"/>
      <c r="T811" s="776"/>
      <c r="U811" s="776"/>
      <c r="V811" s="776"/>
      <c r="W811" s="776"/>
      <c r="X811" s="776"/>
      <c r="Y811" s="776"/>
      <c r="Z811" s="776"/>
      <c r="AA811" s="13"/>
    </row>
    <row r="812" spans="6:27">
      <c r="F812" s="776"/>
      <c r="G812" s="776"/>
      <c r="H812" s="776"/>
      <c r="I812" s="776"/>
      <c r="J812" s="776"/>
      <c r="K812" s="776"/>
      <c r="L812" s="776"/>
      <c r="M812" s="776"/>
      <c r="O812" s="776"/>
      <c r="P812" s="776"/>
      <c r="Q812" s="776"/>
      <c r="R812" s="776"/>
      <c r="S812" s="776"/>
      <c r="T812" s="776"/>
      <c r="U812" s="776"/>
      <c r="V812" s="776"/>
      <c r="W812" s="776"/>
      <c r="X812" s="776"/>
      <c r="Y812" s="776"/>
      <c r="Z812" s="776"/>
      <c r="AA812" s="13"/>
    </row>
    <row r="813" spans="6:27">
      <c r="F813" s="776"/>
      <c r="G813" s="776"/>
      <c r="H813" s="776"/>
      <c r="I813" s="776"/>
      <c r="J813" s="776"/>
      <c r="K813" s="776"/>
      <c r="L813" s="776"/>
      <c r="M813" s="776"/>
      <c r="O813" s="776"/>
      <c r="P813" s="776"/>
      <c r="Q813" s="776"/>
      <c r="R813" s="776"/>
      <c r="S813" s="776"/>
      <c r="T813" s="776"/>
      <c r="U813" s="776"/>
      <c r="V813" s="776"/>
      <c r="W813" s="776"/>
      <c r="X813" s="776"/>
      <c r="Y813" s="776"/>
      <c r="Z813" s="776"/>
      <c r="AA813" s="13"/>
    </row>
    <row r="814" spans="6:27">
      <c r="F814" s="776"/>
      <c r="G814" s="776"/>
      <c r="H814" s="776"/>
      <c r="I814" s="776"/>
      <c r="J814" s="776"/>
      <c r="K814" s="776"/>
      <c r="L814" s="776"/>
      <c r="M814" s="776"/>
      <c r="O814" s="776"/>
      <c r="P814" s="776"/>
      <c r="Q814" s="776"/>
      <c r="R814" s="776"/>
      <c r="S814" s="776"/>
      <c r="T814" s="776"/>
      <c r="U814" s="776"/>
      <c r="V814" s="776"/>
      <c r="W814" s="776"/>
      <c r="X814" s="776"/>
      <c r="Y814" s="776"/>
      <c r="Z814" s="776"/>
      <c r="AA814" s="13"/>
    </row>
    <row r="815" spans="6:27">
      <c r="F815" s="776"/>
      <c r="G815" s="776"/>
      <c r="H815" s="776"/>
      <c r="I815" s="776"/>
      <c r="J815" s="776"/>
      <c r="K815" s="776"/>
      <c r="L815" s="776"/>
      <c r="M815" s="776"/>
      <c r="O815" s="776"/>
      <c r="P815" s="776"/>
      <c r="Q815" s="776"/>
      <c r="R815" s="776"/>
      <c r="S815" s="776"/>
      <c r="T815" s="776"/>
      <c r="U815" s="776"/>
      <c r="V815" s="776"/>
      <c r="W815" s="776"/>
      <c r="X815" s="776"/>
      <c r="Y815" s="776"/>
      <c r="Z815" s="776"/>
      <c r="AA815" s="13"/>
    </row>
    <row r="816" spans="6:27">
      <c r="F816" s="776"/>
      <c r="G816" s="776"/>
      <c r="H816" s="776"/>
      <c r="I816" s="776"/>
      <c r="J816" s="776"/>
      <c r="K816" s="776"/>
      <c r="L816" s="776"/>
      <c r="M816" s="776"/>
      <c r="O816" s="776"/>
      <c r="P816" s="776"/>
      <c r="Q816" s="776"/>
      <c r="R816" s="776"/>
      <c r="S816" s="776"/>
      <c r="T816" s="776"/>
      <c r="U816" s="776"/>
      <c r="V816" s="776"/>
      <c r="W816" s="776"/>
      <c r="X816" s="776"/>
      <c r="Y816" s="776"/>
      <c r="Z816" s="776"/>
      <c r="AA816" s="13"/>
    </row>
    <row r="817" spans="6:27">
      <c r="F817" s="776"/>
      <c r="G817" s="776"/>
      <c r="H817" s="776"/>
      <c r="I817" s="776"/>
      <c r="J817" s="776"/>
      <c r="K817" s="776"/>
      <c r="L817" s="776"/>
      <c r="M817" s="776"/>
      <c r="O817" s="776"/>
      <c r="P817" s="776"/>
      <c r="Q817" s="776"/>
      <c r="R817" s="776"/>
      <c r="S817" s="776"/>
      <c r="T817" s="776"/>
      <c r="U817" s="776"/>
      <c r="V817" s="776"/>
      <c r="W817" s="776"/>
      <c r="X817" s="776"/>
      <c r="Y817" s="776"/>
      <c r="Z817" s="776"/>
      <c r="AA817" s="13"/>
    </row>
    <row r="818" spans="6:27">
      <c r="F818" s="776"/>
      <c r="G818" s="776"/>
      <c r="H818" s="776"/>
      <c r="I818" s="776"/>
      <c r="J818" s="776"/>
      <c r="K818" s="776"/>
      <c r="L818" s="776"/>
      <c r="M818" s="776"/>
      <c r="O818" s="776"/>
      <c r="P818" s="776"/>
      <c r="Q818" s="776"/>
      <c r="R818" s="776"/>
      <c r="S818" s="776"/>
      <c r="T818" s="776"/>
      <c r="U818" s="776"/>
      <c r="V818" s="776"/>
      <c r="W818" s="776"/>
      <c r="X818" s="776"/>
      <c r="Y818" s="776"/>
      <c r="Z818" s="776"/>
      <c r="AA818" s="13"/>
    </row>
    <row r="819" spans="6:27">
      <c r="F819" s="776"/>
      <c r="G819" s="776"/>
      <c r="H819" s="776"/>
      <c r="I819" s="776"/>
      <c r="J819" s="776"/>
      <c r="K819" s="776"/>
      <c r="L819" s="776"/>
      <c r="M819" s="776"/>
      <c r="O819" s="776"/>
      <c r="P819" s="776"/>
      <c r="Q819" s="776"/>
      <c r="R819" s="776"/>
      <c r="S819" s="776"/>
      <c r="T819" s="776"/>
      <c r="U819" s="776"/>
      <c r="V819" s="776"/>
      <c r="W819" s="776"/>
      <c r="X819" s="776"/>
      <c r="Y819" s="776"/>
      <c r="Z819" s="776"/>
      <c r="AA819" s="13"/>
    </row>
    <row r="820" spans="6:27">
      <c r="F820" s="776"/>
      <c r="G820" s="776"/>
      <c r="H820" s="776"/>
      <c r="I820" s="776"/>
      <c r="J820" s="776"/>
      <c r="K820" s="776"/>
      <c r="L820" s="776"/>
      <c r="M820" s="776"/>
      <c r="O820" s="776"/>
      <c r="P820" s="776"/>
      <c r="Q820" s="776"/>
      <c r="R820" s="776"/>
      <c r="S820" s="776"/>
      <c r="T820" s="776"/>
      <c r="U820" s="776"/>
      <c r="V820" s="776"/>
      <c r="W820" s="776"/>
      <c r="X820" s="776"/>
      <c r="Y820" s="776"/>
      <c r="Z820" s="776"/>
      <c r="AA820" s="13"/>
    </row>
    <row r="821" spans="6:27">
      <c r="F821" s="776"/>
      <c r="G821" s="776"/>
      <c r="H821" s="776"/>
      <c r="I821" s="776"/>
      <c r="J821" s="776"/>
      <c r="K821" s="776"/>
      <c r="L821" s="776"/>
      <c r="M821" s="776"/>
      <c r="O821" s="776"/>
      <c r="P821" s="776"/>
      <c r="Q821" s="776"/>
      <c r="R821" s="776"/>
      <c r="S821" s="776"/>
      <c r="T821" s="776"/>
      <c r="U821" s="776"/>
      <c r="V821" s="776"/>
      <c r="W821" s="776"/>
      <c r="X821" s="776"/>
      <c r="Y821" s="776"/>
      <c r="Z821" s="776"/>
      <c r="AA821" s="13"/>
    </row>
    <row r="822" spans="6:27">
      <c r="F822" s="776"/>
      <c r="G822" s="776"/>
      <c r="H822" s="776"/>
      <c r="I822" s="776"/>
      <c r="J822" s="776"/>
      <c r="K822" s="776"/>
      <c r="L822" s="776"/>
      <c r="M822" s="776"/>
      <c r="O822" s="776"/>
      <c r="P822" s="776"/>
      <c r="Q822" s="776"/>
      <c r="R822" s="776"/>
      <c r="S822" s="776"/>
      <c r="T822" s="776"/>
      <c r="U822" s="776"/>
      <c r="V822" s="776"/>
      <c r="W822" s="776"/>
      <c r="X822" s="776"/>
      <c r="Y822" s="776"/>
      <c r="Z822" s="776"/>
      <c r="AA822" s="13"/>
    </row>
    <row r="823" spans="6:27">
      <c r="F823" s="776"/>
      <c r="G823" s="776"/>
      <c r="H823" s="776"/>
      <c r="I823" s="776"/>
      <c r="J823" s="776"/>
      <c r="K823" s="776"/>
      <c r="L823" s="776"/>
      <c r="M823" s="776"/>
      <c r="O823" s="776"/>
      <c r="P823" s="776"/>
      <c r="Q823" s="776"/>
      <c r="R823" s="776"/>
      <c r="S823" s="776"/>
      <c r="T823" s="776"/>
      <c r="U823" s="776"/>
      <c r="V823" s="776"/>
      <c r="W823" s="776"/>
      <c r="X823" s="776"/>
      <c r="Y823" s="776"/>
      <c r="Z823" s="776"/>
      <c r="AA823" s="13"/>
    </row>
    <row r="824" spans="6:27">
      <c r="F824" s="776"/>
      <c r="G824" s="776"/>
      <c r="H824" s="776"/>
      <c r="I824" s="776"/>
      <c r="J824" s="776"/>
      <c r="K824" s="776"/>
      <c r="L824" s="776"/>
      <c r="M824" s="776"/>
      <c r="O824" s="776"/>
      <c r="P824" s="776"/>
      <c r="Q824" s="776"/>
      <c r="R824" s="776"/>
      <c r="S824" s="776"/>
      <c r="T824" s="776"/>
      <c r="U824" s="776"/>
      <c r="V824" s="776"/>
      <c r="W824" s="776"/>
      <c r="X824" s="776"/>
      <c r="Y824" s="776"/>
      <c r="Z824" s="776"/>
      <c r="AA824" s="13"/>
    </row>
    <row r="825" spans="6:27">
      <c r="F825" s="776"/>
      <c r="G825" s="776"/>
      <c r="H825" s="776"/>
      <c r="I825" s="776"/>
      <c r="J825" s="776"/>
      <c r="K825" s="776"/>
      <c r="L825" s="776"/>
      <c r="M825" s="776"/>
      <c r="O825" s="776"/>
      <c r="P825" s="776"/>
      <c r="Q825" s="776"/>
      <c r="R825" s="776"/>
      <c r="S825" s="776"/>
      <c r="T825" s="776"/>
      <c r="U825" s="776"/>
      <c r="V825" s="776"/>
      <c r="W825" s="776"/>
      <c r="X825" s="776"/>
      <c r="Y825" s="776"/>
      <c r="Z825" s="776"/>
      <c r="AA825" s="13"/>
    </row>
    <row r="826" spans="6:27">
      <c r="F826" s="776"/>
      <c r="G826" s="776"/>
      <c r="H826" s="776"/>
      <c r="I826" s="776"/>
      <c r="J826" s="776"/>
      <c r="K826" s="776"/>
      <c r="L826" s="776"/>
      <c r="M826" s="776"/>
      <c r="O826" s="776"/>
      <c r="P826" s="776"/>
      <c r="Q826" s="776"/>
      <c r="R826" s="776"/>
      <c r="S826" s="776"/>
      <c r="T826" s="776"/>
      <c r="U826" s="776"/>
      <c r="V826" s="776"/>
      <c r="W826" s="776"/>
      <c r="X826" s="776"/>
      <c r="Y826" s="776"/>
      <c r="Z826" s="776"/>
      <c r="AA826" s="13"/>
    </row>
    <row r="827" spans="6:27">
      <c r="F827" s="776"/>
      <c r="G827" s="776"/>
      <c r="H827" s="776"/>
      <c r="I827" s="776"/>
      <c r="J827" s="776"/>
      <c r="K827" s="776"/>
      <c r="L827" s="776"/>
      <c r="M827" s="776"/>
      <c r="O827" s="776"/>
      <c r="P827" s="776"/>
      <c r="Q827" s="776"/>
      <c r="R827" s="776"/>
      <c r="S827" s="776"/>
      <c r="T827" s="776"/>
      <c r="U827" s="776"/>
      <c r="V827" s="776"/>
      <c r="W827" s="776"/>
      <c r="X827" s="776"/>
      <c r="Y827" s="776"/>
      <c r="Z827" s="776"/>
      <c r="AA827" s="13"/>
    </row>
    <row r="828" spans="6:27">
      <c r="F828" s="776"/>
      <c r="G828" s="776"/>
      <c r="H828" s="776"/>
      <c r="I828" s="776"/>
      <c r="J828" s="776"/>
      <c r="K828" s="776"/>
      <c r="L828" s="776"/>
      <c r="M828" s="776"/>
      <c r="O828" s="776"/>
      <c r="P828" s="776"/>
      <c r="Q828" s="776"/>
      <c r="R828" s="776"/>
      <c r="S828" s="776"/>
      <c r="T828" s="776"/>
      <c r="U828" s="776"/>
      <c r="V828" s="776"/>
      <c r="W828" s="776"/>
      <c r="X828" s="776"/>
      <c r="Y828" s="776"/>
      <c r="Z828" s="776"/>
      <c r="AA828" s="13"/>
    </row>
    <row r="829" spans="6:27">
      <c r="F829" s="776"/>
      <c r="G829" s="776"/>
      <c r="H829" s="776"/>
      <c r="I829" s="776"/>
      <c r="J829" s="776"/>
      <c r="K829" s="776"/>
      <c r="L829" s="776"/>
      <c r="M829" s="776"/>
      <c r="O829" s="776"/>
      <c r="P829" s="776"/>
      <c r="Q829" s="776"/>
      <c r="R829" s="776"/>
      <c r="S829" s="776"/>
      <c r="T829" s="776"/>
      <c r="U829" s="776"/>
      <c r="V829" s="776"/>
      <c r="W829" s="776"/>
      <c r="X829" s="776"/>
      <c r="Y829" s="776"/>
      <c r="Z829" s="776"/>
      <c r="AA829" s="13"/>
    </row>
    <row r="830" spans="6:27">
      <c r="F830" s="776"/>
      <c r="G830" s="776"/>
      <c r="H830" s="776"/>
      <c r="I830" s="776"/>
      <c r="J830" s="776"/>
      <c r="K830" s="776"/>
      <c r="L830" s="776"/>
      <c r="M830" s="776"/>
      <c r="O830" s="776"/>
      <c r="P830" s="776"/>
      <c r="Q830" s="776"/>
      <c r="R830" s="776"/>
      <c r="S830" s="776"/>
      <c r="T830" s="776"/>
      <c r="U830" s="776"/>
      <c r="V830" s="776"/>
      <c r="W830" s="776"/>
      <c r="X830" s="776"/>
      <c r="Y830" s="776"/>
      <c r="Z830" s="776"/>
      <c r="AA830" s="13"/>
    </row>
    <row r="831" spans="6:27">
      <c r="F831" s="776"/>
      <c r="G831" s="776"/>
      <c r="H831" s="776"/>
      <c r="I831" s="776"/>
      <c r="J831" s="776"/>
      <c r="K831" s="776"/>
      <c r="L831" s="776"/>
      <c r="M831" s="776"/>
      <c r="O831" s="776"/>
      <c r="P831" s="776"/>
      <c r="Q831" s="776"/>
      <c r="R831" s="776"/>
      <c r="S831" s="776"/>
      <c r="T831" s="776"/>
      <c r="U831" s="776"/>
      <c r="V831" s="776"/>
      <c r="W831" s="776"/>
      <c r="X831" s="776"/>
      <c r="Y831" s="776"/>
      <c r="Z831" s="776"/>
      <c r="AA831" s="13"/>
    </row>
    <row r="832" spans="6:27">
      <c r="F832" s="776"/>
      <c r="G832" s="776"/>
      <c r="H832" s="776"/>
      <c r="I832" s="776"/>
      <c r="J832" s="776"/>
      <c r="K832" s="776"/>
      <c r="L832" s="776"/>
      <c r="M832" s="776"/>
      <c r="O832" s="776"/>
      <c r="P832" s="776"/>
      <c r="Q832" s="776"/>
      <c r="R832" s="776"/>
      <c r="S832" s="776"/>
      <c r="T832" s="776"/>
      <c r="U832" s="776"/>
      <c r="V832" s="776"/>
      <c r="W832" s="776"/>
      <c r="X832" s="776"/>
      <c r="Y832" s="776"/>
      <c r="Z832" s="776"/>
      <c r="AA832" s="13"/>
    </row>
    <row r="833" spans="6:27">
      <c r="F833" s="776"/>
      <c r="G833" s="776"/>
      <c r="H833" s="776"/>
      <c r="I833" s="776"/>
      <c r="J833" s="776"/>
      <c r="K833" s="776"/>
      <c r="L833" s="776"/>
      <c r="M833" s="776"/>
      <c r="O833" s="776"/>
      <c r="P833" s="776"/>
      <c r="Q833" s="776"/>
      <c r="R833" s="776"/>
      <c r="S833" s="776"/>
      <c r="T833" s="776"/>
      <c r="U833" s="776"/>
      <c r="V833" s="776"/>
      <c r="W833" s="776"/>
      <c r="X833" s="776"/>
      <c r="Y833" s="776"/>
      <c r="Z833" s="776"/>
      <c r="AA833" s="13"/>
    </row>
    <row r="834" spans="6:27">
      <c r="F834" s="776"/>
      <c r="G834" s="776"/>
      <c r="H834" s="776"/>
      <c r="I834" s="776"/>
      <c r="J834" s="776"/>
      <c r="K834" s="776"/>
      <c r="L834" s="776"/>
      <c r="M834" s="776"/>
      <c r="O834" s="776"/>
      <c r="P834" s="776"/>
      <c r="Q834" s="776"/>
      <c r="R834" s="776"/>
      <c r="S834" s="776"/>
      <c r="T834" s="776"/>
      <c r="U834" s="776"/>
      <c r="V834" s="776"/>
      <c r="W834" s="776"/>
      <c r="X834" s="776"/>
      <c r="Y834" s="776"/>
      <c r="Z834" s="776"/>
      <c r="AA834" s="13"/>
    </row>
    <row r="835" spans="6:27">
      <c r="F835" s="776"/>
      <c r="G835" s="776"/>
      <c r="H835" s="776"/>
      <c r="I835" s="776"/>
      <c r="J835" s="776"/>
      <c r="K835" s="776"/>
      <c r="L835" s="776"/>
      <c r="M835" s="776"/>
      <c r="O835" s="776"/>
      <c r="P835" s="776"/>
      <c r="Q835" s="776"/>
      <c r="R835" s="776"/>
      <c r="S835" s="776"/>
      <c r="T835" s="776"/>
      <c r="U835" s="776"/>
      <c r="V835" s="776"/>
      <c r="W835" s="776"/>
      <c r="X835" s="776"/>
      <c r="Y835" s="776"/>
      <c r="Z835" s="776"/>
      <c r="AA835" s="13"/>
    </row>
    <row r="836" spans="6:27">
      <c r="F836" s="776"/>
      <c r="G836" s="776"/>
      <c r="H836" s="776"/>
      <c r="I836" s="776"/>
      <c r="J836" s="776"/>
      <c r="K836" s="776"/>
      <c r="L836" s="776"/>
      <c r="M836" s="776"/>
      <c r="O836" s="776"/>
      <c r="P836" s="776"/>
      <c r="Q836" s="776"/>
      <c r="R836" s="776"/>
      <c r="S836" s="776"/>
      <c r="T836" s="776"/>
      <c r="U836" s="776"/>
      <c r="V836" s="776"/>
      <c r="W836" s="776"/>
      <c r="X836" s="776"/>
      <c r="Y836" s="776"/>
      <c r="Z836" s="776"/>
      <c r="AA836" s="13"/>
    </row>
    <row r="837" spans="6:27">
      <c r="F837" s="776"/>
      <c r="G837" s="776"/>
      <c r="H837" s="776"/>
      <c r="I837" s="776"/>
      <c r="J837" s="776"/>
      <c r="K837" s="776"/>
      <c r="L837" s="776"/>
      <c r="M837" s="776"/>
      <c r="O837" s="776"/>
      <c r="P837" s="776"/>
      <c r="Q837" s="776"/>
      <c r="R837" s="776"/>
      <c r="S837" s="776"/>
      <c r="T837" s="776"/>
      <c r="U837" s="776"/>
      <c r="V837" s="776"/>
      <c r="W837" s="776"/>
      <c r="X837" s="776"/>
      <c r="Y837" s="776"/>
      <c r="Z837" s="776"/>
      <c r="AA837" s="13"/>
    </row>
    <row r="838" spans="6:27">
      <c r="F838" s="776"/>
      <c r="G838" s="776"/>
      <c r="H838" s="776"/>
      <c r="I838" s="776"/>
      <c r="J838" s="776"/>
      <c r="K838" s="776"/>
      <c r="L838" s="776"/>
      <c r="M838" s="776"/>
      <c r="O838" s="776"/>
      <c r="P838" s="776"/>
      <c r="Q838" s="776"/>
      <c r="R838" s="776"/>
      <c r="S838" s="776"/>
      <c r="T838" s="776"/>
      <c r="U838" s="776"/>
      <c r="V838" s="776"/>
      <c r="W838" s="776"/>
      <c r="X838" s="776"/>
      <c r="Y838" s="776"/>
      <c r="Z838" s="776"/>
      <c r="AA838" s="13"/>
    </row>
    <row r="839" spans="6:27">
      <c r="F839" s="776"/>
      <c r="G839" s="776"/>
      <c r="H839" s="776"/>
      <c r="I839" s="776"/>
      <c r="J839" s="776"/>
      <c r="K839" s="776"/>
      <c r="L839" s="776"/>
      <c r="M839" s="776"/>
      <c r="O839" s="776"/>
      <c r="P839" s="776"/>
      <c r="Q839" s="776"/>
      <c r="R839" s="776"/>
      <c r="S839" s="776"/>
      <c r="T839" s="776"/>
      <c r="U839" s="776"/>
      <c r="V839" s="776"/>
      <c r="W839" s="776"/>
      <c r="X839" s="776"/>
      <c r="Y839" s="776"/>
      <c r="Z839" s="776"/>
      <c r="AA839" s="13"/>
    </row>
    <row r="840" spans="6:27">
      <c r="F840" s="776"/>
      <c r="G840" s="776"/>
      <c r="H840" s="776"/>
      <c r="I840" s="776"/>
      <c r="J840" s="776"/>
      <c r="K840" s="776"/>
      <c r="L840" s="776"/>
      <c r="M840" s="776"/>
      <c r="O840" s="776"/>
      <c r="P840" s="776"/>
      <c r="Q840" s="776"/>
      <c r="R840" s="776"/>
      <c r="S840" s="776"/>
      <c r="T840" s="776"/>
      <c r="U840" s="776"/>
      <c r="V840" s="776"/>
      <c r="W840" s="776"/>
      <c r="X840" s="776"/>
      <c r="Y840" s="776"/>
      <c r="Z840" s="776"/>
      <c r="AA840" s="13"/>
    </row>
    <row r="841" spans="6:27">
      <c r="F841" s="776"/>
      <c r="G841" s="776"/>
      <c r="H841" s="776"/>
      <c r="I841" s="776"/>
      <c r="J841" s="776"/>
      <c r="K841" s="776"/>
      <c r="L841" s="776"/>
      <c r="M841" s="776"/>
      <c r="O841" s="776"/>
      <c r="P841" s="776"/>
      <c r="Q841" s="776"/>
      <c r="R841" s="776"/>
      <c r="S841" s="776"/>
      <c r="T841" s="776"/>
      <c r="U841" s="776"/>
      <c r="V841" s="776"/>
      <c r="W841" s="776"/>
      <c r="X841" s="776"/>
      <c r="Y841" s="776"/>
      <c r="Z841" s="776"/>
      <c r="AA841" s="13"/>
    </row>
    <row r="842" spans="6:27">
      <c r="F842" s="776"/>
      <c r="G842" s="776"/>
      <c r="H842" s="776"/>
      <c r="I842" s="776"/>
      <c r="J842" s="776"/>
      <c r="K842" s="776"/>
      <c r="L842" s="776"/>
      <c r="M842" s="776"/>
      <c r="O842" s="776"/>
      <c r="P842" s="776"/>
      <c r="Q842" s="776"/>
      <c r="R842" s="776"/>
      <c r="S842" s="776"/>
      <c r="T842" s="776"/>
      <c r="U842" s="776"/>
      <c r="V842" s="776"/>
      <c r="W842" s="776"/>
      <c r="X842" s="776"/>
      <c r="Y842" s="776"/>
      <c r="Z842" s="776"/>
      <c r="AA842" s="13"/>
    </row>
    <row r="843" spans="6:27">
      <c r="F843" s="776"/>
      <c r="G843" s="776"/>
      <c r="H843" s="776"/>
      <c r="I843" s="776"/>
      <c r="J843" s="776"/>
      <c r="K843" s="776"/>
      <c r="L843" s="776"/>
      <c r="M843" s="776"/>
      <c r="O843" s="776"/>
      <c r="P843" s="776"/>
      <c r="Q843" s="776"/>
      <c r="R843" s="776"/>
      <c r="S843" s="776"/>
      <c r="T843" s="776"/>
      <c r="U843" s="776"/>
      <c r="V843" s="776"/>
      <c r="W843" s="776"/>
      <c r="X843" s="776"/>
      <c r="Y843" s="776"/>
      <c r="Z843" s="776"/>
      <c r="AA843" s="13"/>
    </row>
    <row r="844" spans="6:27">
      <c r="F844" s="776"/>
      <c r="G844" s="776"/>
      <c r="H844" s="776"/>
      <c r="I844" s="776"/>
      <c r="J844" s="776"/>
      <c r="K844" s="776"/>
      <c r="L844" s="776"/>
      <c r="M844" s="776"/>
      <c r="O844" s="776"/>
      <c r="P844" s="776"/>
      <c r="Q844" s="776"/>
      <c r="R844" s="776"/>
      <c r="S844" s="776"/>
      <c r="T844" s="776"/>
      <c r="U844" s="776"/>
      <c r="V844" s="776"/>
      <c r="W844" s="776"/>
      <c r="X844" s="776"/>
      <c r="Y844" s="776"/>
      <c r="Z844" s="776"/>
      <c r="AA844" s="13"/>
    </row>
    <row r="845" spans="6:27">
      <c r="F845" s="776"/>
      <c r="G845" s="776"/>
      <c r="H845" s="776"/>
      <c r="I845" s="776"/>
      <c r="J845" s="776"/>
      <c r="K845" s="776"/>
      <c r="L845" s="776"/>
      <c r="M845" s="776"/>
      <c r="O845" s="776"/>
      <c r="P845" s="776"/>
      <c r="Q845" s="776"/>
      <c r="R845" s="776"/>
      <c r="S845" s="776"/>
      <c r="T845" s="776"/>
      <c r="U845" s="776"/>
      <c r="V845" s="776"/>
      <c r="W845" s="776"/>
      <c r="X845" s="776"/>
      <c r="Y845" s="776"/>
      <c r="Z845" s="776"/>
      <c r="AA845" s="13"/>
    </row>
    <row r="846" spans="6:27">
      <c r="F846" s="776"/>
      <c r="G846" s="776"/>
      <c r="H846" s="776"/>
      <c r="I846" s="776"/>
      <c r="J846" s="776"/>
      <c r="K846" s="776"/>
      <c r="L846" s="776"/>
      <c r="M846" s="776"/>
      <c r="O846" s="776"/>
      <c r="P846" s="776"/>
      <c r="Q846" s="776"/>
      <c r="R846" s="776"/>
      <c r="S846" s="776"/>
      <c r="T846" s="776"/>
      <c r="U846" s="776"/>
      <c r="V846" s="776"/>
      <c r="W846" s="776"/>
      <c r="X846" s="776"/>
      <c r="Y846" s="776"/>
      <c r="Z846" s="776"/>
      <c r="AA846" s="13"/>
    </row>
    <row r="847" spans="6:27">
      <c r="F847" s="776"/>
      <c r="G847" s="776"/>
      <c r="H847" s="776"/>
      <c r="I847" s="776"/>
      <c r="J847" s="776"/>
      <c r="K847" s="776"/>
      <c r="L847" s="776"/>
      <c r="M847" s="776"/>
      <c r="O847" s="776"/>
      <c r="P847" s="776"/>
      <c r="Q847" s="776"/>
      <c r="R847" s="776"/>
      <c r="S847" s="776"/>
      <c r="T847" s="776"/>
      <c r="U847" s="776"/>
      <c r="V847" s="776"/>
      <c r="W847" s="776"/>
      <c r="X847" s="776"/>
      <c r="Y847" s="776"/>
      <c r="Z847" s="776"/>
      <c r="AA847" s="13"/>
    </row>
    <row r="848" spans="6:27">
      <c r="F848" s="776"/>
      <c r="G848" s="776"/>
      <c r="H848" s="776"/>
      <c r="I848" s="776"/>
      <c r="J848" s="776"/>
      <c r="K848" s="776"/>
      <c r="L848" s="776"/>
      <c r="M848" s="776"/>
      <c r="O848" s="776"/>
      <c r="P848" s="776"/>
      <c r="Q848" s="776"/>
      <c r="R848" s="776"/>
      <c r="S848" s="776"/>
      <c r="T848" s="776"/>
      <c r="U848" s="776"/>
      <c r="V848" s="776"/>
      <c r="W848" s="776"/>
      <c r="X848" s="776"/>
      <c r="Y848" s="776"/>
      <c r="Z848" s="776"/>
      <c r="AA848" s="13"/>
    </row>
    <row r="849" spans="6:27">
      <c r="F849" s="776"/>
      <c r="G849" s="776"/>
      <c r="H849" s="776"/>
      <c r="I849" s="776"/>
      <c r="J849" s="776"/>
      <c r="K849" s="776"/>
      <c r="L849" s="776"/>
      <c r="M849" s="776"/>
      <c r="O849" s="776"/>
      <c r="P849" s="776"/>
      <c r="Q849" s="776"/>
      <c r="R849" s="776"/>
      <c r="S849" s="776"/>
      <c r="T849" s="776"/>
      <c r="U849" s="776"/>
      <c r="V849" s="776"/>
      <c r="W849" s="776"/>
      <c r="X849" s="776"/>
      <c r="Y849" s="776"/>
      <c r="Z849" s="776"/>
      <c r="AA849" s="13"/>
    </row>
    <row r="850" spans="6:27">
      <c r="F850" s="776"/>
      <c r="G850" s="776"/>
      <c r="H850" s="776"/>
      <c r="I850" s="776"/>
      <c r="J850" s="776"/>
      <c r="K850" s="776"/>
      <c r="L850" s="776"/>
      <c r="M850" s="776"/>
      <c r="O850" s="776"/>
      <c r="P850" s="776"/>
      <c r="Q850" s="776"/>
      <c r="R850" s="776"/>
      <c r="S850" s="776"/>
      <c r="T850" s="776"/>
      <c r="U850" s="776"/>
      <c r="V850" s="776"/>
      <c r="W850" s="776"/>
      <c r="X850" s="776"/>
      <c r="Y850" s="776"/>
      <c r="Z850" s="776"/>
      <c r="AA850" s="13"/>
    </row>
    <row r="851" spans="6:27">
      <c r="F851" s="776"/>
      <c r="G851" s="776"/>
      <c r="H851" s="776"/>
      <c r="I851" s="776"/>
      <c r="J851" s="776"/>
      <c r="K851" s="776"/>
      <c r="L851" s="776"/>
      <c r="M851" s="776"/>
      <c r="O851" s="776"/>
      <c r="P851" s="776"/>
      <c r="Q851" s="776"/>
      <c r="R851" s="776"/>
      <c r="S851" s="776"/>
      <c r="T851" s="776"/>
      <c r="U851" s="776"/>
      <c r="V851" s="776"/>
      <c r="W851" s="776"/>
      <c r="X851" s="776"/>
      <c r="Y851" s="776"/>
      <c r="Z851" s="776"/>
      <c r="AA851" s="13"/>
    </row>
    <row r="852" spans="6:27">
      <c r="F852" s="776"/>
      <c r="G852" s="776"/>
      <c r="H852" s="776"/>
      <c r="I852" s="776"/>
      <c r="J852" s="776"/>
      <c r="K852" s="776"/>
      <c r="L852" s="776"/>
      <c r="M852" s="776"/>
      <c r="O852" s="776"/>
      <c r="P852" s="776"/>
      <c r="Q852" s="776"/>
      <c r="R852" s="776"/>
      <c r="S852" s="776"/>
      <c r="T852" s="776"/>
      <c r="U852" s="776"/>
      <c r="V852" s="776"/>
      <c r="W852" s="776"/>
      <c r="X852" s="776"/>
      <c r="Y852" s="776"/>
      <c r="Z852" s="776"/>
      <c r="AA852" s="13"/>
    </row>
    <row r="853" spans="6:27">
      <c r="F853" s="776"/>
      <c r="G853" s="776"/>
      <c r="H853" s="776"/>
      <c r="I853" s="776"/>
      <c r="J853" s="776"/>
      <c r="K853" s="776"/>
      <c r="L853" s="776"/>
      <c r="M853" s="776"/>
      <c r="O853" s="776"/>
      <c r="P853" s="776"/>
      <c r="Q853" s="776"/>
      <c r="R853" s="776"/>
      <c r="S853" s="776"/>
      <c r="T853" s="776"/>
      <c r="U853" s="776"/>
      <c r="V853" s="776"/>
      <c r="W853" s="776"/>
      <c r="X853" s="776"/>
      <c r="Y853" s="776"/>
      <c r="Z853" s="776"/>
      <c r="AA853" s="13"/>
    </row>
    <row r="854" spans="6:27">
      <c r="F854" s="776"/>
      <c r="G854" s="776"/>
      <c r="H854" s="776"/>
      <c r="I854" s="776"/>
      <c r="J854" s="776"/>
      <c r="K854" s="776"/>
      <c r="L854" s="776"/>
      <c r="M854" s="776"/>
      <c r="O854" s="776"/>
      <c r="P854" s="776"/>
      <c r="Q854" s="776"/>
      <c r="R854" s="776"/>
      <c r="S854" s="776"/>
      <c r="T854" s="776"/>
      <c r="U854" s="776"/>
      <c r="V854" s="776"/>
      <c r="W854" s="776"/>
      <c r="X854" s="776"/>
      <c r="Y854" s="776"/>
      <c r="Z854" s="776"/>
      <c r="AA854" s="13"/>
    </row>
    <row r="855" spans="6:27">
      <c r="F855" s="776"/>
      <c r="G855" s="776"/>
      <c r="H855" s="776"/>
      <c r="I855" s="776"/>
      <c r="J855" s="776"/>
      <c r="K855" s="776"/>
      <c r="L855" s="776"/>
      <c r="M855" s="776"/>
      <c r="O855" s="776"/>
      <c r="P855" s="776"/>
      <c r="Q855" s="776"/>
      <c r="R855" s="776"/>
      <c r="S855" s="776"/>
      <c r="T855" s="776"/>
      <c r="U855" s="776"/>
      <c r="V855" s="776"/>
      <c r="W855" s="776"/>
      <c r="X855" s="776"/>
      <c r="Y855" s="776"/>
      <c r="Z855" s="776"/>
      <c r="AA855" s="13"/>
    </row>
    <row r="856" spans="6:27">
      <c r="F856" s="776"/>
      <c r="G856" s="776"/>
      <c r="H856" s="776"/>
      <c r="I856" s="776"/>
      <c r="J856" s="776"/>
      <c r="K856" s="776"/>
      <c r="L856" s="776"/>
      <c r="M856" s="776"/>
      <c r="O856" s="776"/>
      <c r="P856" s="776"/>
      <c r="Q856" s="776"/>
      <c r="R856" s="776"/>
      <c r="S856" s="776"/>
      <c r="T856" s="776"/>
      <c r="U856" s="776"/>
      <c r="V856" s="776"/>
      <c r="W856" s="776"/>
      <c r="X856" s="776"/>
      <c r="Y856" s="776"/>
      <c r="Z856" s="776"/>
      <c r="AA856" s="13"/>
    </row>
    <row r="857" spans="6:27">
      <c r="F857" s="776"/>
      <c r="G857" s="776"/>
      <c r="H857" s="776"/>
      <c r="I857" s="776"/>
      <c r="J857" s="776"/>
      <c r="K857" s="776"/>
      <c r="L857" s="776"/>
      <c r="M857" s="776"/>
      <c r="O857" s="776"/>
      <c r="P857" s="776"/>
      <c r="Q857" s="776"/>
      <c r="R857" s="776"/>
      <c r="S857" s="776"/>
      <c r="T857" s="776"/>
      <c r="U857" s="776"/>
      <c r="V857" s="776"/>
      <c r="W857" s="776"/>
      <c r="X857" s="776"/>
      <c r="Y857" s="776"/>
      <c r="Z857" s="776"/>
      <c r="AA857" s="13"/>
    </row>
    <row r="858" spans="6:27">
      <c r="F858" s="776"/>
      <c r="G858" s="776"/>
      <c r="H858" s="776"/>
      <c r="I858" s="776"/>
      <c r="J858" s="776"/>
      <c r="K858" s="776"/>
      <c r="L858" s="776"/>
      <c r="M858" s="776"/>
      <c r="O858" s="776"/>
      <c r="P858" s="776"/>
      <c r="Q858" s="776"/>
      <c r="R858" s="776"/>
      <c r="S858" s="776"/>
      <c r="T858" s="776"/>
      <c r="U858" s="776"/>
      <c r="V858" s="776"/>
      <c r="W858" s="776"/>
      <c r="X858" s="776"/>
      <c r="Y858" s="776"/>
      <c r="Z858" s="776"/>
      <c r="AA858" s="13"/>
    </row>
    <row r="859" spans="6:27">
      <c r="F859" s="776"/>
      <c r="G859" s="776"/>
      <c r="H859" s="776"/>
      <c r="I859" s="776"/>
      <c r="J859" s="776"/>
      <c r="K859" s="776"/>
      <c r="L859" s="776"/>
      <c r="M859" s="776"/>
      <c r="O859" s="776"/>
      <c r="P859" s="776"/>
      <c r="Q859" s="776"/>
      <c r="R859" s="776"/>
      <c r="S859" s="776"/>
      <c r="T859" s="776"/>
      <c r="U859" s="776"/>
      <c r="V859" s="776"/>
      <c r="W859" s="776"/>
      <c r="X859" s="776"/>
      <c r="Y859" s="776"/>
      <c r="Z859" s="776"/>
      <c r="AA859" s="13"/>
    </row>
    <row r="860" spans="6:27">
      <c r="F860" s="776"/>
      <c r="G860" s="776"/>
      <c r="H860" s="776"/>
      <c r="I860" s="776"/>
      <c r="J860" s="776"/>
      <c r="K860" s="776"/>
      <c r="L860" s="776"/>
      <c r="M860" s="776"/>
      <c r="O860" s="776"/>
      <c r="P860" s="776"/>
      <c r="Q860" s="776"/>
      <c r="R860" s="776"/>
      <c r="S860" s="776"/>
      <c r="T860" s="776"/>
      <c r="U860" s="776"/>
      <c r="V860" s="776"/>
      <c r="W860" s="776"/>
      <c r="X860" s="776"/>
      <c r="Y860" s="776"/>
      <c r="Z860" s="776"/>
      <c r="AA860" s="13"/>
    </row>
    <row r="861" spans="6:27">
      <c r="F861" s="776"/>
      <c r="G861" s="776"/>
      <c r="H861" s="776"/>
      <c r="I861" s="776"/>
      <c r="J861" s="776"/>
      <c r="K861" s="776"/>
      <c r="L861" s="776"/>
      <c r="M861" s="776"/>
      <c r="O861" s="776"/>
      <c r="P861" s="776"/>
      <c r="Q861" s="776"/>
      <c r="R861" s="776"/>
      <c r="S861" s="776"/>
      <c r="T861" s="776"/>
      <c r="U861" s="776"/>
      <c r="V861" s="776"/>
      <c r="W861" s="776"/>
      <c r="X861" s="776"/>
      <c r="Y861" s="776"/>
      <c r="Z861" s="776"/>
      <c r="AA861" s="13"/>
    </row>
    <row r="862" spans="6:27">
      <c r="F862" s="776"/>
      <c r="G862" s="776"/>
      <c r="H862" s="776"/>
      <c r="I862" s="776"/>
      <c r="J862" s="776"/>
      <c r="K862" s="776"/>
      <c r="L862" s="776"/>
      <c r="M862" s="776"/>
      <c r="O862" s="776"/>
      <c r="P862" s="776"/>
      <c r="Q862" s="776"/>
      <c r="R862" s="776"/>
      <c r="S862" s="776"/>
      <c r="T862" s="776"/>
      <c r="U862" s="776"/>
      <c r="V862" s="776"/>
      <c r="W862" s="776"/>
      <c r="X862" s="776"/>
      <c r="Y862" s="776"/>
      <c r="Z862" s="776"/>
      <c r="AA862" s="13"/>
    </row>
    <row r="863" spans="6:27">
      <c r="F863" s="776"/>
      <c r="G863" s="776"/>
      <c r="H863" s="776"/>
      <c r="I863" s="776"/>
      <c r="J863" s="776"/>
      <c r="K863" s="776"/>
      <c r="L863" s="776"/>
      <c r="M863" s="776"/>
      <c r="O863" s="776"/>
      <c r="P863" s="776"/>
      <c r="Q863" s="776"/>
      <c r="R863" s="776"/>
      <c r="S863" s="776"/>
      <c r="T863" s="776"/>
      <c r="U863" s="776"/>
      <c r="V863" s="776"/>
      <c r="W863" s="776"/>
      <c r="X863" s="776"/>
      <c r="Y863" s="776"/>
      <c r="Z863" s="776"/>
      <c r="AA863" s="13"/>
    </row>
    <row r="864" spans="6:27">
      <c r="F864" s="776"/>
      <c r="G864" s="776"/>
      <c r="H864" s="776"/>
      <c r="I864" s="776"/>
      <c r="J864" s="776"/>
      <c r="K864" s="776"/>
      <c r="L864" s="776"/>
      <c r="M864" s="776"/>
      <c r="O864" s="776"/>
      <c r="P864" s="776"/>
      <c r="Q864" s="776"/>
      <c r="R864" s="776"/>
      <c r="S864" s="776"/>
      <c r="T864" s="776"/>
      <c r="U864" s="776"/>
      <c r="V864" s="776"/>
      <c r="W864" s="776"/>
      <c r="X864" s="776"/>
      <c r="Y864" s="776"/>
      <c r="Z864" s="776"/>
      <c r="AA864" s="13"/>
    </row>
    <row r="865" spans="6:27">
      <c r="F865" s="776"/>
      <c r="G865" s="776"/>
      <c r="H865" s="776"/>
      <c r="I865" s="776"/>
      <c r="J865" s="776"/>
      <c r="K865" s="776"/>
      <c r="L865" s="776"/>
      <c r="M865" s="776"/>
      <c r="O865" s="776"/>
      <c r="P865" s="776"/>
      <c r="Q865" s="776"/>
      <c r="R865" s="776"/>
      <c r="S865" s="776"/>
      <c r="T865" s="776"/>
      <c r="U865" s="776"/>
      <c r="V865" s="776"/>
      <c r="W865" s="776"/>
      <c r="X865" s="776"/>
      <c r="Y865" s="776"/>
      <c r="Z865" s="776"/>
      <c r="AA865" s="13"/>
    </row>
    <row r="866" spans="6:27">
      <c r="F866" s="776"/>
      <c r="G866" s="776"/>
      <c r="H866" s="776"/>
      <c r="I866" s="776"/>
      <c r="J866" s="776"/>
      <c r="K866" s="776"/>
      <c r="L866" s="776"/>
      <c r="M866" s="776"/>
      <c r="O866" s="776"/>
      <c r="P866" s="776"/>
      <c r="Q866" s="776"/>
      <c r="R866" s="776"/>
      <c r="S866" s="776"/>
      <c r="T866" s="776"/>
      <c r="U866" s="776"/>
      <c r="V866" s="776"/>
      <c r="W866" s="776"/>
      <c r="X866" s="776"/>
      <c r="Y866" s="776"/>
      <c r="Z866" s="776"/>
      <c r="AA866" s="13"/>
    </row>
    <row r="867" spans="6:27">
      <c r="F867" s="776"/>
      <c r="G867" s="776"/>
      <c r="H867" s="776"/>
      <c r="I867" s="776"/>
      <c r="J867" s="776"/>
      <c r="K867" s="776"/>
      <c r="L867" s="776"/>
      <c r="M867" s="776"/>
      <c r="O867" s="776"/>
      <c r="P867" s="776"/>
      <c r="Q867" s="776"/>
      <c r="R867" s="776"/>
      <c r="S867" s="776"/>
      <c r="T867" s="776"/>
      <c r="U867" s="776"/>
      <c r="V867" s="776"/>
      <c r="W867" s="776"/>
      <c r="X867" s="776"/>
      <c r="Y867" s="776"/>
      <c r="Z867" s="776"/>
      <c r="AA867" s="13"/>
    </row>
    <row r="868" spans="6:27">
      <c r="F868" s="776"/>
      <c r="G868" s="776"/>
      <c r="H868" s="776"/>
      <c r="I868" s="776"/>
      <c r="J868" s="776"/>
      <c r="K868" s="776"/>
      <c r="L868" s="776"/>
      <c r="M868" s="776"/>
      <c r="O868" s="776"/>
      <c r="P868" s="776"/>
      <c r="Q868" s="776"/>
      <c r="R868" s="776"/>
      <c r="S868" s="776"/>
      <c r="T868" s="776"/>
      <c r="U868" s="776"/>
      <c r="V868" s="776"/>
      <c r="W868" s="776"/>
      <c r="X868" s="776"/>
      <c r="Y868" s="776"/>
      <c r="Z868" s="776"/>
      <c r="AA868" s="13"/>
    </row>
    <row r="869" spans="6:27">
      <c r="F869" s="776"/>
      <c r="G869" s="776"/>
      <c r="H869" s="776"/>
      <c r="I869" s="776"/>
      <c r="J869" s="776"/>
      <c r="K869" s="776"/>
      <c r="L869" s="776"/>
      <c r="M869" s="776"/>
      <c r="O869" s="776"/>
      <c r="P869" s="776"/>
      <c r="Q869" s="776"/>
      <c r="R869" s="776"/>
      <c r="S869" s="776"/>
      <c r="T869" s="776"/>
      <c r="U869" s="776"/>
      <c r="V869" s="776"/>
      <c r="W869" s="776"/>
      <c r="X869" s="776"/>
      <c r="Y869" s="776"/>
      <c r="Z869" s="776"/>
      <c r="AA869" s="13"/>
    </row>
    <row r="870" spans="6:27">
      <c r="F870" s="776"/>
      <c r="G870" s="776"/>
      <c r="H870" s="776"/>
      <c r="I870" s="776"/>
      <c r="J870" s="776"/>
      <c r="K870" s="776"/>
      <c r="L870" s="776"/>
      <c r="M870" s="776"/>
      <c r="O870" s="776"/>
      <c r="P870" s="776"/>
      <c r="Q870" s="776"/>
      <c r="R870" s="776"/>
      <c r="S870" s="776"/>
      <c r="T870" s="776"/>
      <c r="U870" s="776"/>
      <c r="V870" s="776"/>
      <c r="W870" s="776"/>
      <c r="X870" s="776"/>
      <c r="Y870" s="776"/>
      <c r="Z870" s="776"/>
      <c r="AA870" s="13"/>
    </row>
    <row r="871" spans="6:27">
      <c r="F871" s="776"/>
      <c r="G871" s="776"/>
      <c r="H871" s="776"/>
      <c r="I871" s="776"/>
      <c r="J871" s="776"/>
      <c r="K871" s="776"/>
      <c r="L871" s="776"/>
      <c r="M871" s="776"/>
      <c r="O871" s="776"/>
      <c r="P871" s="776"/>
      <c r="Q871" s="776"/>
      <c r="R871" s="776"/>
      <c r="S871" s="776"/>
      <c r="T871" s="776"/>
      <c r="U871" s="776"/>
      <c r="V871" s="776"/>
      <c r="W871" s="776"/>
      <c r="X871" s="776"/>
      <c r="Y871" s="776"/>
      <c r="Z871" s="776"/>
      <c r="AA871" s="13"/>
    </row>
    <row r="872" spans="6:27">
      <c r="F872" s="776"/>
      <c r="G872" s="776"/>
      <c r="H872" s="776"/>
      <c r="I872" s="776"/>
      <c r="J872" s="776"/>
      <c r="K872" s="776"/>
      <c r="L872" s="776"/>
      <c r="M872" s="776"/>
      <c r="O872" s="776"/>
      <c r="P872" s="776"/>
      <c r="Q872" s="776"/>
      <c r="R872" s="776"/>
      <c r="S872" s="776"/>
      <c r="T872" s="776"/>
      <c r="U872" s="776"/>
      <c r="V872" s="776"/>
      <c r="W872" s="776"/>
      <c r="X872" s="776"/>
      <c r="Y872" s="776"/>
      <c r="Z872" s="776"/>
      <c r="AA872" s="13"/>
    </row>
    <row r="873" spans="6:27">
      <c r="F873" s="776"/>
      <c r="G873" s="776"/>
      <c r="H873" s="776"/>
      <c r="I873" s="776"/>
      <c r="J873" s="776"/>
      <c r="K873" s="776"/>
      <c r="L873" s="776"/>
      <c r="M873" s="776"/>
      <c r="O873" s="776"/>
      <c r="P873" s="776"/>
      <c r="Q873" s="776"/>
      <c r="R873" s="776"/>
      <c r="S873" s="776"/>
      <c r="T873" s="776"/>
      <c r="U873" s="776"/>
      <c r="V873" s="776"/>
      <c r="W873" s="776"/>
      <c r="X873" s="776"/>
      <c r="Y873" s="776"/>
      <c r="Z873" s="776"/>
      <c r="AA873" s="13"/>
    </row>
    <row r="874" spans="6:27">
      <c r="F874" s="776"/>
      <c r="G874" s="776"/>
      <c r="H874" s="776"/>
      <c r="I874" s="776"/>
      <c r="J874" s="776"/>
      <c r="K874" s="776"/>
      <c r="L874" s="776"/>
      <c r="M874" s="776"/>
      <c r="O874" s="776"/>
      <c r="P874" s="776"/>
      <c r="Q874" s="776"/>
      <c r="R874" s="776"/>
      <c r="S874" s="776"/>
      <c r="T874" s="776"/>
      <c r="U874" s="776"/>
      <c r="V874" s="776"/>
      <c r="W874" s="776"/>
      <c r="X874" s="776"/>
      <c r="Y874" s="776"/>
      <c r="Z874" s="776"/>
      <c r="AA874" s="13"/>
    </row>
    <row r="875" spans="6:27">
      <c r="F875" s="776"/>
      <c r="G875" s="776"/>
      <c r="H875" s="776"/>
      <c r="I875" s="776"/>
      <c r="J875" s="776"/>
      <c r="K875" s="776"/>
      <c r="L875" s="776"/>
      <c r="M875" s="776"/>
      <c r="O875" s="776"/>
      <c r="P875" s="776"/>
      <c r="Q875" s="776"/>
      <c r="R875" s="776"/>
      <c r="S875" s="776"/>
      <c r="T875" s="776"/>
      <c r="U875" s="776"/>
      <c r="V875" s="776"/>
      <c r="W875" s="776"/>
      <c r="X875" s="776"/>
      <c r="Y875" s="776"/>
      <c r="Z875" s="776"/>
      <c r="AA875" s="13"/>
    </row>
    <row r="876" spans="6:27">
      <c r="F876" s="776"/>
      <c r="G876" s="776"/>
      <c r="H876" s="776"/>
      <c r="I876" s="776"/>
      <c r="J876" s="776"/>
      <c r="K876" s="776"/>
      <c r="L876" s="776"/>
      <c r="M876" s="776"/>
      <c r="O876" s="776"/>
      <c r="P876" s="776"/>
      <c r="Q876" s="776"/>
      <c r="R876" s="776"/>
      <c r="S876" s="776"/>
      <c r="T876" s="776"/>
      <c r="U876" s="776"/>
      <c r="V876" s="776"/>
      <c r="W876" s="776"/>
      <c r="X876" s="776"/>
      <c r="Y876" s="776"/>
      <c r="Z876" s="776"/>
      <c r="AA876" s="13"/>
    </row>
    <row r="877" spans="6:27">
      <c r="F877" s="776"/>
      <c r="G877" s="776"/>
      <c r="H877" s="776"/>
      <c r="I877" s="776"/>
      <c r="J877" s="776"/>
      <c r="K877" s="776"/>
      <c r="L877" s="776"/>
      <c r="M877" s="776"/>
      <c r="O877" s="776"/>
      <c r="P877" s="776"/>
      <c r="Q877" s="776"/>
      <c r="R877" s="776"/>
      <c r="S877" s="776"/>
      <c r="T877" s="776"/>
      <c r="U877" s="776"/>
      <c r="V877" s="776"/>
      <c r="W877" s="776"/>
      <c r="X877" s="776"/>
      <c r="Y877" s="776"/>
      <c r="Z877" s="776"/>
      <c r="AA877" s="13"/>
    </row>
    <row r="878" spans="6:27">
      <c r="F878" s="776"/>
      <c r="G878" s="776"/>
      <c r="H878" s="776"/>
      <c r="I878" s="776"/>
      <c r="J878" s="776"/>
      <c r="K878" s="776"/>
      <c r="L878" s="776"/>
      <c r="M878" s="776"/>
      <c r="O878" s="776"/>
      <c r="P878" s="776"/>
      <c r="Q878" s="776"/>
      <c r="R878" s="776"/>
      <c r="S878" s="776"/>
      <c r="T878" s="776"/>
      <c r="U878" s="776"/>
      <c r="V878" s="776"/>
      <c r="W878" s="776"/>
      <c r="X878" s="776"/>
      <c r="Y878" s="776"/>
      <c r="Z878" s="776"/>
      <c r="AA878" s="13"/>
    </row>
    <row r="879" spans="6:27">
      <c r="F879" s="776"/>
      <c r="G879" s="776"/>
      <c r="H879" s="776"/>
      <c r="I879" s="776"/>
      <c r="J879" s="776"/>
      <c r="K879" s="776"/>
      <c r="L879" s="776"/>
      <c r="M879" s="776"/>
      <c r="O879" s="776"/>
      <c r="P879" s="776"/>
      <c r="Q879" s="776"/>
      <c r="R879" s="776"/>
      <c r="S879" s="776"/>
      <c r="T879" s="776"/>
      <c r="U879" s="776"/>
      <c r="V879" s="776"/>
      <c r="W879" s="776"/>
      <c r="X879" s="776"/>
      <c r="Y879" s="776"/>
      <c r="Z879" s="776"/>
      <c r="AA879" s="13"/>
    </row>
    <row r="880" spans="6:27">
      <c r="F880" s="776"/>
      <c r="G880" s="776"/>
      <c r="H880" s="776"/>
      <c r="I880" s="776"/>
      <c r="J880" s="776"/>
      <c r="K880" s="776"/>
      <c r="L880" s="776"/>
      <c r="M880" s="776"/>
      <c r="O880" s="776"/>
      <c r="P880" s="776"/>
      <c r="Q880" s="776"/>
      <c r="R880" s="776"/>
      <c r="S880" s="776"/>
      <c r="T880" s="776"/>
      <c r="U880" s="776"/>
      <c r="V880" s="776"/>
      <c r="W880" s="776"/>
      <c r="X880" s="776"/>
      <c r="Y880" s="776"/>
      <c r="Z880" s="776"/>
      <c r="AA880" s="13"/>
    </row>
    <row r="881" spans="6:27">
      <c r="F881" s="776"/>
      <c r="G881" s="776"/>
      <c r="H881" s="776"/>
      <c r="I881" s="776"/>
      <c r="J881" s="776"/>
      <c r="K881" s="776"/>
      <c r="L881" s="776"/>
      <c r="M881" s="776"/>
      <c r="O881" s="776"/>
      <c r="P881" s="776"/>
      <c r="Q881" s="776"/>
      <c r="R881" s="776"/>
      <c r="S881" s="776"/>
      <c r="T881" s="776"/>
      <c r="U881" s="776"/>
      <c r="V881" s="776"/>
      <c r="W881" s="776"/>
      <c r="X881" s="776"/>
      <c r="Y881" s="776"/>
      <c r="Z881" s="776"/>
      <c r="AA881" s="13"/>
    </row>
    <row r="882" spans="6:27">
      <c r="F882" s="776"/>
      <c r="G882" s="776"/>
      <c r="H882" s="776"/>
      <c r="I882" s="776"/>
      <c r="J882" s="776"/>
      <c r="K882" s="776"/>
      <c r="L882" s="776"/>
      <c r="M882" s="776"/>
      <c r="O882" s="776"/>
      <c r="P882" s="776"/>
      <c r="Q882" s="776"/>
      <c r="R882" s="776"/>
      <c r="S882" s="776"/>
      <c r="T882" s="776"/>
      <c r="U882" s="776"/>
      <c r="V882" s="776"/>
      <c r="W882" s="776"/>
      <c r="X882" s="776"/>
      <c r="Y882" s="776"/>
      <c r="Z882" s="776"/>
      <c r="AA882" s="13"/>
    </row>
    <row r="883" spans="6:27">
      <c r="F883" s="776"/>
      <c r="G883" s="776"/>
      <c r="H883" s="776"/>
      <c r="I883" s="776"/>
      <c r="J883" s="776"/>
      <c r="K883" s="776"/>
      <c r="L883" s="776"/>
      <c r="M883" s="776"/>
      <c r="O883" s="776"/>
      <c r="P883" s="776"/>
      <c r="Q883" s="776"/>
      <c r="R883" s="776"/>
      <c r="S883" s="776"/>
      <c r="T883" s="776"/>
      <c r="U883" s="776"/>
      <c r="V883" s="776"/>
      <c r="W883" s="776"/>
      <c r="X883" s="776"/>
      <c r="Y883" s="776"/>
      <c r="Z883" s="776"/>
      <c r="AA883" s="13"/>
    </row>
    <row r="884" spans="6:27">
      <c r="F884" s="776"/>
      <c r="G884" s="776"/>
      <c r="H884" s="776"/>
      <c r="I884" s="776"/>
      <c r="J884" s="776"/>
      <c r="K884" s="776"/>
      <c r="L884" s="776"/>
      <c r="M884" s="776"/>
      <c r="O884" s="776"/>
      <c r="P884" s="776"/>
      <c r="Q884" s="776"/>
      <c r="R884" s="776"/>
      <c r="S884" s="776"/>
      <c r="T884" s="776"/>
      <c r="U884" s="776"/>
      <c r="V884" s="776"/>
      <c r="W884" s="776"/>
      <c r="X884" s="776"/>
      <c r="Y884" s="776"/>
      <c r="Z884" s="776"/>
      <c r="AA884" s="13"/>
    </row>
    <row r="885" spans="6:27">
      <c r="F885" s="776"/>
      <c r="G885" s="776"/>
      <c r="H885" s="776"/>
      <c r="I885" s="776"/>
      <c r="J885" s="776"/>
      <c r="K885" s="776"/>
      <c r="L885" s="776"/>
      <c r="M885" s="776"/>
      <c r="O885" s="776"/>
      <c r="P885" s="776"/>
      <c r="Q885" s="776"/>
      <c r="R885" s="776"/>
      <c r="S885" s="776"/>
      <c r="T885" s="776"/>
      <c r="U885" s="776"/>
      <c r="V885" s="776"/>
      <c r="W885" s="776"/>
      <c r="X885" s="776"/>
      <c r="Y885" s="776"/>
      <c r="Z885" s="776"/>
      <c r="AA885" s="13"/>
    </row>
    <row r="886" spans="6:27">
      <c r="F886" s="776"/>
      <c r="G886" s="776"/>
      <c r="H886" s="776"/>
      <c r="I886" s="776"/>
      <c r="J886" s="776"/>
      <c r="K886" s="776"/>
      <c r="L886" s="776"/>
      <c r="M886" s="776"/>
      <c r="O886" s="776"/>
      <c r="P886" s="776"/>
      <c r="Q886" s="776"/>
      <c r="R886" s="776"/>
      <c r="S886" s="776"/>
      <c r="T886" s="776"/>
      <c r="U886" s="776"/>
      <c r="V886" s="776"/>
      <c r="W886" s="776"/>
      <c r="X886" s="776"/>
      <c r="Y886" s="776"/>
      <c r="Z886" s="776"/>
      <c r="AA886" s="13"/>
    </row>
    <row r="887" spans="6:27">
      <c r="F887" s="776"/>
      <c r="G887" s="776"/>
      <c r="H887" s="776"/>
      <c r="I887" s="776"/>
      <c r="J887" s="776"/>
      <c r="K887" s="776"/>
      <c r="L887" s="776"/>
      <c r="M887" s="776"/>
      <c r="O887" s="776"/>
      <c r="P887" s="776"/>
      <c r="Q887" s="776"/>
      <c r="R887" s="776"/>
      <c r="S887" s="776"/>
      <c r="T887" s="776"/>
      <c r="U887" s="776"/>
      <c r="V887" s="776"/>
      <c r="W887" s="776"/>
      <c r="X887" s="776"/>
      <c r="Y887" s="776"/>
      <c r="Z887" s="776"/>
      <c r="AA887" s="13"/>
    </row>
    <row r="888" spans="6:27">
      <c r="F888" s="776"/>
      <c r="G888" s="776"/>
      <c r="H888" s="776"/>
      <c r="I888" s="776"/>
      <c r="J888" s="776"/>
      <c r="K888" s="776"/>
      <c r="L888" s="776"/>
      <c r="M888" s="776"/>
      <c r="O888" s="776"/>
      <c r="P888" s="776"/>
      <c r="Q888" s="776"/>
      <c r="R888" s="776"/>
      <c r="S888" s="776"/>
      <c r="T888" s="776"/>
      <c r="U888" s="776"/>
      <c r="V888" s="776"/>
      <c r="W888" s="776"/>
      <c r="X888" s="776"/>
      <c r="Y888" s="776"/>
      <c r="Z888" s="776"/>
      <c r="AA888" s="13"/>
    </row>
    <row r="889" spans="6:27">
      <c r="F889" s="776"/>
      <c r="G889" s="776"/>
      <c r="H889" s="776"/>
      <c r="I889" s="776"/>
      <c r="J889" s="776"/>
      <c r="K889" s="776"/>
      <c r="L889" s="776"/>
      <c r="M889" s="776"/>
      <c r="O889" s="776"/>
      <c r="P889" s="776"/>
      <c r="Q889" s="776"/>
      <c r="R889" s="776"/>
      <c r="S889" s="776"/>
      <c r="T889" s="776"/>
      <c r="U889" s="776"/>
      <c r="V889" s="776"/>
      <c r="W889" s="776"/>
      <c r="X889" s="776"/>
      <c r="Y889" s="776"/>
      <c r="Z889" s="776"/>
      <c r="AA889" s="13"/>
    </row>
    <row r="890" spans="6:27">
      <c r="F890" s="776"/>
      <c r="G890" s="776"/>
      <c r="H890" s="776"/>
      <c r="I890" s="776"/>
      <c r="J890" s="776"/>
      <c r="K890" s="776"/>
      <c r="L890" s="776"/>
      <c r="M890" s="776"/>
      <c r="O890" s="776"/>
      <c r="P890" s="776"/>
      <c r="Q890" s="776"/>
      <c r="R890" s="776"/>
      <c r="S890" s="776"/>
      <c r="T890" s="776"/>
      <c r="U890" s="776"/>
      <c r="V890" s="776"/>
      <c r="W890" s="776"/>
      <c r="X890" s="776"/>
      <c r="Y890" s="776"/>
      <c r="Z890" s="776"/>
      <c r="AA890" s="13"/>
    </row>
    <row r="891" spans="6:27">
      <c r="F891" s="776"/>
      <c r="G891" s="776"/>
      <c r="H891" s="776"/>
      <c r="I891" s="776"/>
      <c r="J891" s="776"/>
      <c r="K891" s="776"/>
      <c r="L891" s="776"/>
      <c r="M891" s="776"/>
      <c r="O891" s="776"/>
      <c r="P891" s="776"/>
      <c r="Q891" s="776"/>
      <c r="R891" s="776"/>
      <c r="S891" s="776"/>
      <c r="T891" s="776"/>
      <c r="U891" s="776"/>
      <c r="V891" s="776"/>
      <c r="W891" s="776"/>
      <c r="X891" s="776"/>
      <c r="Y891" s="776"/>
      <c r="Z891" s="776"/>
      <c r="AA891" s="13"/>
    </row>
    <row r="892" spans="6:27">
      <c r="F892" s="776"/>
      <c r="G892" s="776"/>
      <c r="H892" s="776"/>
      <c r="I892" s="776"/>
      <c r="J892" s="776"/>
      <c r="K892" s="776"/>
      <c r="L892" s="776"/>
      <c r="M892" s="776"/>
      <c r="O892" s="776"/>
      <c r="P892" s="776"/>
      <c r="Q892" s="776"/>
      <c r="R892" s="776"/>
      <c r="S892" s="776"/>
      <c r="T892" s="776"/>
      <c r="U892" s="776"/>
      <c r="V892" s="776"/>
      <c r="W892" s="776"/>
      <c r="X892" s="776"/>
      <c r="Y892" s="776"/>
      <c r="Z892" s="776"/>
      <c r="AA892" s="13"/>
    </row>
    <row r="893" spans="6:27">
      <c r="F893" s="776"/>
      <c r="G893" s="776"/>
      <c r="H893" s="776"/>
      <c r="I893" s="776"/>
      <c r="J893" s="776"/>
      <c r="K893" s="776"/>
      <c r="L893" s="776"/>
      <c r="M893" s="776"/>
      <c r="O893" s="776"/>
      <c r="P893" s="776"/>
      <c r="Q893" s="776"/>
      <c r="R893" s="776"/>
      <c r="S893" s="776"/>
      <c r="T893" s="776"/>
      <c r="U893" s="776"/>
      <c r="V893" s="776"/>
      <c r="W893" s="776"/>
      <c r="X893" s="776"/>
      <c r="Y893" s="776"/>
      <c r="Z893" s="776"/>
      <c r="AA893" s="13"/>
    </row>
    <row r="894" spans="6:27">
      <c r="F894" s="776"/>
      <c r="G894" s="776"/>
      <c r="H894" s="776"/>
      <c r="I894" s="776"/>
      <c r="J894" s="776"/>
      <c r="K894" s="776"/>
      <c r="L894" s="776"/>
      <c r="M894" s="776"/>
      <c r="O894" s="776"/>
      <c r="P894" s="776"/>
      <c r="Q894" s="776"/>
      <c r="R894" s="776"/>
      <c r="S894" s="776"/>
      <c r="T894" s="776"/>
      <c r="U894" s="776"/>
      <c r="V894" s="776"/>
      <c r="W894" s="776"/>
      <c r="X894" s="776"/>
      <c r="Y894" s="776"/>
      <c r="Z894" s="776"/>
      <c r="AA894" s="13"/>
    </row>
    <row r="895" spans="6:27">
      <c r="F895" s="776"/>
      <c r="G895" s="776"/>
      <c r="H895" s="776"/>
      <c r="I895" s="776"/>
      <c r="J895" s="776"/>
      <c r="K895" s="776"/>
      <c r="L895" s="776"/>
      <c r="M895" s="776"/>
      <c r="O895" s="776"/>
      <c r="P895" s="776"/>
      <c r="Q895" s="776"/>
      <c r="R895" s="776"/>
      <c r="S895" s="776"/>
      <c r="T895" s="776"/>
      <c r="U895" s="776"/>
      <c r="V895" s="776"/>
      <c r="W895" s="776"/>
      <c r="X895" s="776"/>
      <c r="Y895" s="776"/>
      <c r="Z895" s="776"/>
      <c r="AA895" s="13"/>
    </row>
    <row r="896" spans="6:27">
      <c r="F896" s="776"/>
      <c r="G896" s="776"/>
      <c r="H896" s="776"/>
      <c r="I896" s="776"/>
      <c r="J896" s="776"/>
      <c r="K896" s="776"/>
      <c r="L896" s="776"/>
      <c r="M896" s="776"/>
      <c r="O896" s="776"/>
      <c r="P896" s="776"/>
      <c r="Q896" s="776"/>
      <c r="R896" s="776"/>
      <c r="S896" s="776"/>
      <c r="T896" s="776"/>
      <c r="U896" s="776"/>
      <c r="V896" s="776"/>
      <c r="W896" s="776"/>
      <c r="X896" s="776"/>
      <c r="Y896" s="776"/>
      <c r="Z896" s="776"/>
      <c r="AA896" s="13"/>
    </row>
    <row r="897" spans="6:27">
      <c r="F897" s="776"/>
      <c r="G897" s="776"/>
      <c r="H897" s="776"/>
      <c r="I897" s="776"/>
      <c r="J897" s="776"/>
      <c r="K897" s="776"/>
      <c r="L897" s="776"/>
      <c r="M897" s="776"/>
      <c r="O897" s="776"/>
      <c r="P897" s="776"/>
      <c r="Q897" s="776"/>
      <c r="R897" s="776"/>
      <c r="S897" s="776"/>
      <c r="T897" s="776"/>
      <c r="U897" s="776"/>
      <c r="V897" s="776"/>
      <c r="W897" s="776"/>
      <c r="X897" s="776"/>
      <c r="Y897" s="776"/>
      <c r="Z897" s="776"/>
      <c r="AA897" s="13"/>
    </row>
    <row r="898" spans="6:27">
      <c r="F898" s="776"/>
      <c r="G898" s="776"/>
      <c r="H898" s="776"/>
      <c r="I898" s="776"/>
      <c r="J898" s="776"/>
      <c r="K898" s="776"/>
      <c r="L898" s="776"/>
      <c r="M898" s="776"/>
      <c r="O898" s="776"/>
      <c r="P898" s="776"/>
      <c r="Q898" s="776"/>
      <c r="R898" s="776"/>
      <c r="S898" s="776"/>
      <c r="T898" s="776"/>
      <c r="U898" s="776"/>
      <c r="V898" s="776"/>
      <c r="W898" s="776"/>
      <c r="X898" s="776"/>
      <c r="Y898" s="776"/>
      <c r="Z898" s="776"/>
      <c r="AA898" s="13"/>
    </row>
    <row r="899" spans="6:27">
      <c r="F899" s="776"/>
      <c r="G899" s="776"/>
      <c r="H899" s="776"/>
      <c r="I899" s="776"/>
      <c r="J899" s="776"/>
      <c r="K899" s="776"/>
      <c r="L899" s="776"/>
      <c r="M899" s="776"/>
      <c r="O899" s="776"/>
      <c r="P899" s="776"/>
      <c r="Q899" s="776"/>
      <c r="R899" s="776"/>
      <c r="S899" s="776"/>
      <c r="T899" s="776"/>
      <c r="U899" s="776"/>
      <c r="V899" s="776"/>
      <c r="W899" s="776"/>
      <c r="X899" s="776"/>
      <c r="Y899" s="776"/>
      <c r="Z899" s="776"/>
      <c r="AA899" s="13"/>
    </row>
    <row r="900" spans="6:27">
      <c r="F900" s="776"/>
      <c r="G900" s="776"/>
      <c r="H900" s="776"/>
      <c r="I900" s="776"/>
      <c r="J900" s="776"/>
      <c r="K900" s="776"/>
      <c r="L900" s="776"/>
      <c r="M900" s="776"/>
      <c r="O900" s="776"/>
      <c r="P900" s="776"/>
      <c r="Q900" s="776"/>
      <c r="R900" s="776"/>
      <c r="S900" s="776"/>
      <c r="T900" s="776"/>
      <c r="U900" s="776"/>
      <c r="V900" s="776"/>
      <c r="W900" s="776"/>
      <c r="X900" s="776"/>
      <c r="Y900" s="776"/>
      <c r="Z900" s="776"/>
      <c r="AA900" s="13"/>
    </row>
    <row r="901" spans="6:27">
      <c r="F901" s="776"/>
      <c r="G901" s="776"/>
      <c r="H901" s="776"/>
      <c r="I901" s="776"/>
      <c r="J901" s="776"/>
      <c r="K901" s="776"/>
      <c r="L901" s="776"/>
      <c r="M901" s="776"/>
      <c r="O901" s="776"/>
      <c r="P901" s="776"/>
      <c r="Q901" s="776"/>
      <c r="R901" s="776"/>
      <c r="S901" s="776"/>
      <c r="T901" s="776"/>
      <c r="U901" s="776"/>
      <c r="V901" s="776"/>
      <c r="W901" s="776"/>
      <c r="X901" s="776"/>
      <c r="Y901" s="776"/>
      <c r="Z901" s="776"/>
      <c r="AA901" s="13"/>
    </row>
    <row r="902" spans="6:27">
      <c r="F902" s="776"/>
      <c r="G902" s="776"/>
      <c r="H902" s="776"/>
      <c r="I902" s="776"/>
      <c r="J902" s="776"/>
      <c r="K902" s="776"/>
      <c r="L902" s="776"/>
      <c r="M902" s="776"/>
      <c r="O902" s="776"/>
      <c r="P902" s="776"/>
      <c r="Q902" s="776"/>
      <c r="R902" s="776"/>
      <c r="S902" s="776"/>
      <c r="T902" s="776"/>
      <c r="U902" s="776"/>
      <c r="V902" s="776"/>
      <c r="W902" s="776"/>
      <c r="X902" s="776"/>
      <c r="Y902" s="776"/>
      <c r="Z902" s="776"/>
      <c r="AA902" s="13"/>
    </row>
    <row r="903" spans="6:27">
      <c r="F903" s="776"/>
      <c r="G903" s="776"/>
      <c r="H903" s="776"/>
      <c r="I903" s="776"/>
      <c r="J903" s="776"/>
      <c r="K903" s="776"/>
      <c r="L903" s="776"/>
      <c r="M903" s="776"/>
      <c r="O903" s="776"/>
      <c r="P903" s="776"/>
      <c r="Q903" s="776"/>
      <c r="R903" s="776"/>
      <c r="S903" s="776"/>
      <c r="T903" s="776"/>
      <c r="U903" s="776"/>
      <c r="V903" s="776"/>
      <c r="W903" s="776"/>
      <c r="X903" s="776"/>
      <c r="Y903" s="776"/>
      <c r="Z903" s="776"/>
      <c r="AA903" s="13"/>
    </row>
    <row r="904" spans="6:27">
      <c r="F904" s="776"/>
      <c r="G904" s="776"/>
      <c r="H904" s="776"/>
      <c r="I904" s="776"/>
      <c r="J904" s="776"/>
      <c r="K904" s="776"/>
      <c r="L904" s="776"/>
      <c r="M904" s="776"/>
      <c r="O904" s="776"/>
      <c r="P904" s="776"/>
      <c r="Q904" s="776"/>
      <c r="R904" s="776"/>
      <c r="S904" s="776"/>
      <c r="T904" s="776"/>
      <c r="U904" s="776"/>
      <c r="V904" s="776"/>
      <c r="W904" s="776"/>
      <c r="X904" s="776"/>
      <c r="Y904" s="776"/>
      <c r="Z904" s="776"/>
      <c r="AA904" s="13"/>
    </row>
    <row r="905" spans="6:27">
      <c r="F905" s="776"/>
      <c r="G905" s="776"/>
      <c r="H905" s="776"/>
      <c r="I905" s="776"/>
      <c r="J905" s="776"/>
      <c r="K905" s="776"/>
      <c r="L905" s="776"/>
      <c r="M905" s="776"/>
      <c r="O905" s="776"/>
      <c r="P905" s="776"/>
      <c r="Q905" s="776"/>
      <c r="R905" s="776"/>
      <c r="S905" s="776"/>
      <c r="T905" s="776"/>
      <c r="U905" s="776"/>
      <c r="V905" s="776"/>
      <c r="W905" s="776"/>
      <c r="X905" s="776"/>
      <c r="Y905" s="776"/>
      <c r="Z905" s="776"/>
      <c r="AA905" s="13"/>
    </row>
    <row r="906" spans="6:27">
      <c r="F906" s="776"/>
      <c r="G906" s="776"/>
      <c r="H906" s="776"/>
      <c r="I906" s="776"/>
      <c r="J906" s="776"/>
      <c r="K906" s="776"/>
      <c r="L906" s="776"/>
      <c r="M906" s="776"/>
      <c r="O906" s="776"/>
      <c r="P906" s="776"/>
      <c r="Q906" s="776"/>
      <c r="R906" s="776"/>
      <c r="S906" s="776"/>
      <c r="T906" s="776"/>
      <c r="U906" s="776"/>
      <c r="V906" s="776"/>
      <c r="W906" s="776"/>
      <c r="X906" s="776"/>
      <c r="Y906" s="776"/>
      <c r="Z906" s="776"/>
      <c r="AA906" s="13"/>
    </row>
    <row r="907" spans="6:27">
      <c r="F907" s="776"/>
      <c r="G907" s="776"/>
      <c r="H907" s="776"/>
      <c r="I907" s="776"/>
      <c r="J907" s="776"/>
      <c r="K907" s="776"/>
      <c r="L907" s="776"/>
      <c r="M907" s="776"/>
      <c r="O907" s="776"/>
      <c r="P907" s="776"/>
      <c r="Q907" s="776"/>
      <c r="R907" s="776"/>
      <c r="S907" s="776"/>
      <c r="T907" s="776"/>
      <c r="U907" s="776"/>
      <c r="V907" s="776"/>
      <c r="W907" s="776"/>
      <c r="X907" s="776"/>
      <c r="Y907" s="776"/>
      <c r="Z907" s="776"/>
      <c r="AA907" s="13"/>
    </row>
    <row r="908" spans="6:27">
      <c r="F908" s="776"/>
      <c r="G908" s="776"/>
      <c r="H908" s="776"/>
      <c r="I908" s="776"/>
      <c r="J908" s="776"/>
      <c r="K908" s="776"/>
      <c r="L908" s="776"/>
      <c r="M908" s="776"/>
      <c r="O908" s="776"/>
      <c r="P908" s="776"/>
      <c r="Q908" s="776"/>
      <c r="R908" s="776"/>
      <c r="S908" s="776"/>
      <c r="T908" s="776"/>
      <c r="U908" s="776"/>
      <c r="V908" s="776"/>
      <c r="W908" s="776"/>
      <c r="X908" s="776"/>
      <c r="Y908" s="776"/>
      <c r="Z908" s="776"/>
      <c r="AA908" s="13"/>
    </row>
    <row r="909" spans="6:27">
      <c r="F909" s="776"/>
      <c r="G909" s="776"/>
      <c r="H909" s="776"/>
      <c r="I909" s="776"/>
      <c r="J909" s="776"/>
      <c r="K909" s="776"/>
      <c r="L909" s="776"/>
      <c r="M909" s="776"/>
      <c r="O909" s="776"/>
      <c r="P909" s="776"/>
      <c r="Q909" s="776"/>
      <c r="R909" s="776"/>
      <c r="S909" s="776"/>
      <c r="T909" s="776"/>
      <c r="U909" s="776"/>
      <c r="V909" s="776"/>
      <c r="W909" s="776"/>
      <c r="X909" s="776"/>
      <c r="Y909" s="776"/>
      <c r="Z909" s="776"/>
      <c r="AA909" s="13"/>
    </row>
    <row r="910" spans="6:27">
      <c r="F910" s="776"/>
      <c r="G910" s="776"/>
      <c r="H910" s="776"/>
      <c r="I910" s="776"/>
      <c r="J910" s="776"/>
      <c r="K910" s="776"/>
      <c r="L910" s="776"/>
      <c r="M910" s="776"/>
      <c r="O910" s="776"/>
      <c r="P910" s="776"/>
      <c r="Q910" s="776"/>
      <c r="R910" s="776"/>
      <c r="S910" s="776"/>
      <c r="T910" s="776"/>
      <c r="U910" s="776"/>
      <c r="V910" s="776"/>
      <c r="W910" s="776"/>
      <c r="X910" s="776"/>
      <c r="Y910" s="776"/>
      <c r="Z910" s="776"/>
      <c r="AA910" s="13"/>
    </row>
    <row r="911" spans="6:27">
      <c r="F911" s="776"/>
      <c r="G911" s="776"/>
      <c r="H911" s="776"/>
      <c r="I911" s="776"/>
      <c r="J911" s="776"/>
      <c r="K911" s="776"/>
      <c r="L911" s="776"/>
      <c r="M911" s="776"/>
      <c r="O911" s="776"/>
      <c r="P911" s="776"/>
      <c r="Q911" s="776"/>
      <c r="R911" s="776"/>
      <c r="S911" s="776"/>
      <c r="T911" s="776"/>
      <c r="U911" s="776"/>
      <c r="V911" s="776"/>
      <c r="W911" s="776"/>
      <c r="X911" s="776"/>
      <c r="Y911" s="776"/>
      <c r="Z911" s="776"/>
      <c r="AA911" s="13"/>
    </row>
    <row r="912" spans="6:27">
      <c r="F912" s="776"/>
      <c r="G912" s="776"/>
      <c r="H912" s="776"/>
      <c r="I912" s="776"/>
      <c r="J912" s="776"/>
      <c r="K912" s="776"/>
      <c r="L912" s="776"/>
      <c r="M912" s="776"/>
      <c r="O912" s="776"/>
      <c r="P912" s="776"/>
      <c r="Q912" s="776"/>
      <c r="R912" s="776"/>
      <c r="S912" s="776"/>
      <c r="T912" s="776"/>
      <c r="U912" s="776"/>
      <c r="V912" s="776"/>
      <c r="W912" s="776"/>
      <c r="X912" s="776"/>
      <c r="Y912" s="776"/>
      <c r="Z912" s="776"/>
      <c r="AA912" s="13"/>
    </row>
    <row r="913" spans="6:27">
      <c r="F913" s="776"/>
      <c r="G913" s="776"/>
      <c r="H913" s="776"/>
      <c r="I913" s="776"/>
      <c r="J913" s="776"/>
      <c r="K913" s="776"/>
      <c r="L913" s="776"/>
      <c r="M913" s="776"/>
      <c r="O913" s="776"/>
      <c r="P913" s="776"/>
      <c r="Q913" s="776"/>
      <c r="R913" s="776"/>
      <c r="S913" s="776"/>
      <c r="T913" s="776"/>
      <c r="U913" s="776"/>
      <c r="V913" s="776"/>
      <c r="W913" s="776"/>
      <c r="X913" s="776"/>
      <c r="Y913" s="776"/>
      <c r="Z913" s="776"/>
      <c r="AA913" s="13"/>
    </row>
    <row r="914" spans="6:27">
      <c r="F914" s="776"/>
      <c r="G914" s="776"/>
      <c r="H914" s="776"/>
      <c r="I914" s="776"/>
      <c r="J914" s="776"/>
      <c r="K914" s="776"/>
      <c r="L914" s="776"/>
      <c r="M914" s="776"/>
      <c r="O914" s="776"/>
      <c r="P914" s="776"/>
      <c r="Q914" s="776"/>
      <c r="R914" s="776"/>
      <c r="S914" s="776"/>
      <c r="T914" s="776"/>
      <c r="U914" s="776"/>
      <c r="V914" s="776"/>
      <c r="W914" s="776"/>
      <c r="X914" s="776"/>
      <c r="Y914" s="776"/>
      <c r="Z914" s="776"/>
      <c r="AA914" s="13"/>
    </row>
    <row r="915" spans="6:27">
      <c r="F915" s="776"/>
      <c r="G915" s="776"/>
      <c r="H915" s="776"/>
      <c r="I915" s="776"/>
      <c r="J915" s="776"/>
      <c r="K915" s="776"/>
      <c r="L915" s="776"/>
      <c r="M915" s="776"/>
      <c r="O915" s="776"/>
      <c r="P915" s="776"/>
      <c r="Q915" s="776"/>
      <c r="R915" s="776"/>
      <c r="S915" s="776"/>
      <c r="T915" s="776"/>
      <c r="U915" s="776"/>
      <c r="V915" s="776"/>
      <c r="W915" s="776"/>
      <c r="X915" s="776"/>
      <c r="Y915" s="776"/>
      <c r="Z915" s="776"/>
      <c r="AA915" s="13"/>
    </row>
    <row r="916" spans="6:27">
      <c r="F916" s="776"/>
      <c r="G916" s="776"/>
      <c r="H916" s="776"/>
      <c r="I916" s="776"/>
      <c r="J916" s="776"/>
      <c r="K916" s="776"/>
      <c r="L916" s="776"/>
      <c r="M916" s="776"/>
      <c r="O916" s="776"/>
      <c r="P916" s="776"/>
      <c r="Q916" s="776"/>
      <c r="R916" s="776"/>
      <c r="S916" s="776"/>
      <c r="T916" s="776"/>
      <c r="U916" s="776"/>
      <c r="V916" s="776"/>
      <c r="W916" s="776"/>
      <c r="X916" s="776"/>
      <c r="Y916" s="776"/>
      <c r="Z916" s="776"/>
      <c r="AA916" s="13"/>
    </row>
    <row r="917" spans="6:27">
      <c r="F917" s="776"/>
      <c r="G917" s="776"/>
      <c r="H917" s="776"/>
      <c r="I917" s="776"/>
      <c r="J917" s="776"/>
      <c r="K917" s="776"/>
      <c r="L917" s="776"/>
      <c r="M917" s="776"/>
      <c r="O917" s="776"/>
      <c r="P917" s="776"/>
      <c r="Q917" s="776"/>
      <c r="R917" s="776"/>
      <c r="S917" s="776"/>
      <c r="T917" s="776"/>
      <c r="U917" s="776"/>
      <c r="V917" s="776"/>
      <c r="W917" s="776"/>
      <c r="X917" s="776"/>
      <c r="Y917" s="776"/>
      <c r="Z917" s="776"/>
      <c r="AA917" s="13"/>
    </row>
    <row r="918" spans="6:27">
      <c r="F918" s="776"/>
      <c r="G918" s="776"/>
      <c r="H918" s="776"/>
      <c r="I918" s="776"/>
      <c r="J918" s="776"/>
      <c r="K918" s="776"/>
      <c r="L918" s="776"/>
      <c r="M918" s="776"/>
      <c r="O918" s="776"/>
      <c r="P918" s="776"/>
      <c r="Q918" s="776"/>
      <c r="R918" s="776"/>
      <c r="S918" s="776"/>
      <c r="T918" s="776"/>
      <c r="U918" s="776"/>
      <c r="V918" s="776"/>
      <c r="W918" s="776"/>
      <c r="X918" s="776"/>
      <c r="Y918" s="776"/>
      <c r="Z918" s="776"/>
      <c r="AA918" s="13"/>
    </row>
    <row r="919" spans="6:27">
      <c r="F919" s="776"/>
      <c r="G919" s="776"/>
      <c r="H919" s="776"/>
      <c r="I919" s="776"/>
      <c r="J919" s="776"/>
      <c r="K919" s="776"/>
      <c r="L919" s="776"/>
      <c r="M919" s="776"/>
      <c r="O919" s="776"/>
      <c r="P919" s="776"/>
      <c r="Q919" s="776"/>
      <c r="R919" s="776"/>
      <c r="S919" s="776"/>
      <c r="T919" s="776"/>
      <c r="U919" s="776"/>
      <c r="V919" s="776"/>
      <c r="W919" s="776"/>
      <c r="X919" s="776"/>
      <c r="Y919" s="776"/>
      <c r="Z919" s="776"/>
      <c r="AA919" s="13"/>
    </row>
    <row r="920" spans="6:27">
      <c r="F920" s="776"/>
      <c r="G920" s="776"/>
      <c r="H920" s="776"/>
      <c r="I920" s="776"/>
      <c r="J920" s="776"/>
      <c r="K920" s="776"/>
      <c r="L920" s="776"/>
      <c r="M920" s="776"/>
      <c r="O920" s="776"/>
      <c r="P920" s="776"/>
      <c r="Q920" s="776"/>
      <c r="R920" s="776"/>
      <c r="S920" s="776"/>
      <c r="T920" s="776"/>
      <c r="U920" s="776"/>
      <c r="V920" s="776"/>
      <c r="W920" s="776"/>
      <c r="X920" s="776"/>
      <c r="Y920" s="776"/>
      <c r="Z920" s="776"/>
      <c r="AA920" s="13"/>
    </row>
    <row r="921" spans="6:27">
      <c r="F921" s="776"/>
      <c r="G921" s="776"/>
      <c r="H921" s="776"/>
      <c r="I921" s="776"/>
      <c r="J921" s="776"/>
      <c r="K921" s="776"/>
      <c r="L921" s="776"/>
      <c r="M921" s="776"/>
      <c r="O921" s="776"/>
      <c r="P921" s="776"/>
      <c r="Q921" s="776"/>
      <c r="R921" s="776"/>
      <c r="S921" s="776"/>
      <c r="T921" s="776"/>
      <c r="U921" s="776"/>
      <c r="V921" s="776"/>
      <c r="W921" s="776"/>
      <c r="X921" s="776"/>
      <c r="Y921" s="776"/>
      <c r="Z921" s="776"/>
      <c r="AA921" s="13"/>
    </row>
    <row r="922" spans="6:27">
      <c r="F922" s="776"/>
      <c r="G922" s="776"/>
      <c r="H922" s="776"/>
      <c r="I922" s="776"/>
      <c r="J922" s="776"/>
      <c r="K922" s="776"/>
      <c r="L922" s="776"/>
      <c r="M922" s="776"/>
      <c r="O922" s="776"/>
      <c r="P922" s="776"/>
      <c r="Q922" s="776"/>
      <c r="R922" s="776"/>
      <c r="S922" s="776"/>
      <c r="T922" s="776"/>
      <c r="U922" s="776"/>
      <c r="V922" s="776"/>
      <c r="W922" s="776"/>
      <c r="X922" s="776"/>
      <c r="Y922" s="776"/>
      <c r="Z922" s="776"/>
      <c r="AA922" s="13"/>
    </row>
    <row r="923" spans="6:27">
      <c r="F923" s="776"/>
      <c r="G923" s="776"/>
      <c r="H923" s="776"/>
      <c r="I923" s="776"/>
      <c r="J923" s="776"/>
      <c r="K923" s="776"/>
      <c r="L923" s="776"/>
      <c r="M923" s="776"/>
      <c r="O923" s="776"/>
      <c r="P923" s="776"/>
      <c r="Q923" s="776"/>
      <c r="R923" s="776"/>
      <c r="S923" s="776"/>
      <c r="T923" s="776"/>
      <c r="U923" s="776"/>
      <c r="V923" s="776"/>
      <c r="W923" s="776"/>
      <c r="X923" s="776"/>
      <c r="Y923" s="776"/>
      <c r="Z923" s="776"/>
      <c r="AA923" s="13"/>
    </row>
    <row r="924" spans="6:27">
      <c r="F924" s="776"/>
      <c r="G924" s="776"/>
      <c r="H924" s="776"/>
      <c r="I924" s="776"/>
      <c r="J924" s="776"/>
      <c r="K924" s="776"/>
      <c r="L924" s="776"/>
      <c r="M924" s="776"/>
      <c r="O924" s="776"/>
      <c r="P924" s="776"/>
      <c r="Q924" s="776"/>
      <c r="R924" s="776"/>
      <c r="S924" s="776"/>
      <c r="T924" s="776"/>
      <c r="U924" s="776"/>
      <c r="V924" s="776"/>
      <c r="W924" s="776"/>
      <c r="X924" s="776"/>
      <c r="Y924" s="776"/>
      <c r="Z924" s="776"/>
      <c r="AA924" s="13"/>
    </row>
    <row r="925" spans="6:27">
      <c r="F925" s="776"/>
      <c r="G925" s="776"/>
      <c r="H925" s="776"/>
      <c r="I925" s="776"/>
      <c r="J925" s="776"/>
      <c r="K925" s="776"/>
      <c r="L925" s="776"/>
      <c r="M925" s="776"/>
      <c r="O925" s="776"/>
      <c r="P925" s="776"/>
      <c r="Q925" s="776"/>
      <c r="R925" s="776"/>
      <c r="S925" s="776"/>
      <c r="T925" s="776"/>
      <c r="U925" s="776"/>
      <c r="V925" s="776"/>
      <c r="W925" s="776"/>
      <c r="X925" s="776"/>
      <c r="Y925" s="776"/>
      <c r="Z925" s="776"/>
      <c r="AA925" s="13"/>
    </row>
    <row r="926" spans="6:27">
      <c r="F926" s="776"/>
      <c r="G926" s="776"/>
      <c r="H926" s="776"/>
      <c r="I926" s="776"/>
      <c r="J926" s="776"/>
      <c r="K926" s="776"/>
      <c r="L926" s="776"/>
      <c r="M926" s="776"/>
      <c r="O926" s="776"/>
      <c r="P926" s="776"/>
      <c r="Q926" s="776"/>
      <c r="R926" s="776"/>
      <c r="S926" s="776"/>
      <c r="T926" s="776"/>
      <c r="U926" s="776"/>
      <c r="V926" s="776"/>
      <c r="W926" s="776"/>
      <c r="X926" s="776"/>
      <c r="Y926" s="776"/>
      <c r="Z926" s="776"/>
      <c r="AA926" s="13"/>
    </row>
    <row r="927" spans="6:27">
      <c r="F927" s="776"/>
      <c r="G927" s="776"/>
      <c r="H927" s="776"/>
      <c r="I927" s="776"/>
      <c r="J927" s="776"/>
      <c r="K927" s="776"/>
      <c r="L927" s="776"/>
      <c r="M927" s="776"/>
      <c r="O927" s="776"/>
      <c r="P927" s="776"/>
      <c r="Q927" s="776"/>
      <c r="R927" s="776"/>
      <c r="S927" s="776"/>
      <c r="T927" s="776"/>
      <c r="U927" s="776"/>
      <c r="V927" s="776"/>
      <c r="W927" s="776"/>
      <c r="X927" s="776"/>
      <c r="Y927" s="776"/>
      <c r="Z927" s="776"/>
      <c r="AA927" s="13"/>
    </row>
    <row r="928" spans="6:27">
      <c r="F928" s="776"/>
      <c r="G928" s="776"/>
      <c r="H928" s="776"/>
      <c r="I928" s="776"/>
      <c r="J928" s="776"/>
      <c r="K928" s="776"/>
      <c r="L928" s="776"/>
      <c r="M928" s="776"/>
      <c r="O928" s="776"/>
      <c r="P928" s="776"/>
      <c r="Q928" s="776"/>
      <c r="R928" s="776"/>
      <c r="S928" s="776"/>
      <c r="T928" s="776"/>
      <c r="U928" s="776"/>
      <c r="V928" s="776"/>
      <c r="W928" s="776"/>
      <c r="X928" s="776"/>
      <c r="Y928" s="776"/>
      <c r="Z928" s="776"/>
      <c r="AA928" s="13"/>
    </row>
    <row r="929" spans="6:27">
      <c r="F929" s="776"/>
      <c r="G929" s="776"/>
      <c r="H929" s="776"/>
      <c r="I929" s="776"/>
      <c r="J929" s="776"/>
      <c r="K929" s="776"/>
      <c r="L929" s="776"/>
      <c r="M929" s="776"/>
      <c r="O929" s="776"/>
      <c r="P929" s="776"/>
      <c r="Q929" s="776"/>
      <c r="R929" s="776"/>
      <c r="S929" s="776"/>
      <c r="T929" s="776"/>
      <c r="U929" s="776"/>
      <c r="V929" s="776"/>
      <c r="W929" s="776"/>
      <c r="X929" s="776"/>
      <c r="Y929" s="776"/>
      <c r="Z929" s="776"/>
      <c r="AA929" s="13"/>
    </row>
    <row r="930" spans="6:27">
      <c r="F930" s="776"/>
      <c r="G930" s="776"/>
      <c r="H930" s="776"/>
      <c r="I930" s="776"/>
      <c r="J930" s="776"/>
      <c r="K930" s="776"/>
      <c r="L930" s="776"/>
      <c r="M930" s="776"/>
      <c r="O930" s="776"/>
      <c r="P930" s="776"/>
      <c r="Q930" s="776"/>
      <c r="R930" s="776"/>
      <c r="S930" s="776"/>
      <c r="T930" s="776"/>
      <c r="U930" s="776"/>
      <c r="V930" s="776"/>
      <c r="W930" s="776"/>
      <c r="X930" s="776"/>
      <c r="Y930" s="776"/>
      <c r="Z930" s="776"/>
      <c r="AA930" s="13"/>
    </row>
    <row r="931" spans="6:27">
      <c r="F931" s="776"/>
      <c r="G931" s="776"/>
      <c r="H931" s="776"/>
      <c r="I931" s="776"/>
      <c r="J931" s="776"/>
      <c r="K931" s="776"/>
      <c r="L931" s="776"/>
      <c r="M931" s="776"/>
      <c r="O931" s="776"/>
      <c r="P931" s="776"/>
      <c r="Q931" s="776"/>
      <c r="R931" s="776"/>
      <c r="S931" s="776"/>
      <c r="T931" s="776"/>
      <c r="U931" s="776"/>
      <c r="V931" s="776"/>
      <c r="W931" s="776"/>
      <c r="X931" s="776"/>
      <c r="Y931" s="776"/>
      <c r="Z931" s="776"/>
      <c r="AA931" s="13"/>
    </row>
    <row r="932" spans="6:27">
      <c r="F932" s="776"/>
      <c r="G932" s="776"/>
      <c r="H932" s="776"/>
      <c r="I932" s="776"/>
      <c r="J932" s="776"/>
      <c r="K932" s="776"/>
      <c r="L932" s="776"/>
      <c r="M932" s="776"/>
      <c r="O932" s="776"/>
      <c r="P932" s="776"/>
      <c r="Q932" s="776"/>
      <c r="R932" s="776"/>
      <c r="S932" s="776"/>
      <c r="T932" s="776"/>
      <c r="U932" s="776"/>
      <c r="V932" s="776"/>
      <c r="W932" s="776"/>
      <c r="X932" s="776"/>
      <c r="Y932" s="776"/>
      <c r="Z932" s="776"/>
      <c r="AA932" s="13"/>
    </row>
    <row r="933" spans="6:27">
      <c r="F933" s="776"/>
      <c r="G933" s="776"/>
      <c r="H933" s="776"/>
      <c r="I933" s="776"/>
      <c r="J933" s="776"/>
      <c r="K933" s="776"/>
      <c r="L933" s="776"/>
      <c r="M933" s="776"/>
      <c r="O933" s="776"/>
      <c r="P933" s="776"/>
      <c r="Q933" s="776"/>
      <c r="R933" s="776"/>
      <c r="S933" s="776"/>
      <c r="T933" s="776"/>
      <c r="U933" s="776"/>
      <c r="V933" s="776"/>
      <c r="W933" s="776"/>
      <c r="X933" s="776"/>
      <c r="Y933" s="776"/>
      <c r="Z933" s="776"/>
      <c r="AA933" s="13"/>
    </row>
    <row r="934" spans="6:27">
      <c r="F934" s="776"/>
      <c r="G934" s="776"/>
      <c r="H934" s="776"/>
      <c r="I934" s="776"/>
      <c r="J934" s="776"/>
      <c r="K934" s="776"/>
      <c r="L934" s="776"/>
      <c r="M934" s="776"/>
      <c r="O934" s="776"/>
      <c r="P934" s="776"/>
      <c r="Q934" s="776"/>
      <c r="R934" s="776"/>
      <c r="S934" s="776"/>
      <c r="T934" s="776"/>
      <c r="U934" s="776"/>
      <c r="V934" s="776"/>
      <c r="W934" s="776"/>
      <c r="X934" s="776"/>
      <c r="Y934" s="776"/>
      <c r="Z934" s="776"/>
      <c r="AA934" s="13"/>
    </row>
    <row r="935" spans="6:27">
      <c r="F935" s="776"/>
      <c r="G935" s="776"/>
      <c r="H935" s="776"/>
      <c r="I935" s="776"/>
      <c r="J935" s="776"/>
      <c r="K935" s="776"/>
      <c r="L935" s="776"/>
      <c r="M935" s="776"/>
      <c r="O935" s="776"/>
      <c r="P935" s="776"/>
      <c r="Q935" s="776"/>
      <c r="R935" s="776"/>
      <c r="S935" s="776"/>
      <c r="T935" s="776"/>
      <c r="U935" s="776"/>
      <c r="V935" s="776"/>
      <c r="W935" s="776"/>
      <c r="X935" s="776"/>
      <c r="Y935" s="776"/>
      <c r="Z935" s="776"/>
      <c r="AA935" s="13"/>
    </row>
    <row r="936" spans="6:27">
      <c r="F936" s="776"/>
      <c r="G936" s="776"/>
      <c r="H936" s="776"/>
      <c r="I936" s="776"/>
      <c r="J936" s="776"/>
      <c r="K936" s="776"/>
      <c r="L936" s="776"/>
      <c r="M936" s="776"/>
      <c r="O936" s="776"/>
      <c r="P936" s="776"/>
      <c r="Q936" s="776"/>
      <c r="R936" s="776"/>
      <c r="S936" s="776"/>
      <c r="T936" s="776"/>
      <c r="U936" s="776"/>
      <c r="V936" s="776"/>
      <c r="W936" s="776"/>
      <c r="X936" s="776"/>
      <c r="Y936" s="776"/>
      <c r="Z936" s="776"/>
      <c r="AA936" s="13"/>
    </row>
    <row r="937" spans="6:27">
      <c r="F937" s="776"/>
      <c r="G937" s="776"/>
      <c r="H937" s="776"/>
      <c r="I937" s="776"/>
      <c r="J937" s="776"/>
      <c r="K937" s="776"/>
      <c r="L937" s="776"/>
      <c r="M937" s="776"/>
      <c r="O937" s="776"/>
      <c r="P937" s="776"/>
      <c r="Q937" s="776"/>
      <c r="R937" s="776"/>
      <c r="S937" s="776"/>
      <c r="T937" s="776"/>
      <c r="U937" s="776"/>
      <c r="V937" s="776"/>
      <c r="W937" s="776"/>
      <c r="X937" s="776"/>
      <c r="Y937" s="776"/>
      <c r="Z937" s="776"/>
      <c r="AA937" s="13"/>
    </row>
    <row r="938" spans="6:27">
      <c r="F938" s="776"/>
      <c r="G938" s="776"/>
      <c r="H938" s="776"/>
      <c r="I938" s="776"/>
      <c r="J938" s="776"/>
      <c r="K938" s="776"/>
      <c r="L938" s="776"/>
      <c r="M938" s="776"/>
      <c r="O938" s="776"/>
      <c r="P938" s="776"/>
      <c r="Q938" s="776"/>
      <c r="R938" s="776"/>
      <c r="S938" s="776"/>
      <c r="T938" s="776"/>
      <c r="U938" s="776"/>
      <c r="V938" s="776"/>
      <c r="W938" s="776"/>
      <c r="X938" s="776"/>
      <c r="Y938" s="776"/>
      <c r="Z938" s="776"/>
      <c r="AA938" s="13"/>
    </row>
    <row r="939" spans="6:27">
      <c r="F939" s="776"/>
      <c r="G939" s="776"/>
      <c r="H939" s="776"/>
      <c r="I939" s="776"/>
      <c r="J939" s="776"/>
      <c r="K939" s="776"/>
      <c r="L939" s="776"/>
      <c r="M939" s="776"/>
      <c r="O939" s="776"/>
      <c r="P939" s="776"/>
      <c r="Q939" s="776"/>
      <c r="R939" s="776"/>
      <c r="S939" s="776"/>
      <c r="T939" s="776"/>
      <c r="U939" s="776"/>
      <c r="V939" s="776"/>
      <c r="W939" s="776"/>
      <c r="X939" s="776"/>
      <c r="Y939" s="776"/>
      <c r="Z939" s="776"/>
      <c r="AA939" s="13"/>
    </row>
    <row r="940" spans="6:27">
      <c r="F940" s="776"/>
      <c r="G940" s="776"/>
      <c r="H940" s="776"/>
      <c r="I940" s="776"/>
      <c r="J940" s="776"/>
      <c r="K940" s="776"/>
      <c r="L940" s="776"/>
      <c r="M940" s="776"/>
      <c r="O940" s="776"/>
      <c r="P940" s="776"/>
      <c r="Q940" s="776"/>
      <c r="R940" s="776"/>
      <c r="S940" s="776"/>
      <c r="T940" s="776"/>
      <c r="U940" s="776"/>
      <c r="V940" s="776"/>
      <c r="W940" s="776"/>
      <c r="X940" s="776"/>
      <c r="Y940" s="776"/>
      <c r="Z940" s="776"/>
      <c r="AA940" s="13"/>
    </row>
    <row r="941" spans="6:27">
      <c r="F941" s="776"/>
      <c r="G941" s="776"/>
      <c r="H941" s="776"/>
      <c r="I941" s="776"/>
      <c r="J941" s="776"/>
      <c r="K941" s="776"/>
      <c r="L941" s="776"/>
      <c r="M941" s="776"/>
      <c r="O941" s="776"/>
      <c r="P941" s="776"/>
      <c r="Q941" s="776"/>
      <c r="R941" s="776"/>
      <c r="S941" s="776"/>
      <c r="T941" s="776"/>
      <c r="U941" s="776"/>
      <c r="V941" s="776"/>
      <c r="W941" s="776"/>
      <c r="X941" s="776"/>
      <c r="Y941" s="776"/>
      <c r="Z941" s="776"/>
      <c r="AA941" s="13"/>
    </row>
    <row r="942" spans="6:27">
      <c r="F942" s="776"/>
      <c r="G942" s="776"/>
      <c r="H942" s="776"/>
      <c r="I942" s="776"/>
      <c r="J942" s="776"/>
      <c r="K942" s="776"/>
      <c r="L942" s="776"/>
      <c r="M942" s="776"/>
      <c r="O942" s="776"/>
      <c r="P942" s="776"/>
      <c r="Q942" s="776"/>
      <c r="R942" s="776"/>
      <c r="S942" s="776"/>
      <c r="T942" s="776"/>
      <c r="U942" s="776"/>
      <c r="V942" s="776"/>
      <c r="W942" s="776"/>
      <c r="X942" s="776"/>
      <c r="Y942" s="776"/>
      <c r="Z942" s="776"/>
      <c r="AA942" s="13"/>
    </row>
    <row r="943" spans="6:27">
      <c r="F943" s="776"/>
      <c r="G943" s="776"/>
      <c r="H943" s="776"/>
      <c r="I943" s="776"/>
      <c r="J943" s="776"/>
      <c r="K943" s="776"/>
      <c r="L943" s="776"/>
      <c r="M943" s="776"/>
      <c r="O943" s="776"/>
      <c r="P943" s="776"/>
      <c r="Q943" s="776"/>
      <c r="R943" s="776"/>
      <c r="S943" s="776"/>
      <c r="T943" s="776"/>
      <c r="U943" s="776"/>
      <c r="V943" s="776"/>
      <c r="W943" s="776"/>
      <c r="X943" s="776"/>
      <c r="Y943" s="776"/>
      <c r="Z943" s="776"/>
      <c r="AA943" s="13"/>
    </row>
    <row r="944" spans="6:27">
      <c r="F944" s="776"/>
      <c r="G944" s="776"/>
      <c r="H944" s="776"/>
      <c r="I944" s="776"/>
      <c r="J944" s="776"/>
      <c r="K944" s="776"/>
      <c r="L944" s="776"/>
      <c r="M944" s="776"/>
      <c r="O944" s="776"/>
      <c r="P944" s="776"/>
      <c r="Q944" s="776"/>
      <c r="R944" s="776"/>
      <c r="S944" s="776"/>
      <c r="T944" s="776"/>
      <c r="U944" s="776"/>
      <c r="V944" s="776"/>
      <c r="W944" s="776"/>
      <c r="X944" s="776"/>
      <c r="Y944" s="776"/>
      <c r="Z944" s="776"/>
      <c r="AA944" s="13"/>
    </row>
    <row r="945" spans="6:27">
      <c r="F945" s="776"/>
      <c r="G945" s="776"/>
      <c r="H945" s="776"/>
      <c r="I945" s="776"/>
      <c r="J945" s="776"/>
      <c r="K945" s="776"/>
      <c r="L945" s="776"/>
      <c r="M945" s="776"/>
      <c r="O945" s="776"/>
      <c r="P945" s="776"/>
      <c r="Q945" s="776"/>
      <c r="R945" s="776"/>
      <c r="S945" s="776"/>
      <c r="T945" s="776"/>
      <c r="U945" s="776"/>
      <c r="V945" s="776"/>
      <c r="W945" s="776"/>
      <c r="X945" s="776"/>
      <c r="Y945" s="776"/>
      <c r="Z945" s="776"/>
      <c r="AA945" s="13"/>
    </row>
    <row r="946" spans="6:27">
      <c r="F946" s="776"/>
      <c r="G946" s="776"/>
      <c r="H946" s="776"/>
      <c r="I946" s="776"/>
      <c r="J946" s="776"/>
      <c r="K946" s="776"/>
      <c r="L946" s="776"/>
      <c r="M946" s="776"/>
      <c r="O946" s="776"/>
      <c r="P946" s="776"/>
      <c r="Q946" s="776"/>
      <c r="R946" s="776"/>
      <c r="S946" s="776"/>
      <c r="T946" s="776"/>
      <c r="U946" s="776"/>
      <c r="V946" s="776"/>
      <c r="W946" s="776"/>
      <c r="X946" s="776"/>
      <c r="Y946" s="776"/>
      <c r="Z946" s="776"/>
      <c r="AA946" s="13"/>
    </row>
    <row r="947" spans="6:27">
      <c r="F947" s="776"/>
      <c r="G947" s="776"/>
      <c r="H947" s="776"/>
      <c r="I947" s="776"/>
      <c r="J947" s="776"/>
      <c r="K947" s="776"/>
      <c r="L947" s="776"/>
      <c r="M947" s="776"/>
      <c r="O947" s="776"/>
      <c r="P947" s="776"/>
      <c r="Q947" s="776"/>
      <c r="R947" s="776"/>
      <c r="S947" s="776"/>
      <c r="T947" s="776"/>
      <c r="U947" s="776"/>
      <c r="V947" s="776"/>
      <c r="W947" s="776"/>
      <c r="X947" s="776"/>
      <c r="Y947" s="776"/>
      <c r="Z947" s="776"/>
      <c r="AA947" s="13"/>
    </row>
    <row r="948" spans="6:27">
      <c r="F948" s="776"/>
      <c r="G948" s="776"/>
      <c r="H948" s="776"/>
      <c r="I948" s="776"/>
      <c r="J948" s="776"/>
      <c r="K948" s="776"/>
      <c r="L948" s="776"/>
      <c r="M948" s="776"/>
      <c r="O948" s="776"/>
      <c r="P948" s="776"/>
      <c r="Q948" s="776"/>
      <c r="R948" s="776"/>
      <c r="S948" s="776"/>
      <c r="T948" s="776"/>
      <c r="U948" s="776"/>
      <c r="V948" s="776"/>
      <c r="W948" s="776"/>
      <c r="X948" s="776"/>
      <c r="Y948" s="776"/>
      <c r="Z948" s="776"/>
      <c r="AA948" s="13"/>
    </row>
    <row r="949" spans="6:27">
      <c r="F949" s="776"/>
      <c r="G949" s="776"/>
      <c r="H949" s="776"/>
      <c r="I949" s="776"/>
      <c r="J949" s="776"/>
      <c r="K949" s="776"/>
      <c r="L949" s="776"/>
      <c r="M949" s="776"/>
      <c r="O949" s="776"/>
      <c r="P949" s="776"/>
      <c r="Q949" s="776"/>
      <c r="R949" s="776"/>
      <c r="S949" s="776"/>
      <c r="T949" s="776"/>
      <c r="U949" s="776"/>
      <c r="V949" s="776"/>
      <c r="W949" s="776"/>
      <c r="X949" s="776"/>
      <c r="Y949" s="776"/>
      <c r="Z949" s="776"/>
      <c r="AA949" s="13"/>
    </row>
    <row r="950" spans="6:27">
      <c r="F950" s="776"/>
      <c r="G950" s="776"/>
      <c r="H950" s="776"/>
      <c r="I950" s="776"/>
      <c r="J950" s="776"/>
      <c r="K950" s="776"/>
      <c r="L950" s="776"/>
      <c r="M950" s="776"/>
      <c r="O950" s="776"/>
      <c r="P950" s="776"/>
      <c r="Q950" s="776"/>
      <c r="R950" s="776"/>
      <c r="S950" s="776"/>
      <c r="T950" s="776"/>
      <c r="U950" s="776"/>
      <c r="V950" s="776"/>
      <c r="W950" s="776"/>
      <c r="X950" s="776"/>
      <c r="Y950" s="776"/>
      <c r="Z950" s="776"/>
      <c r="AA950" s="13"/>
    </row>
    <row r="951" spans="6:27">
      <c r="F951" s="776"/>
      <c r="G951" s="776"/>
      <c r="H951" s="776"/>
      <c r="I951" s="776"/>
      <c r="J951" s="776"/>
      <c r="K951" s="776"/>
      <c r="L951" s="776"/>
      <c r="M951" s="776"/>
      <c r="O951" s="776"/>
      <c r="P951" s="776"/>
      <c r="Q951" s="776"/>
      <c r="R951" s="776"/>
      <c r="S951" s="776"/>
      <c r="T951" s="776"/>
      <c r="U951" s="776"/>
      <c r="V951" s="776"/>
      <c r="W951" s="776"/>
      <c r="X951" s="776"/>
      <c r="Y951" s="776"/>
      <c r="Z951" s="776"/>
      <c r="AA951" s="13"/>
    </row>
    <row r="952" spans="6:27">
      <c r="F952" s="776"/>
      <c r="G952" s="776"/>
      <c r="H952" s="776"/>
      <c r="I952" s="776"/>
      <c r="J952" s="776"/>
      <c r="K952" s="776"/>
      <c r="L952" s="776"/>
      <c r="M952" s="776"/>
      <c r="O952" s="776"/>
      <c r="P952" s="776"/>
      <c r="Q952" s="776"/>
      <c r="R952" s="776"/>
      <c r="S952" s="776"/>
      <c r="T952" s="776"/>
      <c r="U952" s="776"/>
      <c r="V952" s="776"/>
      <c r="W952" s="776"/>
      <c r="X952" s="776"/>
      <c r="Y952" s="776"/>
      <c r="Z952" s="776"/>
      <c r="AA952" s="13"/>
    </row>
    <row r="953" spans="6:27">
      <c r="F953" s="776"/>
      <c r="G953" s="776"/>
      <c r="H953" s="776"/>
      <c r="I953" s="776"/>
      <c r="J953" s="776"/>
      <c r="K953" s="776"/>
      <c r="L953" s="776"/>
      <c r="M953" s="776"/>
      <c r="O953" s="776"/>
      <c r="P953" s="776"/>
      <c r="Q953" s="776"/>
      <c r="R953" s="776"/>
      <c r="S953" s="776"/>
      <c r="T953" s="776"/>
      <c r="U953" s="776"/>
      <c r="V953" s="776"/>
      <c r="W953" s="776"/>
      <c r="X953" s="776"/>
      <c r="Y953" s="776"/>
      <c r="Z953" s="776"/>
      <c r="AA953" s="13"/>
    </row>
    <row r="954" spans="6:27">
      <c r="F954" s="776"/>
      <c r="G954" s="776"/>
      <c r="H954" s="776"/>
      <c r="I954" s="776"/>
      <c r="J954" s="776"/>
      <c r="K954" s="776"/>
      <c r="L954" s="776"/>
      <c r="M954" s="776"/>
      <c r="O954" s="776"/>
      <c r="P954" s="776"/>
      <c r="Q954" s="776"/>
      <c r="R954" s="776"/>
      <c r="S954" s="776"/>
      <c r="T954" s="776"/>
      <c r="U954" s="776"/>
      <c r="V954" s="776"/>
      <c r="W954" s="776"/>
      <c r="X954" s="776"/>
      <c r="Y954" s="776"/>
      <c r="Z954" s="776"/>
      <c r="AA954" s="13"/>
    </row>
    <row r="955" spans="6:27">
      <c r="F955" s="776"/>
      <c r="G955" s="776"/>
      <c r="H955" s="776"/>
      <c r="I955" s="776"/>
      <c r="J955" s="776"/>
      <c r="K955" s="776"/>
      <c r="L955" s="776"/>
      <c r="M955" s="776"/>
      <c r="O955" s="776"/>
      <c r="P955" s="776"/>
      <c r="Q955" s="776"/>
      <c r="R955" s="776"/>
      <c r="S955" s="776"/>
      <c r="T955" s="776"/>
      <c r="U955" s="776"/>
      <c r="V955" s="776"/>
      <c r="W955" s="776"/>
      <c r="X955" s="776"/>
      <c r="Y955" s="776"/>
      <c r="Z955" s="776"/>
      <c r="AA955" s="13"/>
    </row>
    <row r="956" spans="6:27">
      <c r="F956" s="776"/>
      <c r="G956" s="776"/>
      <c r="H956" s="776"/>
      <c r="I956" s="776"/>
      <c r="J956" s="776"/>
      <c r="K956" s="776"/>
      <c r="L956" s="776"/>
      <c r="M956" s="776"/>
      <c r="O956" s="776"/>
      <c r="P956" s="776"/>
      <c r="Q956" s="776"/>
      <c r="R956" s="776"/>
      <c r="S956" s="776"/>
      <c r="T956" s="776"/>
      <c r="U956" s="776"/>
      <c r="V956" s="776"/>
      <c r="W956" s="776"/>
      <c r="X956" s="776"/>
      <c r="Y956" s="776"/>
      <c r="Z956" s="776"/>
      <c r="AA956" s="13"/>
    </row>
    <row r="957" spans="6:27">
      <c r="F957" s="776"/>
      <c r="G957" s="776"/>
      <c r="H957" s="776"/>
      <c r="I957" s="776"/>
      <c r="J957" s="776"/>
      <c r="K957" s="776"/>
      <c r="L957" s="776"/>
      <c r="M957" s="776"/>
      <c r="O957" s="776"/>
      <c r="P957" s="776"/>
      <c r="Q957" s="776"/>
      <c r="R957" s="776"/>
      <c r="S957" s="776"/>
      <c r="T957" s="776"/>
      <c r="U957" s="776"/>
      <c r="V957" s="776"/>
      <c r="W957" s="776"/>
      <c r="X957" s="776"/>
      <c r="Y957" s="776"/>
      <c r="Z957" s="776"/>
      <c r="AA957" s="13"/>
    </row>
    <row r="958" spans="6:27">
      <c r="F958" s="776"/>
      <c r="G958" s="776"/>
      <c r="H958" s="776"/>
      <c r="I958" s="776"/>
      <c r="J958" s="776"/>
      <c r="K958" s="776"/>
      <c r="L958" s="776"/>
      <c r="M958" s="776"/>
      <c r="O958" s="776"/>
      <c r="P958" s="776"/>
      <c r="Q958" s="776"/>
      <c r="R958" s="776"/>
      <c r="S958" s="776"/>
      <c r="T958" s="776"/>
      <c r="U958" s="776"/>
      <c r="V958" s="776"/>
      <c r="W958" s="776"/>
      <c r="X958" s="776"/>
      <c r="Y958" s="776"/>
      <c r="Z958" s="776"/>
      <c r="AA958" s="13"/>
    </row>
    <row r="959" spans="6:27">
      <c r="F959" s="776"/>
      <c r="G959" s="776"/>
      <c r="H959" s="776"/>
      <c r="I959" s="776"/>
      <c r="J959" s="776"/>
      <c r="K959" s="776"/>
      <c r="L959" s="776"/>
      <c r="M959" s="776"/>
      <c r="O959" s="776"/>
      <c r="P959" s="776"/>
      <c r="Q959" s="776"/>
      <c r="R959" s="776"/>
      <c r="S959" s="776"/>
      <c r="T959" s="776"/>
      <c r="U959" s="776"/>
      <c r="V959" s="776"/>
      <c r="W959" s="776"/>
      <c r="X959" s="776"/>
      <c r="Y959" s="776"/>
      <c r="Z959" s="776"/>
      <c r="AA959" s="13"/>
    </row>
    <row r="960" spans="6:27">
      <c r="F960" s="776"/>
      <c r="G960" s="776"/>
      <c r="H960" s="776"/>
      <c r="I960" s="776"/>
      <c r="J960" s="776"/>
      <c r="K960" s="776"/>
      <c r="L960" s="776"/>
      <c r="M960" s="776"/>
      <c r="O960" s="776"/>
      <c r="P960" s="776"/>
      <c r="Q960" s="776"/>
      <c r="R960" s="776"/>
      <c r="S960" s="776"/>
      <c r="T960" s="776"/>
      <c r="U960" s="776"/>
      <c r="V960" s="776"/>
      <c r="W960" s="776"/>
      <c r="X960" s="776"/>
      <c r="Y960" s="776"/>
      <c r="Z960" s="776"/>
      <c r="AA960" s="13"/>
    </row>
    <row r="961" spans="6:27">
      <c r="F961" s="776"/>
      <c r="G961" s="776"/>
      <c r="H961" s="776"/>
      <c r="I961" s="776"/>
      <c r="J961" s="776"/>
      <c r="K961" s="776"/>
      <c r="L961" s="776"/>
      <c r="M961" s="776"/>
      <c r="O961" s="776"/>
      <c r="P961" s="776"/>
      <c r="Q961" s="776"/>
      <c r="R961" s="776"/>
      <c r="S961" s="776"/>
      <c r="T961" s="776"/>
      <c r="U961" s="776"/>
      <c r="V961" s="776"/>
      <c r="W961" s="776"/>
      <c r="X961" s="776"/>
      <c r="Y961" s="776"/>
      <c r="Z961" s="776"/>
      <c r="AA961" s="13"/>
    </row>
    <row r="962" spans="6:27">
      <c r="F962" s="776"/>
      <c r="G962" s="776"/>
      <c r="H962" s="776"/>
      <c r="I962" s="776"/>
      <c r="J962" s="776"/>
      <c r="K962" s="776"/>
      <c r="L962" s="776"/>
      <c r="M962" s="776"/>
      <c r="O962" s="776"/>
      <c r="P962" s="776"/>
      <c r="Q962" s="776"/>
      <c r="R962" s="776"/>
      <c r="S962" s="776"/>
      <c r="T962" s="776"/>
      <c r="U962" s="776"/>
      <c r="V962" s="776"/>
      <c r="W962" s="776"/>
      <c r="X962" s="776"/>
      <c r="Y962" s="776"/>
      <c r="Z962" s="776"/>
      <c r="AA962" s="13"/>
    </row>
    <row r="963" spans="6:27">
      <c r="F963" s="776"/>
      <c r="G963" s="776"/>
      <c r="H963" s="776"/>
      <c r="I963" s="776"/>
      <c r="J963" s="776"/>
      <c r="K963" s="776"/>
      <c r="L963" s="776"/>
      <c r="M963" s="776"/>
      <c r="O963" s="776"/>
      <c r="P963" s="776"/>
      <c r="Q963" s="776"/>
      <c r="R963" s="776"/>
      <c r="S963" s="776"/>
      <c r="T963" s="776"/>
      <c r="U963" s="776"/>
      <c r="V963" s="776"/>
      <c r="W963" s="776"/>
      <c r="X963" s="776"/>
      <c r="Y963" s="776"/>
      <c r="Z963" s="776"/>
      <c r="AA963" s="13"/>
    </row>
    <row r="964" spans="6:27">
      <c r="F964" s="776"/>
      <c r="G964" s="776"/>
      <c r="H964" s="776"/>
      <c r="I964" s="776"/>
      <c r="J964" s="776"/>
      <c r="K964" s="776"/>
      <c r="L964" s="776"/>
      <c r="M964" s="776"/>
      <c r="O964" s="776"/>
      <c r="P964" s="776"/>
      <c r="Q964" s="776"/>
      <c r="R964" s="776"/>
      <c r="S964" s="776"/>
      <c r="T964" s="776"/>
      <c r="U964" s="776"/>
      <c r="V964" s="776"/>
      <c r="W964" s="776"/>
      <c r="X964" s="776"/>
      <c r="Y964" s="776"/>
      <c r="Z964" s="776"/>
      <c r="AA964" s="13"/>
    </row>
    <row r="965" spans="6:27">
      <c r="F965" s="776"/>
      <c r="G965" s="776"/>
      <c r="H965" s="776"/>
      <c r="I965" s="776"/>
      <c r="J965" s="776"/>
      <c r="K965" s="776"/>
      <c r="L965" s="776"/>
      <c r="M965" s="776"/>
      <c r="O965" s="776"/>
      <c r="P965" s="776"/>
      <c r="Q965" s="776"/>
      <c r="R965" s="776"/>
      <c r="S965" s="776"/>
      <c r="T965" s="776"/>
      <c r="U965" s="776"/>
      <c r="V965" s="776"/>
      <c r="W965" s="776"/>
      <c r="X965" s="776"/>
      <c r="Y965" s="776"/>
      <c r="Z965" s="776"/>
      <c r="AA965" s="13"/>
    </row>
    <row r="966" spans="6:27">
      <c r="F966" s="776"/>
      <c r="G966" s="776"/>
      <c r="H966" s="776"/>
      <c r="I966" s="776"/>
      <c r="J966" s="776"/>
      <c r="K966" s="776"/>
      <c r="L966" s="776"/>
      <c r="M966" s="776"/>
      <c r="O966" s="776"/>
      <c r="P966" s="776"/>
      <c r="Q966" s="776"/>
      <c r="R966" s="776"/>
      <c r="S966" s="776"/>
      <c r="T966" s="776"/>
      <c r="U966" s="776"/>
      <c r="V966" s="776"/>
      <c r="W966" s="776"/>
      <c r="X966" s="776"/>
      <c r="Y966" s="776"/>
      <c r="Z966" s="776"/>
      <c r="AA966" s="13"/>
    </row>
    <row r="967" spans="6:27">
      <c r="F967" s="776"/>
      <c r="G967" s="776"/>
      <c r="H967" s="776"/>
      <c r="I967" s="776"/>
      <c r="J967" s="776"/>
      <c r="K967" s="776"/>
      <c r="L967" s="776"/>
      <c r="M967" s="776"/>
      <c r="O967" s="776"/>
      <c r="P967" s="776"/>
      <c r="Q967" s="776"/>
      <c r="R967" s="776"/>
      <c r="S967" s="776"/>
      <c r="T967" s="776"/>
      <c r="U967" s="776"/>
      <c r="V967" s="776"/>
      <c r="W967" s="776"/>
      <c r="X967" s="776"/>
      <c r="Y967" s="776"/>
      <c r="Z967" s="776"/>
      <c r="AA967" s="13"/>
    </row>
    <row r="968" spans="6:27">
      <c r="F968" s="776"/>
      <c r="G968" s="776"/>
      <c r="H968" s="776"/>
      <c r="I968" s="776"/>
      <c r="J968" s="776"/>
      <c r="K968" s="776"/>
      <c r="L968" s="776"/>
      <c r="M968" s="776"/>
      <c r="O968" s="776"/>
      <c r="P968" s="776"/>
      <c r="Q968" s="776"/>
      <c r="R968" s="776"/>
      <c r="S968" s="776"/>
      <c r="T968" s="776"/>
      <c r="U968" s="776"/>
      <c r="V968" s="776"/>
      <c r="W968" s="776"/>
      <c r="X968" s="776"/>
      <c r="Y968" s="776"/>
      <c r="Z968" s="776"/>
      <c r="AA968" s="13"/>
    </row>
    <row r="969" spans="6:27">
      <c r="F969" s="776"/>
      <c r="G969" s="776"/>
      <c r="H969" s="776"/>
      <c r="I969" s="776"/>
      <c r="J969" s="776"/>
      <c r="K969" s="776"/>
      <c r="L969" s="776"/>
      <c r="M969" s="776"/>
      <c r="O969" s="776"/>
      <c r="P969" s="776"/>
      <c r="Q969" s="776"/>
      <c r="R969" s="776"/>
      <c r="S969" s="776"/>
      <c r="T969" s="776"/>
      <c r="U969" s="776"/>
      <c r="V969" s="776"/>
      <c r="W969" s="776"/>
      <c r="X969" s="776"/>
      <c r="Y969" s="776"/>
      <c r="Z969" s="776"/>
      <c r="AA969" s="13"/>
    </row>
    <row r="970" spans="6:27">
      <c r="F970" s="776"/>
      <c r="G970" s="776"/>
      <c r="H970" s="776"/>
      <c r="I970" s="776"/>
      <c r="J970" s="776"/>
      <c r="K970" s="776"/>
      <c r="L970" s="776"/>
      <c r="M970" s="776"/>
      <c r="O970" s="776"/>
      <c r="P970" s="776"/>
      <c r="Q970" s="776"/>
      <c r="R970" s="776"/>
      <c r="S970" s="776"/>
      <c r="T970" s="776"/>
      <c r="U970" s="776"/>
      <c r="V970" s="776"/>
      <c r="W970" s="776"/>
      <c r="X970" s="776"/>
      <c r="Y970" s="776"/>
      <c r="Z970" s="776"/>
      <c r="AA970" s="13"/>
    </row>
    <row r="971" spans="6:27">
      <c r="F971" s="776"/>
      <c r="G971" s="776"/>
      <c r="H971" s="776"/>
      <c r="I971" s="776"/>
      <c r="J971" s="776"/>
      <c r="K971" s="776"/>
      <c r="L971" s="776"/>
      <c r="M971" s="776"/>
      <c r="O971" s="776"/>
      <c r="P971" s="776"/>
      <c r="Q971" s="776"/>
      <c r="R971" s="776"/>
      <c r="S971" s="776"/>
      <c r="T971" s="776"/>
      <c r="U971" s="776"/>
      <c r="V971" s="776"/>
      <c r="W971" s="776"/>
      <c r="X971" s="776"/>
      <c r="Y971" s="776"/>
      <c r="Z971" s="776"/>
      <c r="AA971" s="13"/>
    </row>
    <row r="972" spans="6:27">
      <c r="F972" s="776"/>
      <c r="G972" s="776"/>
      <c r="H972" s="776"/>
      <c r="I972" s="776"/>
      <c r="J972" s="776"/>
      <c r="K972" s="776"/>
      <c r="L972" s="776"/>
      <c r="M972" s="776"/>
      <c r="O972" s="776"/>
      <c r="P972" s="776"/>
      <c r="Q972" s="776"/>
      <c r="R972" s="776"/>
      <c r="S972" s="776"/>
      <c r="T972" s="776"/>
      <c r="U972" s="776"/>
      <c r="V972" s="776"/>
      <c r="W972" s="776"/>
      <c r="X972" s="776"/>
      <c r="Y972" s="776"/>
      <c r="Z972" s="776"/>
      <c r="AA972" s="13"/>
    </row>
    <row r="973" spans="6:27">
      <c r="F973" s="776"/>
      <c r="G973" s="776"/>
      <c r="H973" s="776"/>
      <c r="I973" s="776"/>
      <c r="J973" s="776"/>
      <c r="K973" s="776"/>
      <c r="L973" s="776"/>
      <c r="M973" s="776"/>
      <c r="O973" s="776"/>
      <c r="P973" s="776"/>
      <c r="Q973" s="776"/>
      <c r="R973" s="776"/>
      <c r="S973" s="776"/>
      <c r="T973" s="776"/>
      <c r="U973" s="776"/>
      <c r="V973" s="776"/>
      <c r="W973" s="776"/>
      <c r="X973" s="776"/>
      <c r="Y973" s="776"/>
      <c r="Z973" s="776"/>
      <c r="AA973" s="13"/>
    </row>
    <row r="974" spans="6:27">
      <c r="F974" s="776"/>
      <c r="G974" s="776"/>
      <c r="H974" s="776"/>
      <c r="I974" s="776"/>
      <c r="J974" s="776"/>
      <c r="K974" s="776"/>
      <c r="L974" s="776"/>
      <c r="M974" s="776"/>
      <c r="O974" s="776"/>
      <c r="P974" s="776"/>
      <c r="Q974" s="776"/>
      <c r="R974" s="776"/>
      <c r="S974" s="776"/>
      <c r="T974" s="776"/>
      <c r="U974" s="776"/>
      <c r="V974" s="776"/>
      <c r="W974" s="776"/>
      <c r="X974" s="776"/>
      <c r="Y974" s="776"/>
      <c r="Z974" s="776"/>
      <c r="AA974" s="13"/>
    </row>
    <row r="975" spans="6:27">
      <c r="F975" s="776"/>
      <c r="G975" s="776"/>
      <c r="H975" s="776"/>
      <c r="I975" s="776"/>
      <c r="J975" s="776"/>
      <c r="K975" s="776"/>
      <c r="L975" s="776"/>
      <c r="M975" s="776"/>
      <c r="O975" s="776"/>
      <c r="P975" s="776"/>
      <c r="Q975" s="776"/>
      <c r="R975" s="776"/>
      <c r="S975" s="776"/>
      <c r="T975" s="776"/>
      <c r="U975" s="776"/>
      <c r="V975" s="776"/>
      <c r="W975" s="776"/>
      <c r="X975" s="776"/>
      <c r="Y975" s="776"/>
      <c r="Z975" s="776"/>
      <c r="AA975" s="13"/>
    </row>
    <row r="976" spans="6:27">
      <c r="F976" s="776"/>
      <c r="G976" s="776"/>
      <c r="H976" s="776"/>
      <c r="I976" s="776"/>
      <c r="J976" s="776"/>
      <c r="K976" s="776"/>
      <c r="L976" s="776"/>
      <c r="M976" s="776"/>
      <c r="O976" s="776"/>
      <c r="P976" s="776"/>
      <c r="Q976" s="776"/>
      <c r="R976" s="776"/>
      <c r="S976" s="776"/>
      <c r="T976" s="776"/>
      <c r="U976" s="776"/>
      <c r="V976" s="776"/>
      <c r="W976" s="776"/>
      <c r="X976" s="776"/>
      <c r="Y976" s="776"/>
      <c r="Z976" s="776"/>
      <c r="AA976" s="13"/>
    </row>
    <row r="977" spans="6:27">
      <c r="F977" s="776"/>
      <c r="G977" s="776"/>
      <c r="H977" s="776"/>
      <c r="I977" s="776"/>
      <c r="J977" s="776"/>
      <c r="K977" s="776"/>
      <c r="L977" s="776"/>
      <c r="M977" s="776"/>
      <c r="O977" s="776"/>
      <c r="P977" s="776"/>
      <c r="Q977" s="776"/>
      <c r="R977" s="776"/>
      <c r="S977" s="776"/>
      <c r="T977" s="776"/>
      <c r="U977" s="776"/>
      <c r="V977" s="776"/>
      <c r="W977" s="776"/>
      <c r="X977" s="776"/>
      <c r="Y977" s="776"/>
      <c r="Z977" s="776"/>
      <c r="AA977" s="13"/>
    </row>
    <row r="978" spans="6:27">
      <c r="F978" s="776"/>
      <c r="G978" s="776"/>
      <c r="H978" s="776"/>
      <c r="I978" s="776"/>
      <c r="J978" s="776"/>
      <c r="K978" s="776"/>
      <c r="L978" s="776"/>
      <c r="M978" s="776"/>
      <c r="O978" s="776"/>
      <c r="P978" s="776"/>
      <c r="Q978" s="776"/>
      <c r="R978" s="776"/>
      <c r="S978" s="776"/>
      <c r="T978" s="776"/>
      <c r="U978" s="776"/>
      <c r="V978" s="776"/>
      <c r="W978" s="776"/>
      <c r="X978" s="776"/>
      <c r="Y978" s="776"/>
      <c r="Z978" s="776"/>
      <c r="AA978" s="13"/>
    </row>
    <row r="979" spans="6:27">
      <c r="F979" s="776"/>
      <c r="G979" s="776"/>
      <c r="H979" s="776"/>
      <c r="I979" s="776"/>
      <c r="J979" s="776"/>
      <c r="K979" s="776"/>
      <c r="L979" s="776"/>
      <c r="M979" s="776"/>
      <c r="O979" s="776"/>
      <c r="P979" s="776"/>
      <c r="Q979" s="776"/>
      <c r="R979" s="776"/>
      <c r="S979" s="776"/>
      <c r="T979" s="776"/>
      <c r="U979" s="776"/>
      <c r="V979" s="776"/>
      <c r="W979" s="776"/>
      <c r="X979" s="776"/>
      <c r="Y979" s="776"/>
      <c r="Z979" s="776"/>
      <c r="AA979" s="13"/>
    </row>
    <row r="980" spans="6:27">
      <c r="F980" s="776"/>
      <c r="G980" s="776"/>
      <c r="H980" s="776"/>
      <c r="I980" s="776"/>
      <c r="J980" s="776"/>
      <c r="K980" s="776"/>
      <c r="L980" s="776"/>
      <c r="M980" s="776"/>
      <c r="O980" s="776"/>
      <c r="P980" s="776"/>
      <c r="Q980" s="776"/>
      <c r="R980" s="776"/>
      <c r="S980" s="776"/>
      <c r="T980" s="776"/>
      <c r="U980" s="776"/>
      <c r="V980" s="776"/>
      <c r="W980" s="776"/>
      <c r="X980" s="776"/>
      <c r="Y980" s="776"/>
      <c r="Z980" s="776"/>
      <c r="AA980" s="13"/>
    </row>
    <row r="981" spans="6:27">
      <c r="F981" s="776"/>
      <c r="G981" s="776"/>
      <c r="H981" s="776"/>
      <c r="I981" s="776"/>
      <c r="J981" s="776"/>
      <c r="K981" s="776"/>
      <c r="L981" s="776"/>
      <c r="M981" s="776"/>
      <c r="O981" s="776"/>
      <c r="P981" s="776"/>
      <c r="Q981" s="776"/>
      <c r="R981" s="776"/>
      <c r="S981" s="776"/>
      <c r="T981" s="776"/>
      <c r="U981" s="776"/>
      <c r="V981" s="776"/>
      <c r="W981" s="776"/>
      <c r="X981" s="776"/>
      <c r="Y981" s="776"/>
      <c r="Z981" s="776"/>
      <c r="AA981" s="13"/>
    </row>
    <row r="982" spans="6:27">
      <c r="F982" s="776"/>
      <c r="G982" s="776"/>
      <c r="H982" s="776"/>
      <c r="I982" s="776"/>
      <c r="J982" s="776"/>
      <c r="K982" s="776"/>
      <c r="L982" s="776"/>
      <c r="M982" s="776"/>
      <c r="O982" s="776"/>
      <c r="P982" s="776"/>
      <c r="Q982" s="776"/>
      <c r="R982" s="776"/>
      <c r="S982" s="776"/>
      <c r="T982" s="776"/>
      <c r="U982" s="776"/>
      <c r="V982" s="776"/>
      <c r="W982" s="776"/>
      <c r="X982" s="776"/>
      <c r="Y982" s="776"/>
      <c r="Z982" s="776"/>
      <c r="AA982" s="13"/>
    </row>
    <row r="983" spans="6:27">
      <c r="F983" s="776"/>
      <c r="G983" s="776"/>
      <c r="H983" s="776"/>
      <c r="I983" s="776"/>
      <c r="J983" s="776"/>
      <c r="K983" s="776"/>
      <c r="L983" s="776"/>
      <c r="M983" s="776"/>
      <c r="O983" s="776"/>
      <c r="P983" s="776"/>
      <c r="Q983" s="776"/>
      <c r="R983" s="776"/>
      <c r="S983" s="776"/>
      <c r="T983" s="776"/>
      <c r="U983" s="776"/>
      <c r="V983" s="776"/>
      <c r="W983" s="776"/>
      <c r="X983" s="776"/>
      <c r="Y983" s="776"/>
      <c r="Z983" s="776"/>
      <c r="AA983" s="13"/>
    </row>
    <row r="984" spans="6:27">
      <c r="F984" s="776"/>
      <c r="G984" s="776"/>
      <c r="H984" s="776"/>
      <c r="I984" s="776"/>
      <c r="J984" s="776"/>
      <c r="K984" s="776"/>
      <c r="L984" s="776"/>
      <c r="M984" s="776"/>
      <c r="O984" s="776"/>
      <c r="P984" s="776"/>
      <c r="Q984" s="776"/>
      <c r="R984" s="776"/>
      <c r="S984" s="776"/>
      <c r="T984" s="776"/>
      <c r="U984" s="776"/>
      <c r="V984" s="776"/>
      <c r="W984" s="776"/>
      <c r="X984" s="776"/>
      <c r="Y984" s="776"/>
      <c r="Z984" s="776"/>
      <c r="AA984" s="13"/>
    </row>
    <row r="985" spans="6:27">
      <c r="F985" s="776"/>
      <c r="G985" s="776"/>
      <c r="H985" s="776"/>
      <c r="I985" s="776"/>
      <c r="J985" s="776"/>
      <c r="K985" s="776"/>
      <c r="L985" s="776"/>
      <c r="M985" s="776"/>
      <c r="O985" s="776"/>
      <c r="P985" s="776"/>
      <c r="Q985" s="776"/>
      <c r="R985" s="776"/>
      <c r="S985" s="776"/>
      <c r="T985" s="776"/>
      <c r="U985" s="776"/>
      <c r="V985" s="776"/>
      <c r="W985" s="776"/>
      <c r="X985" s="776"/>
      <c r="Y985" s="776"/>
      <c r="Z985" s="776"/>
      <c r="AA985" s="13"/>
    </row>
    <row r="986" spans="6:27">
      <c r="F986" s="776"/>
      <c r="G986" s="776"/>
      <c r="H986" s="776"/>
      <c r="I986" s="776"/>
      <c r="J986" s="776"/>
      <c r="K986" s="776"/>
      <c r="L986" s="776"/>
      <c r="M986" s="776"/>
      <c r="O986" s="776"/>
      <c r="P986" s="776"/>
      <c r="Q986" s="776"/>
      <c r="R986" s="776"/>
      <c r="S986" s="776"/>
      <c r="T986" s="776"/>
      <c r="U986" s="776"/>
      <c r="V986" s="776"/>
      <c r="W986" s="776"/>
      <c r="X986" s="776"/>
      <c r="Y986" s="776"/>
      <c r="Z986" s="776"/>
      <c r="AA986" s="13"/>
    </row>
    <row r="987" spans="6:27">
      <c r="F987" s="776"/>
      <c r="G987" s="776"/>
      <c r="H987" s="776"/>
      <c r="I987" s="776"/>
      <c r="J987" s="776"/>
      <c r="K987" s="776"/>
      <c r="L987" s="776"/>
      <c r="M987" s="776"/>
      <c r="O987" s="776"/>
      <c r="P987" s="776"/>
      <c r="Q987" s="776"/>
      <c r="R987" s="776"/>
      <c r="S987" s="776"/>
      <c r="T987" s="776"/>
      <c r="U987" s="776"/>
      <c r="V987" s="776"/>
      <c r="W987" s="776"/>
      <c r="X987" s="776"/>
      <c r="Y987" s="776"/>
      <c r="Z987" s="776"/>
      <c r="AA987" s="13"/>
    </row>
    <row r="988" spans="6:27">
      <c r="F988" s="776"/>
      <c r="G988" s="776"/>
      <c r="H988" s="776"/>
      <c r="I988" s="776"/>
      <c r="J988" s="776"/>
      <c r="K988" s="776"/>
      <c r="L988" s="776"/>
      <c r="M988" s="776"/>
      <c r="O988" s="776"/>
      <c r="P988" s="776"/>
      <c r="Q988" s="776"/>
      <c r="R988" s="776"/>
      <c r="S988" s="776"/>
      <c r="T988" s="776"/>
      <c r="U988" s="776"/>
      <c r="V988" s="776"/>
      <c r="W988" s="776"/>
      <c r="X988" s="776"/>
      <c r="Y988" s="776"/>
      <c r="Z988" s="776"/>
      <c r="AA988" s="13"/>
    </row>
    <row r="989" spans="6:27">
      <c r="F989" s="776"/>
      <c r="G989" s="776"/>
      <c r="H989" s="776"/>
      <c r="I989" s="776"/>
      <c r="J989" s="776"/>
      <c r="K989" s="776"/>
      <c r="L989" s="776"/>
      <c r="M989" s="776"/>
      <c r="O989" s="776"/>
      <c r="P989" s="776"/>
      <c r="Q989" s="776"/>
      <c r="R989" s="776"/>
      <c r="S989" s="776"/>
      <c r="T989" s="776"/>
      <c r="U989" s="776"/>
      <c r="V989" s="776"/>
      <c r="W989" s="776"/>
      <c r="X989" s="776"/>
      <c r="Y989" s="776"/>
      <c r="Z989" s="776"/>
      <c r="AA989" s="13"/>
    </row>
    <row r="990" spans="6:27">
      <c r="F990" s="776"/>
      <c r="G990" s="776"/>
      <c r="H990" s="776"/>
      <c r="I990" s="776"/>
      <c r="J990" s="776"/>
      <c r="K990" s="776"/>
      <c r="L990" s="776"/>
      <c r="M990" s="776"/>
      <c r="O990" s="776"/>
      <c r="P990" s="776"/>
      <c r="Q990" s="776"/>
      <c r="R990" s="776"/>
      <c r="S990" s="776"/>
      <c r="T990" s="776"/>
      <c r="U990" s="776"/>
      <c r="V990" s="776"/>
      <c r="W990" s="776"/>
      <c r="X990" s="776"/>
      <c r="Y990" s="776"/>
      <c r="Z990" s="776"/>
      <c r="AA990" s="13"/>
    </row>
    <row r="991" spans="6:27">
      <c r="F991" s="776"/>
      <c r="G991" s="776"/>
      <c r="H991" s="776"/>
      <c r="I991" s="776"/>
      <c r="J991" s="776"/>
      <c r="K991" s="776"/>
      <c r="L991" s="776"/>
      <c r="M991" s="776"/>
      <c r="O991" s="776"/>
      <c r="P991" s="776"/>
      <c r="Q991" s="776"/>
      <c r="R991" s="776"/>
      <c r="S991" s="776"/>
      <c r="T991" s="776"/>
      <c r="U991" s="776"/>
      <c r="V991" s="776"/>
      <c r="W991" s="776"/>
      <c r="X991" s="776"/>
      <c r="Y991" s="776"/>
      <c r="Z991" s="776"/>
      <c r="AA991" s="13"/>
    </row>
    <row r="992" spans="6:27">
      <c r="F992" s="776"/>
      <c r="G992" s="776"/>
      <c r="H992" s="776"/>
      <c r="I992" s="776"/>
      <c r="J992" s="776"/>
      <c r="K992" s="776"/>
      <c r="L992" s="776"/>
      <c r="M992" s="776"/>
      <c r="O992" s="776"/>
      <c r="P992" s="776"/>
      <c r="Q992" s="776"/>
      <c r="R992" s="776"/>
      <c r="S992" s="776"/>
      <c r="T992" s="776"/>
      <c r="U992" s="776"/>
      <c r="V992" s="776"/>
      <c r="W992" s="776"/>
      <c r="X992" s="776"/>
      <c r="Y992" s="776"/>
      <c r="Z992" s="776"/>
      <c r="AA992" s="13"/>
    </row>
    <row r="993" spans="6:27">
      <c r="F993" s="776"/>
      <c r="G993" s="776"/>
      <c r="H993" s="776"/>
      <c r="I993" s="776"/>
      <c r="J993" s="776"/>
      <c r="K993" s="776"/>
      <c r="L993" s="776"/>
      <c r="M993" s="776"/>
      <c r="O993" s="776"/>
      <c r="P993" s="776"/>
      <c r="Q993" s="776"/>
      <c r="R993" s="776"/>
      <c r="S993" s="776"/>
      <c r="T993" s="776"/>
      <c r="U993" s="776"/>
      <c r="V993" s="776"/>
      <c r="W993" s="776"/>
      <c r="X993" s="776"/>
      <c r="Y993" s="776"/>
      <c r="Z993" s="776"/>
      <c r="AA993" s="13"/>
    </row>
    <row r="994" spans="6:27">
      <c r="F994" s="776"/>
      <c r="G994" s="776"/>
      <c r="H994" s="776"/>
      <c r="I994" s="776"/>
      <c r="J994" s="776"/>
      <c r="K994" s="776"/>
      <c r="L994" s="776"/>
      <c r="M994" s="776"/>
      <c r="O994" s="776"/>
      <c r="P994" s="776"/>
      <c r="Q994" s="776"/>
      <c r="R994" s="776"/>
      <c r="S994" s="776"/>
      <c r="T994" s="776"/>
      <c r="U994" s="776"/>
      <c r="V994" s="776"/>
      <c r="W994" s="776"/>
      <c r="X994" s="776"/>
      <c r="Y994" s="776"/>
      <c r="Z994" s="776"/>
      <c r="AA994" s="13"/>
    </row>
    <row r="995" spans="6:27">
      <c r="F995" s="776"/>
      <c r="G995" s="776"/>
      <c r="H995" s="776"/>
      <c r="I995" s="776"/>
      <c r="J995" s="776"/>
      <c r="K995" s="776"/>
      <c r="L995" s="776"/>
      <c r="M995" s="776"/>
      <c r="O995" s="776"/>
      <c r="P995" s="776"/>
      <c r="Q995" s="776"/>
      <c r="R995" s="776"/>
      <c r="S995" s="776"/>
      <c r="T995" s="776"/>
      <c r="U995" s="776"/>
      <c r="V995" s="776"/>
      <c r="W995" s="776"/>
      <c r="X995" s="776"/>
      <c r="Y995" s="776"/>
      <c r="Z995" s="776"/>
      <c r="AA995" s="13"/>
    </row>
    <row r="996" spans="6:27">
      <c r="F996" s="776"/>
      <c r="G996" s="776"/>
      <c r="H996" s="776"/>
      <c r="I996" s="776"/>
      <c r="J996" s="776"/>
      <c r="K996" s="776"/>
      <c r="L996" s="776"/>
      <c r="M996" s="776"/>
      <c r="O996" s="776"/>
      <c r="P996" s="776"/>
      <c r="Q996" s="776"/>
      <c r="R996" s="776"/>
      <c r="S996" s="776"/>
      <c r="T996" s="776"/>
      <c r="U996" s="776"/>
      <c r="V996" s="776"/>
      <c r="W996" s="776"/>
      <c r="X996" s="776"/>
      <c r="Y996" s="776"/>
      <c r="Z996" s="776"/>
      <c r="AA996" s="13"/>
    </row>
    <row r="997" spans="6:27">
      <c r="F997" s="776"/>
      <c r="G997" s="776"/>
      <c r="H997" s="776"/>
      <c r="I997" s="776"/>
      <c r="J997" s="776"/>
      <c r="K997" s="776"/>
      <c r="L997" s="776"/>
      <c r="M997" s="776"/>
      <c r="O997" s="776"/>
      <c r="P997" s="776"/>
      <c r="Q997" s="776"/>
      <c r="R997" s="776"/>
      <c r="S997" s="776"/>
      <c r="T997" s="776"/>
      <c r="U997" s="776"/>
      <c r="V997" s="776"/>
      <c r="W997" s="776"/>
      <c r="X997" s="776"/>
      <c r="Y997" s="776"/>
      <c r="Z997" s="776"/>
      <c r="AA997" s="13"/>
    </row>
    <row r="998" spans="6:27">
      <c r="F998" s="776"/>
      <c r="G998" s="776"/>
      <c r="H998" s="776"/>
      <c r="I998" s="776"/>
      <c r="J998" s="776"/>
      <c r="K998" s="776"/>
      <c r="L998" s="776"/>
      <c r="M998" s="776"/>
      <c r="O998" s="776"/>
      <c r="P998" s="776"/>
      <c r="Q998" s="776"/>
      <c r="R998" s="776"/>
      <c r="S998" s="776"/>
      <c r="T998" s="776"/>
      <c r="U998" s="776"/>
      <c r="V998" s="776"/>
      <c r="W998" s="776"/>
      <c r="X998" s="776"/>
      <c r="Y998" s="776"/>
      <c r="Z998" s="776"/>
      <c r="AA998" s="13"/>
    </row>
    <row r="999" spans="6:27">
      <c r="F999" s="776"/>
      <c r="G999" s="776"/>
      <c r="H999" s="776"/>
      <c r="I999" s="776"/>
      <c r="J999" s="776"/>
      <c r="K999" s="776"/>
      <c r="L999" s="776"/>
      <c r="M999" s="776"/>
      <c r="O999" s="776"/>
      <c r="P999" s="776"/>
      <c r="Q999" s="776"/>
      <c r="R999" s="776"/>
      <c r="S999" s="776"/>
      <c r="T999" s="776"/>
      <c r="U999" s="776"/>
      <c r="V999" s="776"/>
      <c r="W999" s="776"/>
      <c r="X999" s="776"/>
      <c r="Y999" s="776"/>
      <c r="Z999" s="776"/>
      <c r="AA999" s="13"/>
    </row>
    <row r="1000" spans="6:27">
      <c r="F1000" s="776"/>
      <c r="G1000" s="776"/>
      <c r="H1000" s="776"/>
      <c r="I1000" s="776"/>
      <c r="J1000" s="776"/>
      <c r="K1000" s="776"/>
      <c r="L1000" s="776"/>
      <c r="M1000" s="776"/>
      <c r="O1000" s="776"/>
      <c r="P1000" s="776"/>
      <c r="Q1000" s="776"/>
      <c r="R1000" s="776"/>
      <c r="S1000" s="776"/>
      <c r="T1000" s="776"/>
      <c r="U1000" s="776"/>
      <c r="V1000" s="776"/>
      <c r="W1000" s="776"/>
      <c r="X1000" s="776"/>
      <c r="Y1000" s="776"/>
      <c r="Z1000" s="776"/>
      <c r="AA1000" s="13"/>
    </row>
    <row r="1001" spans="6:27">
      <c r="F1001" s="776"/>
      <c r="G1001" s="776"/>
      <c r="H1001" s="776"/>
      <c r="I1001" s="776"/>
      <c r="J1001" s="776"/>
      <c r="K1001" s="776"/>
      <c r="L1001" s="776"/>
      <c r="M1001" s="776"/>
      <c r="O1001" s="776"/>
      <c r="P1001" s="776"/>
      <c r="Q1001" s="776"/>
      <c r="R1001" s="776"/>
      <c r="S1001" s="776"/>
      <c r="T1001" s="776"/>
      <c r="U1001" s="776"/>
      <c r="V1001" s="776"/>
      <c r="W1001" s="776"/>
      <c r="X1001" s="776"/>
      <c r="Y1001" s="776"/>
      <c r="Z1001" s="776"/>
      <c r="AA1001" s="13"/>
    </row>
    <row r="1002" spans="6:27">
      <c r="F1002" s="776"/>
      <c r="G1002" s="776"/>
      <c r="H1002" s="776"/>
      <c r="I1002" s="776"/>
      <c r="J1002" s="776"/>
      <c r="K1002" s="776"/>
      <c r="L1002" s="776"/>
      <c r="M1002" s="776"/>
      <c r="O1002" s="776"/>
      <c r="P1002" s="776"/>
      <c r="Q1002" s="776"/>
      <c r="R1002" s="776"/>
      <c r="S1002" s="776"/>
      <c r="T1002" s="776"/>
      <c r="U1002" s="776"/>
      <c r="V1002" s="776"/>
      <c r="W1002" s="776"/>
      <c r="X1002" s="776"/>
      <c r="Y1002" s="776"/>
      <c r="Z1002" s="776"/>
      <c r="AA1002" s="13"/>
    </row>
    <row r="1003" spans="6:27">
      <c r="F1003" s="776"/>
      <c r="G1003" s="776"/>
      <c r="H1003" s="776"/>
      <c r="I1003" s="776"/>
      <c r="J1003" s="776"/>
      <c r="K1003" s="776"/>
      <c r="L1003" s="776"/>
      <c r="M1003" s="776"/>
      <c r="O1003" s="776"/>
      <c r="P1003" s="776"/>
      <c r="Q1003" s="776"/>
      <c r="R1003" s="776"/>
      <c r="S1003" s="776"/>
      <c r="T1003" s="776"/>
      <c r="U1003" s="776"/>
      <c r="V1003" s="776"/>
      <c r="W1003" s="776"/>
      <c r="X1003" s="776"/>
      <c r="Y1003" s="776"/>
      <c r="Z1003" s="776"/>
      <c r="AA1003" s="13"/>
    </row>
    <row r="1004" spans="6:27">
      <c r="F1004" s="776"/>
      <c r="G1004" s="776"/>
      <c r="H1004" s="776"/>
      <c r="I1004" s="776"/>
      <c r="J1004" s="776"/>
      <c r="K1004" s="776"/>
      <c r="L1004" s="776"/>
      <c r="M1004" s="776"/>
      <c r="O1004" s="776"/>
      <c r="P1004" s="776"/>
      <c r="Q1004" s="776"/>
      <c r="R1004" s="776"/>
      <c r="S1004" s="776"/>
      <c r="T1004" s="776"/>
      <c r="U1004" s="776"/>
      <c r="V1004" s="776"/>
      <c r="W1004" s="776"/>
      <c r="X1004" s="776"/>
      <c r="Y1004" s="776"/>
      <c r="Z1004" s="776"/>
      <c r="AA1004" s="13"/>
    </row>
    <row r="1005" spans="6:27">
      <c r="F1005" s="776"/>
      <c r="G1005" s="776"/>
      <c r="H1005" s="776"/>
      <c r="I1005" s="776"/>
      <c r="J1005" s="776"/>
      <c r="K1005" s="776"/>
      <c r="L1005" s="776"/>
      <c r="M1005" s="776"/>
      <c r="O1005" s="776"/>
      <c r="P1005" s="776"/>
      <c r="Q1005" s="776"/>
      <c r="R1005" s="776"/>
      <c r="S1005" s="776"/>
      <c r="T1005" s="776"/>
      <c r="U1005" s="776"/>
      <c r="V1005" s="776"/>
      <c r="W1005" s="776"/>
      <c r="X1005" s="776"/>
      <c r="Y1005" s="776"/>
      <c r="Z1005" s="776"/>
      <c r="AA1005" s="13"/>
    </row>
    <row r="1006" spans="6:27">
      <c r="F1006" s="776"/>
      <c r="G1006" s="776"/>
      <c r="H1006" s="776"/>
      <c r="I1006" s="776"/>
      <c r="J1006" s="776"/>
      <c r="K1006" s="776"/>
      <c r="L1006" s="776"/>
      <c r="M1006" s="776"/>
      <c r="O1006" s="776"/>
      <c r="P1006" s="776"/>
      <c r="Q1006" s="776"/>
      <c r="R1006" s="776"/>
      <c r="S1006" s="776"/>
      <c r="T1006" s="776"/>
      <c r="U1006" s="776"/>
      <c r="V1006" s="776"/>
      <c r="W1006" s="776"/>
      <c r="X1006" s="776"/>
      <c r="Y1006" s="776"/>
      <c r="Z1006" s="776"/>
      <c r="AA1006" s="13"/>
    </row>
    <row r="1007" spans="6:27">
      <c r="F1007" s="776"/>
      <c r="G1007" s="776"/>
      <c r="H1007" s="776"/>
      <c r="I1007" s="776"/>
      <c r="J1007" s="776"/>
      <c r="K1007" s="776"/>
      <c r="L1007" s="776"/>
      <c r="M1007" s="776"/>
      <c r="O1007" s="776"/>
      <c r="P1007" s="776"/>
      <c r="Q1007" s="776"/>
      <c r="R1007" s="776"/>
      <c r="S1007" s="776"/>
      <c r="T1007" s="776"/>
      <c r="U1007" s="776"/>
      <c r="V1007" s="776"/>
      <c r="W1007" s="776"/>
      <c r="X1007" s="776"/>
      <c r="Y1007" s="776"/>
      <c r="Z1007" s="776"/>
      <c r="AA1007" s="13"/>
    </row>
    <row r="1008" spans="6:27">
      <c r="F1008" s="776"/>
      <c r="G1008" s="776"/>
      <c r="H1008" s="776"/>
      <c r="I1008" s="776"/>
      <c r="J1008" s="776"/>
      <c r="K1008" s="776"/>
      <c r="L1008" s="776"/>
      <c r="M1008" s="776"/>
      <c r="O1008" s="776"/>
      <c r="P1008" s="776"/>
      <c r="Q1008" s="776"/>
      <c r="R1008" s="776"/>
      <c r="S1008" s="776"/>
      <c r="T1008" s="776"/>
      <c r="U1008" s="776"/>
      <c r="V1008" s="776"/>
      <c r="W1008" s="776"/>
      <c r="X1008" s="776"/>
      <c r="Y1008" s="776"/>
      <c r="Z1008" s="776"/>
      <c r="AA1008" s="13"/>
    </row>
    <row r="1009" spans="6:27">
      <c r="F1009" s="776"/>
      <c r="G1009" s="776"/>
      <c r="H1009" s="776"/>
      <c r="I1009" s="776"/>
      <c r="J1009" s="776"/>
      <c r="K1009" s="776"/>
      <c r="L1009" s="776"/>
      <c r="M1009" s="776"/>
      <c r="O1009" s="776"/>
      <c r="P1009" s="776"/>
      <c r="Q1009" s="776"/>
      <c r="R1009" s="776"/>
      <c r="S1009" s="776"/>
      <c r="T1009" s="776"/>
      <c r="U1009" s="776"/>
      <c r="V1009" s="776"/>
      <c r="W1009" s="776"/>
      <c r="X1009" s="776"/>
      <c r="Y1009" s="776"/>
      <c r="Z1009" s="776"/>
      <c r="AA1009" s="13"/>
    </row>
    <row r="1010" spans="6:27">
      <c r="F1010" s="776"/>
      <c r="G1010" s="776"/>
      <c r="H1010" s="776"/>
      <c r="I1010" s="776"/>
      <c r="J1010" s="776"/>
      <c r="K1010" s="776"/>
      <c r="L1010" s="776"/>
      <c r="M1010" s="776"/>
      <c r="O1010" s="776"/>
      <c r="P1010" s="776"/>
      <c r="Q1010" s="776"/>
      <c r="R1010" s="776"/>
      <c r="S1010" s="776"/>
      <c r="T1010" s="776"/>
      <c r="U1010" s="776"/>
      <c r="V1010" s="776"/>
      <c r="W1010" s="776"/>
      <c r="X1010" s="776"/>
      <c r="Y1010" s="776"/>
      <c r="Z1010" s="776"/>
      <c r="AA1010" s="13"/>
    </row>
    <row r="1011" spans="6:27">
      <c r="F1011" s="776"/>
      <c r="G1011" s="776"/>
      <c r="H1011" s="776"/>
      <c r="I1011" s="776"/>
      <c r="J1011" s="776"/>
      <c r="K1011" s="776"/>
      <c r="L1011" s="776"/>
      <c r="M1011" s="776"/>
      <c r="O1011" s="776"/>
      <c r="P1011" s="776"/>
      <c r="Q1011" s="776"/>
      <c r="R1011" s="776"/>
      <c r="S1011" s="776"/>
      <c r="T1011" s="776"/>
      <c r="U1011" s="776"/>
      <c r="V1011" s="776"/>
      <c r="W1011" s="776"/>
      <c r="X1011" s="776"/>
      <c r="Y1011" s="776"/>
      <c r="Z1011" s="776"/>
      <c r="AA1011" s="13"/>
    </row>
    <row r="1012" spans="6:27">
      <c r="F1012" s="776"/>
      <c r="G1012" s="776"/>
      <c r="H1012" s="776"/>
      <c r="I1012" s="776"/>
      <c r="J1012" s="776"/>
      <c r="K1012" s="776"/>
      <c r="L1012" s="776"/>
      <c r="M1012" s="776"/>
      <c r="O1012" s="776"/>
      <c r="P1012" s="776"/>
      <c r="Q1012" s="776"/>
      <c r="R1012" s="776"/>
      <c r="S1012" s="776"/>
      <c r="T1012" s="776"/>
      <c r="U1012" s="776"/>
      <c r="V1012" s="776"/>
      <c r="W1012" s="776"/>
      <c r="X1012" s="776"/>
      <c r="Y1012" s="776"/>
      <c r="Z1012" s="776"/>
      <c r="AA1012" s="13"/>
    </row>
    <row r="1013" spans="6:27">
      <c r="F1013" s="776"/>
      <c r="G1013" s="776"/>
      <c r="H1013" s="776"/>
      <c r="I1013" s="776"/>
      <c r="J1013" s="776"/>
      <c r="K1013" s="776"/>
      <c r="L1013" s="776"/>
      <c r="M1013" s="776"/>
      <c r="O1013" s="776"/>
      <c r="P1013" s="776"/>
      <c r="Q1013" s="776"/>
      <c r="R1013" s="776"/>
      <c r="S1013" s="776"/>
      <c r="T1013" s="776"/>
      <c r="U1013" s="776"/>
      <c r="V1013" s="776"/>
      <c r="W1013" s="776"/>
      <c r="X1013" s="776"/>
      <c r="Y1013" s="776"/>
      <c r="Z1013" s="776"/>
      <c r="AA1013" s="13"/>
    </row>
    <row r="1014" spans="6:27">
      <c r="F1014" s="776"/>
      <c r="G1014" s="776"/>
      <c r="H1014" s="776"/>
      <c r="I1014" s="776"/>
      <c r="J1014" s="776"/>
      <c r="K1014" s="776"/>
      <c r="L1014" s="776"/>
      <c r="M1014" s="776"/>
      <c r="O1014" s="776"/>
      <c r="P1014" s="776"/>
      <c r="Q1014" s="776"/>
      <c r="R1014" s="776"/>
      <c r="S1014" s="776"/>
      <c r="T1014" s="776"/>
      <c r="U1014" s="776"/>
      <c r="V1014" s="776"/>
      <c r="W1014" s="776"/>
      <c r="X1014" s="776"/>
      <c r="Y1014" s="776"/>
      <c r="Z1014" s="776"/>
      <c r="AA1014" s="13"/>
    </row>
    <row r="1015" spans="6:27">
      <c r="F1015" s="776"/>
      <c r="G1015" s="776"/>
      <c r="H1015" s="776"/>
      <c r="I1015" s="776"/>
      <c r="J1015" s="776"/>
      <c r="K1015" s="776"/>
      <c r="L1015" s="776"/>
      <c r="M1015" s="776"/>
      <c r="O1015" s="776"/>
      <c r="P1015" s="776"/>
      <c r="Q1015" s="776"/>
      <c r="R1015" s="776"/>
      <c r="S1015" s="776"/>
      <c r="T1015" s="776"/>
      <c r="U1015" s="776"/>
      <c r="V1015" s="776"/>
      <c r="W1015" s="776"/>
      <c r="X1015" s="776"/>
      <c r="Y1015" s="776"/>
      <c r="Z1015" s="776"/>
      <c r="AA1015" s="13"/>
    </row>
    <row r="1016" spans="6:27">
      <c r="F1016" s="776"/>
      <c r="G1016" s="776"/>
      <c r="H1016" s="776"/>
      <c r="I1016" s="776"/>
      <c r="J1016" s="776"/>
      <c r="K1016" s="776"/>
      <c r="L1016" s="776"/>
      <c r="M1016" s="776"/>
      <c r="O1016" s="776"/>
      <c r="P1016" s="776"/>
      <c r="Q1016" s="776"/>
      <c r="R1016" s="776"/>
      <c r="S1016" s="776"/>
      <c r="T1016" s="776"/>
      <c r="U1016" s="776"/>
      <c r="V1016" s="776"/>
      <c r="W1016" s="776"/>
      <c r="X1016" s="776"/>
      <c r="Y1016" s="776"/>
      <c r="Z1016" s="776"/>
      <c r="AA1016" s="13"/>
    </row>
    <row r="1017" spans="6:27">
      <c r="F1017" s="776"/>
      <c r="G1017" s="776"/>
      <c r="H1017" s="776"/>
      <c r="I1017" s="776"/>
      <c r="J1017" s="776"/>
      <c r="K1017" s="776"/>
      <c r="L1017" s="776"/>
      <c r="M1017" s="776"/>
      <c r="O1017" s="776"/>
      <c r="P1017" s="776"/>
      <c r="Q1017" s="776"/>
      <c r="R1017" s="776"/>
      <c r="S1017" s="776"/>
      <c r="T1017" s="776"/>
      <c r="U1017" s="776"/>
      <c r="V1017" s="776"/>
      <c r="W1017" s="776"/>
      <c r="X1017" s="776"/>
      <c r="Y1017" s="776"/>
      <c r="Z1017" s="776"/>
      <c r="AA1017" s="13"/>
    </row>
    <row r="1018" spans="6:27">
      <c r="F1018" s="776"/>
      <c r="G1018" s="776"/>
      <c r="H1018" s="776"/>
      <c r="I1018" s="776"/>
      <c r="J1018" s="776"/>
      <c r="K1018" s="776"/>
      <c r="L1018" s="776"/>
      <c r="M1018" s="776"/>
      <c r="O1018" s="776"/>
      <c r="P1018" s="776"/>
      <c r="Q1018" s="776"/>
      <c r="R1018" s="776"/>
      <c r="S1018" s="776"/>
      <c r="T1018" s="776"/>
      <c r="U1018" s="776"/>
      <c r="V1018" s="776"/>
      <c r="W1018" s="776"/>
      <c r="X1018" s="776"/>
      <c r="Y1018" s="776"/>
      <c r="Z1018" s="776"/>
      <c r="AA1018" s="13"/>
    </row>
    <row r="1019" spans="6:27">
      <c r="F1019" s="776"/>
      <c r="G1019" s="776"/>
      <c r="H1019" s="776"/>
      <c r="I1019" s="776"/>
      <c r="J1019" s="776"/>
      <c r="K1019" s="776"/>
      <c r="L1019" s="776"/>
      <c r="M1019" s="776"/>
      <c r="O1019" s="776"/>
      <c r="P1019" s="776"/>
      <c r="Q1019" s="776"/>
      <c r="R1019" s="776"/>
      <c r="S1019" s="776"/>
      <c r="T1019" s="776"/>
      <c r="U1019" s="776"/>
      <c r="V1019" s="776"/>
      <c r="W1019" s="776"/>
      <c r="X1019" s="776"/>
      <c r="Y1019" s="776"/>
      <c r="Z1019" s="776"/>
      <c r="AA1019" s="13"/>
    </row>
    <row r="1020" spans="6:27">
      <c r="F1020" s="776"/>
      <c r="G1020" s="776"/>
      <c r="H1020" s="776"/>
      <c r="I1020" s="776"/>
      <c r="J1020" s="776"/>
      <c r="K1020" s="776"/>
      <c r="L1020" s="776"/>
      <c r="M1020" s="776"/>
      <c r="O1020" s="776"/>
      <c r="P1020" s="776"/>
      <c r="Q1020" s="776"/>
      <c r="R1020" s="776"/>
      <c r="S1020" s="776"/>
      <c r="T1020" s="776"/>
      <c r="U1020" s="776"/>
      <c r="V1020" s="776"/>
      <c r="W1020" s="776"/>
      <c r="X1020" s="776"/>
      <c r="Y1020" s="776"/>
      <c r="Z1020" s="776"/>
      <c r="AA1020" s="13"/>
    </row>
    <row r="1021" spans="6:27">
      <c r="F1021" s="776"/>
      <c r="G1021" s="776"/>
      <c r="H1021" s="776"/>
      <c r="I1021" s="776"/>
      <c r="J1021" s="776"/>
      <c r="K1021" s="776"/>
      <c r="L1021" s="776"/>
      <c r="M1021" s="776"/>
      <c r="O1021" s="776"/>
      <c r="P1021" s="776"/>
      <c r="Q1021" s="776"/>
      <c r="R1021" s="776"/>
      <c r="S1021" s="776"/>
      <c r="T1021" s="776"/>
      <c r="U1021" s="776"/>
      <c r="V1021" s="776"/>
      <c r="W1021" s="776"/>
      <c r="X1021" s="776"/>
      <c r="Y1021" s="776"/>
      <c r="Z1021" s="776"/>
      <c r="AA1021" s="13"/>
    </row>
    <row r="1022" spans="6:27">
      <c r="F1022" s="776"/>
      <c r="G1022" s="776"/>
      <c r="H1022" s="776"/>
      <c r="I1022" s="776"/>
      <c r="J1022" s="776"/>
      <c r="K1022" s="776"/>
      <c r="L1022" s="776"/>
      <c r="M1022" s="776"/>
      <c r="O1022" s="776"/>
      <c r="P1022" s="776"/>
      <c r="Q1022" s="776"/>
      <c r="R1022" s="776"/>
      <c r="S1022" s="776"/>
      <c r="T1022" s="776"/>
      <c r="U1022" s="776"/>
      <c r="V1022" s="776"/>
      <c r="W1022" s="776"/>
      <c r="X1022" s="776"/>
      <c r="Y1022" s="776"/>
      <c r="Z1022" s="776"/>
      <c r="AA1022" s="13"/>
    </row>
    <row r="1023" spans="6:27">
      <c r="F1023" s="776"/>
      <c r="G1023" s="776"/>
      <c r="H1023" s="776"/>
      <c r="I1023" s="776"/>
      <c r="J1023" s="776"/>
      <c r="K1023" s="776"/>
      <c r="L1023" s="776"/>
      <c r="M1023" s="776"/>
      <c r="O1023" s="776"/>
      <c r="P1023" s="776"/>
      <c r="Q1023" s="776"/>
      <c r="R1023" s="776"/>
      <c r="S1023" s="776"/>
      <c r="T1023" s="776"/>
      <c r="U1023" s="776"/>
      <c r="V1023" s="776"/>
      <c r="W1023" s="776"/>
      <c r="X1023" s="776"/>
      <c r="Y1023" s="776"/>
      <c r="Z1023" s="776"/>
      <c r="AA1023" s="13"/>
    </row>
    <row r="1024" spans="6:27">
      <c r="F1024" s="776"/>
      <c r="G1024" s="776"/>
      <c r="H1024" s="776"/>
      <c r="I1024" s="776"/>
      <c r="J1024" s="776"/>
      <c r="K1024" s="776"/>
      <c r="L1024" s="776"/>
      <c r="M1024" s="776"/>
      <c r="O1024" s="776"/>
      <c r="P1024" s="776"/>
      <c r="Q1024" s="776"/>
      <c r="R1024" s="776"/>
      <c r="S1024" s="776"/>
      <c r="T1024" s="776"/>
      <c r="U1024" s="776"/>
      <c r="V1024" s="776"/>
      <c r="W1024" s="776"/>
      <c r="X1024" s="776"/>
      <c r="Y1024" s="776"/>
      <c r="Z1024" s="776"/>
      <c r="AA1024" s="13"/>
    </row>
    <row r="1025" spans="6:27">
      <c r="F1025" s="776"/>
      <c r="G1025" s="776"/>
      <c r="H1025" s="776"/>
      <c r="I1025" s="776"/>
      <c r="J1025" s="776"/>
      <c r="K1025" s="776"/>
      <c r="L1025" s="776"/>
      <c r="M1025" s="776"/>
      <c r="O1025" s="776"/>
      <c r="P1025" s="776"/>
      <c r="Q1025" s="776"/>
      <c r="R1025" s="776"/>
      <c r="S1025" s="776"/>
      <c r="T1025" s="776"/>
      <c r="U1025" s="776"/>
      <c r="V1025" s="776"/>
      <c r="W1025" s="776"/>
      <c r="X1025" s="776"/>
      <c r="Y1025" s="776"/>
      <c r="Z1025" s="776"/>
      <c r="AA1025" s="13"/>
    </row>
    <row r="1026" spans="6:27">
      <c r="F1026" s="776"/>
      <c r="G1026" s="776"/>
      <c r="H1026" s="776"/>
      <c r="I1026" s="776"/>
      <c r="J1026" s="776"/>
      <c r="K1026" s="776"/>
      <c r="L1026" s="776"/>
      <c r="M1026" s="776"/>
      <c r="O1026" s="776"/>
      <c r="P1026" s="776"/>
      <c r="Q1026" s="776"/>
      <c r="R1026" s="776"/>
      <c r="S1026" s="776"/>
      <c r="T1026" s="776"/>
      <c r="U1026" s="776"/>
      <c r="V1026" s="776"/>
      <c r="W1026" s="776"/>
      <c r="X1026" s="776"/>
      <c r="Y1026" s="776"/>
      <c r="Z1026" s="776"/>
      <c r="AA1026" s="13"/>
    </row>
    <row r="1027" spans="6:27">
      <c r="F1027" s="776"/>
      <c r="G1027" s="776"/>
      <c r="H1027" s="776"/>
      <c r="I1027" s="776"/>
      <c r="J1027" s="776"/>
      <c r="K1027" s="776"/>
      <c r="L1027" s="776"/>
      <c r="M1027" s="776"/>
      <c r="O1027" s="776"/>
      <c r="P1027" s="776"/>
      <c r="Q1027" s="776"/>
      <c r="R1027" s="776"/>
      <c r="S1027" s="776"/>
      <c r="T1027" s="776"/>
      <c r="U1027" s="776"/>
      <c r="V1027" s="776"/>
      <c r="W1027" s="776"/>
      <c r="X1027" s="776"/>
      <c r="Y1027" s="776"/>
      <c r="Z1027" s="776"/>
      <c r="AA1027" s="13"/>
    </row>
    <row r="1028" spans="6:27">
      <c r="F1028" s="776"/>
      <c r="G1028" s="776"/>
      <c r="H1028" s="776"/>
      <c r="I1028" s="776"/>
      <c r="J1028" s="776"/>
      <c r="K1028" s="776"/>
      <c r="L1028" s="776"/>
      <c r="M1028" s="776"/>
      <c r="O1028" s="776"/>
      <c r="P1028" s="776"/>
      <c r="Q1028" s="776"/>
      <c r="R1028" s="776"/>
      <c r="S1028" s="776"/>
      <c r="T1028" s="776"/>
      <c r="U1028" s="776"/>
      <c r="V1028" s="776"/>
      <c r="W1028" s="776"/>
      <c r="X1028" s="776"/>
      <c r="Y1028" s="776"/>
      <c r="Z1028" s="776"/>
      <c r="AA1028" s="13"/>
    </row>
    <row r="1029" spans="6:27">
      <c r="F1029" s="776"/>
      <c r="G1029" s="776"/>
      <c r="H1029" s="776"/>
      <c r="I1029" s="776"/>
      <c r="J1029" s="776"/>
      <c r="K1029" s="776"/>
      <c r="L1029" s="776"/>
      <c r="M1029" s="776"/>
      <c r="O1029" s="776"/>
      <c r="P1029" s="776"/>
      <c r="Q1029" s="776"/>
      <c r="R1029" s="776"/>
      <c r="S1029" s="776"/>
      <c r="T1029" s="776"/>
      <c r="U1029" s="776"/>
      <c r="V1029" s="776"/>
      <c r="W1029" s="776"/>
      <c r="X1029" s="776"/>
      <c r="Y1029" s="776"/>
      <c r="Z1029" s="776"/>
      <c r="AA1029" s="13"/>
    </row>
    <row r="1030" spans="6:27">
      <c r="F1030" s="776"/>
      <c r="G1030" s="776"/>
      <c r="H1030" s="776"/>
      <c r="I1030" s="776"/>
      <c r="J1030" s="776"/>
      <c r="K1030" s="776"/>
      <c r="L1030" s="776"/>
      <c r="M1030" s="776"/>
      <c r="O1030" s="776"/>
      <c r="P1030" s="776"/>
      <c r="Q1030" s="776"/>
      <c r="R1030" s="776"/>
      <c r="S1030" s="776"/>
      <c r="T1030" s="776"/>
      <c r="U1030" s="776"/>
      <c r="V1030" s="776"/>
      <c r="W1030" s="776"/>
      <c r="X1030" s="776"/>
      <c r="Y1030" s="776"/>
      <c r="Z1030" s="776"/>
      <c r="AA1030" s="13"/>
    </row>
    <row r="1031" spans="6:27">
      <c r="F1031" s="776"/>
      <c r="G1031" s="776"/>
      <c r="H1031" s="776"/>
      <c r="I1031" s="776"/>
      <c r="J1031" s="776"/>
      <c r="K1031" s="776"/>
      <c r="L1031" s="776"/>
      <c r="M1031" s="776"/>
      <c r="O1031" s="776"/>
      <c r="P1031" s="776"/>
      <c r="Q1031" s="776"/>
      <c r="R1031" s="776"/>
      <c r="S1031" s="776"/>
      <c r="T1031" s="776"/>
      <c r="U1031" s="776"/>
      <c r="V1031" s="776"/>
      <c r="W1031" s="776"/>
      <c r="X1031" s="776"/>
      <c r="Y1031" s="776"/>
      <c r="Z1031" s="776"/>
      <c r="AA1031" s="13"/>
    </row>
    <row r="1032" spans="6:27">
      <c r="F1032" s="776"/>
      <c r="G1032" s="776"/>
      <c r="H1032" s="776"/>
      <c r="I1032" s="776"/>
      <c r="J1032" s="776"/>
      <c r="K1032" s="776"/>
      <c r="L1032" s="776"/>
      <c r="M1032" s="776"/>
      <c r="O1032" s="776"/>
      <c r="P1032" s="776"/>
      <c r="Q1032" s="776"/>
      <c r="R1032" s="776"/>
      <c r="S1032" s="776"/>
      <c r="T1032" s="776"/>
      <c r="U1032" s="776"/>
      <c r="V1032" s="776"/>
      <c r="W1032" s="776"/>
      <c r="X1032" s="776"/>
      <c r="Y1032" s="776"/>
      <c r="Z1032" s="776"/>
      <c r="AA1032" s="13"/>
    </row>
    <row r="1033" spans="6:27">
      <c r="F1033" s="776"/>
      <c r="G1033" s="776"/>
      <c r="H1033" s="776"/>
      <c r="I1033" s="776"/>
      <c r="J1033" s="776"/>
      <c r="K1033" s="776"/>
      <c r="L1033" s="776"/>
      <c r="M1033" s="776"/>
      <c r="O1033" s="776"/>
      <c r="P1033" s="776"/>
      <c r="Q1033" s="776"/>
      <c r="R1033" s="776"/>
      <c r="S1033" s="776"/>
      <c r="T1033" s="776"/>
      <c r="U1033" s="776"/>
      <c r="V1033" s="776"/>
      <c r="W1033" s="776"/>
      <c r="X1033" s="776"/>
      <c r="Y1033" s="776"/>
      <c r="Z1033" s="776"/>
      <c r="AA1033" s="13"/>
    </row>
    <row r="1034" spans="6:27">
      <c r="F1034" s="776"/>
      <c r="G1034" s="776"/>
      <c r="H1034" s="776"/>
      <c r="I1034" s="776"/>
      <c r="J1034" s="776"/>
      <c r="K1034" s="776"/>
      <c r="L1034" s="776"/>
      <c r="M1034" s="776"/>
      <c r="O1034" s="776"/>
      <c r="P1034" s="776"/>
      <c r="Q1034" s="776"/>
      <c r="R1034" s="776"/>
      <c r="S1034" s="776"/>
      <c r="T1034" s="776"/>
      <c r="U1034" s="776"/>
      <c r="V1034" s="776"/>
      <c r="W1034" s="776"/>
      <c r="X1034" s="776"/>
      <c r="Y1034" s="776"/>
      <c r="Z1034" s="776"/>
      <c r="AA1034" s="13"/>
    </row>
    <row r="1035" spans="6:27">
      <c r="F1035" s="776"/>
      <c r="G1035" s="776"/>
      <c r="H1035" s="776"/>
      <c r="I1035" s="776"/>
      <c r="J1035" s="776"/>
      <c r="K1035" s="776"/>
      <c r="L1035" s="776"/>
      <c r="M1035" s="776"/>
      <c r="O1035" s="776"/>
      <c r="P1035" s="776"/>
      <c r="Q1035" s="776"/>
      <c r="R1035" s="776"/>
      <c r="S1035" s="776"/>
      <c r="T1035" s="776"/>
      <c r="U1035" s="776"/>
      <c r="V1035" s="776"/>
      <c r="W1035" s="776"/>
      <c r="X1035" s="776"/>
      <c r="Y1035" s="776"/>
      <c r="Z1035" s="776"/>
      <c r="AA1035" s="13"/>
    </row>
    <row r="1036" spans="6:27">
      <c r="F1036" s="776"/>
      <c r="G1036" s="776"/>
      <c r="H1036" s="776"/>
      <c r="I1036" s="776"/>
      <c r="J1036" s="776"/>
      <c r="K1036" s="776"/>
      <c r="L1036" s="776"/>
      <c r="M1036" s="776"/>
      <c r="O1036" s="776"/>
      <c r="P1036" s="776"/>
      <c r="Q1036" s="776"/>
      <c r="R1036" s="776"/>
      <c r="S1036" s="776"/>
      <c r="T1036" s="776"/>
      <c r="U1036" s="776"/>
      <c r="V1036" s="776"/>
      <c r="W1036" s="776"/>
      <c r="X1036" s="776"/>
      <c r="Y1036" s="776"/>
      <c r="Z1036" s="776"/>
      <c r="AA1036" s="13"/>
    </row>
    <row r="1037" spans="6:27">
      <c r="F1037" s="776"/>
      <c r="G1037" s="776"/>
      <c r="H1037" s="776"/>
      <c r="I1037" s="776"/>
      <c r="J1037" s="776"/>
      <c r="K1037" s="776"/>
      <c r="L1037" s="776"/>
      <c r="M1037" s="776"/>
      <c r="O1037" s="776"/>
      <c r="P1037" s="776"/>
      <c r="Q1037" s="776"/>
      <c r="R1037" s="776"/>
      <c r="S1037" s="776"/>
      <c r="T1037" s="776"/>
      <c r="U1037" s="776"/>
      <c r="V1037" s="776"/>
      <c r="W1037" s="776"/>
      <c r="X1037" s="776"/>
      <c r="Y1037" s="776"/>
      <c r="Z1037" s="776"/>
      <c r="AA1037" s="13"/>
    </row>
    <row r="1038" spans="6:27">
      <c r="F1038" s="776"/>
      <c r="G1038" s="776"/>
      <c r="H1038" s="776"/>
      <c r="I1038" s="776"/>
      <c r="J1038" s="776"/>
      <c r="K1038" s="776"/>
      <c r="L1038" s="776"/>
      <c r="M1038" s="776"/>
      <c r="O1038" s="776"/>
      <c r="P1038" s="776"/>
      <c r="Q1038" s="776"/>
      <c r="R1038" s="776"/>
      <c r="S1038" s="776"/>
      <c r="T1038" s="776"/>
      <c r="U1038" s="776"/>
      <c r="V1038" s="776"/>
      <c r="W1038" s="776"/>
      <c r="X1038" s="776"/>
      <c r="Y1038" s="776"/>
      <c r="Z1038" s="776"/>
      <c r="AA1038" s="13"/>
    </row>
    <row r="1039" spans="6:27">
      <c r="F1039" s="776"/>
      <c r="G1039" s="776"/>
      <c r="H1039" s="776"/>
      <c r="I1039" s="776"/>
      <c r="J1039" s="776"/>
      <c r="K1039" s="776"/>
      <c r="L1039" s="776"/>
      <c r="M1039" s="776"/>
      <c r="O1039" s="776"/>
      <c r="P1039" s="776"/>
      <c r="Q1039" s="776"/>
      <c r="R1039" s="776"/>
      <c r="S1039" s="776"/>
      <c r="T1039" s="776"/>
      <c r="U1039" s="776"/>
      <c r="V1039" s="776"/>
      <c r="W1039" s="776"/>
      <c r="X1039" s="776"/>
      <c r="Y1039" s="776"/>
      <c r="Z1039" s="776"/>
      <c r="AA1039" s="13"/>
    </row>
    <row r="1040" spans="6:27">
      <c r="F1040" s="776"/>
      <c r="G1040" s="776"/>
      <c r="H1040" s="776"/>
      <c r="I1040" s="776"/>
      <c r="J1040" s="776"/>
      <c r="K1040" s="776"/>
      <c r="L1040" s="776"/>
      <c r="M1040" s="776"/>
      <c r="O1040" s="776"/>
      <c r="P1040" s="776"/>
      <c r="Q1040" s="776"/>
      <c r="R1040" s="776"/>
      <c r="S1040" s="776"/>
      <c r="T1040" s="776"/>
      <c r="U1040" s="776"/>
      <c r="V1040" s="776"/>
      <c r="W1040" s="776"/>
      <c r="X1040" s="776"/>
      <c r="Y1040" s="776"/>
      <c r="Z1040" s="776"/>
      <c r="AA1040" s="13"/>
    </row>
    <row r="1041" spans="6:27">
      <c r="F1041" s="776"/>
      <c r="G1041" s="776"/>
      <c r="H1041" s="776"/>
      <c r="I1041" s="776"/>
      <c r="J1041" s="776"/>
      <c r="K1041" s="776"/>
      <c r="L1041" s="776"/>
      <c r="M1041" s="776"/>
      <c r="O1041" s="776"/>
      <c r="P1041" s="776"/>
      <c r="Q1041" s="776"/>
      <c r="R1041" s="776"/>
      <c r="S1041" s="776"/>
      <c r="T1041" s="776"/>
      <c r="U1041" s="776"/>
      <c r="V1041" s="776"/>
      <c r="W1041" s="776"/>
      <c r="X1041" s="776"/>
      <c r="Y1041" s="776"/>
      <c r="Z1041" s="776"/>
      <c r="AA1041" s="13"/>
    </row>
    <row r="1042" spans="6:27">
      <c r="F1042" s="776"/>
      <c r="G1042" s="776"/>
      <c r="H1042" s="776"/>
      <c r="I1042" s="776"/>
      <c r="J1042" s="776"/>
      <c r="K1042" s="776"/>
      <c r="L1042" s="776"/>
      <c r="M1042" s="776"/>
      <c r="O1042" s="776"/>
      <c r="P1042" s="776"/>
      <c r="Q1042" s="776"/>
      <c r="R1042" s="776"/>
      <c r="S1042" s="776"/>
      <c r="T1042" s="776"/>
      <c r="U1042" s="776"/>
      <c r="V1042" s="776"/>
      <c r="W1042" s="776"/>
      <c r="X1042" s="776"/>
      <c r="Y1042" s="776"/>
      <c r="Z1042" s="776"/>
      <c r="AA1042" s="13"/>
    </row>
    <row r="1043" spans="6:27">
      <c r="F1043" s="776"/>
      <c r="G1043" s="776"/>
      <c r="H1043" s="776"/>
      <c r="I1043" s="776"/>
      <c r="J1043" s="776"/>
      <c r="K1043" s="776"/>
      <c r="L1043" s="776"/>
      <c r="M1043" s="776"/>
      <c r="O1043" s="776"/>
      <c r="P1043" s="776"/>
      <c r="Q1043" s="776"/>
      <c r="R1043" s="776"/>
      <c r="S1043" s="776"/>
      <c r="T1043" s="776"/>
      <c r="U1043" s="776"/>
      <c r="V1043" s="776"/>
      <c r="W1043" s="776"/>
      <c r="X1043" s="776"/>
      <c r="Y1043" s="776"/>
      <c r="Z1043" s="776"/>
      <c r="AA1043" s="13"/>
    </row>
    <row r="1044" spans="6:27">
      <c r="F1044" s="776"/>
      <c r="G1044" s="776"/>
      <c r="H1044" s="776"/>
      <c r="I1044" s="776"/>
      <c r="J1044" s="776"/>
      <c r="K1044" s="776"/>
      <c r="L1044" s="776"/>
      <c r="M1044" s="776"/>
      <c r="O1044" s="776"/>
      <c r="P1044" s="776"/>
      <c r="Q1044" s="776"/>
      <c r="R1044" s="776"/>
      <c r="S1044" s="776"/>
      <c r="T1044" s="776"/>
      <c r="U1044" s="776"/>
      <c r="V1044" s="776"/>
      <c r="W1044" s="776"/>
      <c r="X1044" s="776"/>
      <c r="Y1044" s="776"/>
      <c r="Z1044" s="776"/>
      <c r="AA1044" s="13"/>
    </row>
    <row r="1045" spans="6:27">
      <c r="F1045" s="776"/>
      <c r="G1045" s="776"/>
      <c r="H1045" s="776"/>
      <c r="I1045" s="776"/>
      <c r="J1045" s="776"/>
      <c r="K1045" s="776"/>
      <c r="L1045" s="776"/>
      <c r="M1045" s="776"/>
      <c r="O1045" s="776"/>
      <c r="P1045" s="776"/>
      <c r="Q1045" s="776"/>
      <c r="R1045" s="776"/>
      <c r="S1045" s="776"/>
      <c r="T1045" s="776"/>
      <c r="U1045" s="776"/>
      <c r="V1045" s="776"/>
      <c r="W1045" s="776"/>
      <c r="X1045" s="776"/>
      <c r="Y1045" s="776"/>
      <c r="Z1045" s="776"/>
      <c r="AA1045" s="13"/>
    </row>
    <row r="1046" spans="6:27">
      <c r="F1046" s="776"/>
      <c r="G1046" s="776"/>
      <c r="H1046" s="776"/>
      <c r="I1046" s="776"/>
      <c r="J1046" s="776"/>
      <c r="K1046" s="776"/>
      <c r="L1046" s="776"/>
      <c r="M1046" s="776"/>
      <c r="O1046" s="776"/>
      <c r="P1046" s="776"/>
      <c r="Q1046" s="776"/>
      <c r="R1046" s="776"/>
      <c r="S1046" s="776"/>
      <c r="T1046" s="776"/>
      <c r="U1046" s="776"/>
      <c r="V1046" s="776"/>
      <c r="W1046" s="776"/>
      <c r="X1046" s="776"/>
      <c r="Y1046" s="776"/>
      <c r="Z1046" s="776"/>
      <c r="AA1046" s="13"/>
    </row>
    <row r="1047" spans="6:27">
      <c r="F1047" s="776"/>
      <c r="G1047" s="776"/>
      <c r="H1047" s="776"/>
      <c r="I1047" s="776"/>
      <c r="J1047" s="776"/>
      <c r="K1047" s="776"/>
      <c r="L1047" s="776"/>
      <c r="M1047" s="776"/>
      <c r="O1047" s="776"/>
      <c r="P1047" s="776"/>
      <c r="Q1047" s="776"/>
      <c r="R1047" s="776"/>
      <c r="S1047" s="776"/>
      <c r="T1047" s="776"/>
      <c r="U1047" s="776"/>
      <c r="V1047" s="776"/>
      <c r="W1047" s="776"/>
      <c r="X1047" s="776"/>
      <c r="Y1047" s="776"/>
      <c r="Z1047" s="776"/>
      <c r="AA1047" s="13"/>
    </row>
    <row r="1048" spans="6:27">
      <c r="F1048" s="776"/>
      <c r="G1048" s="776"/>
      <c r="H1048" s="776"/>
      <c r="I1048" s="776"/>
      <c r="J1048" s="776"/>
      <c r="K1048" s="776"/>
      <c r="L1048" s="776"/>
      <c r="M1048" s="776"/>
      <c r="O1048" s="776"/>
      <c r="P1048" s="776"/>
      <c r="Q1048" s="776"/>
      <c r="R1048" s="776"/>
      <c r="S1048" s="776"/>
      <c r="T1048" s="776"/>
      <c r="U1048" s="776"/>
      <c r="V1048" s="776"/>
      <c r="W1048" s="776"/>
      <c r="X1048" s="776"/>
      <c r="Y1048" s="776"/>
      <c r="Z1048" s="776"/>
      <c r="AA1048" s="13"/>
    </row>
    <row r="1049" spans="6:27">
      <c r="F1049" s="776"/>
      <c r="G1049" s="776"/>
      <c r="H1049" s="776"/>
      <c r="I1049" s="776"/>
      <c r="J1049" s="776"/>
      <c r="K1049" s="776"/>
      <c r="L1049" s="776"/>
      <c r="M1049" s="776"/>
      <c r="O1049" s="776"/>
      <c r="P1049" s="776"/>
      <c r="Q1049" s="776"/>
      <c r="R1049" s="776"/>
      <c r="S1049" s="776"/>
      <c r="T1049" s="776"/>
      <c r="U1049" s="776"/>
      <c r="V1049" s="776"/>
      <c r="W1049" s="776"/>
      <c r="X1049" s="776"/>
      <c r="Y1049" s="776"/>
      <c r="Z1049" s="776"/>
      <c r="AA1049" s="13"/>
    </row>
    <row r="1050" spans="6:27">
      <c r="F1050" s="776"/>
      <c r="G1050" s="776"/>
      <c r="H1050" s="776"/>
      <c r="I1050" s="776"/>
      <c r="J1050" s="776"/>
      <c r="K1050" s="776"/>
      <c r="L1050" s="776"/>
      <c r="M1050" s="776"/>
      <c r="O1050" s="776"/>
      <c r="P1050" s="776"/>
      <c r="Q1050" s="776"/>
      <c r="R1050" s="776"/>
      <c r="S1050" s="776"/>
      <c r="T1050" s="776"/>
      <c r="U1050" s="776"/>
      <c r="V1050" s="776"/>
      <c r="W1050" s="776"/>
      <c r="X1050" s="776"/>
      <c r="Y1050" s="776"/>
      <c r="Z1050" s="776"/>
      <c r="AA1050" s="13"/>
    </row>
    <row r="1051" spans="6:27">
      <c r="F1051" s="776"/>
      <c r="G1051" s="776"/>
      <c r="H1051" s="776"/>
      <c r="I1051" s="776"/>
      <c r="J1051" s="776"/>
      <c r="K1051" s="776"/>
      <c r="L1051" s="776"/>
      <c r="M1051" s="776"/>
      <c r="O1051" s="776"/>
      <c r="P1051" s="776"/>
      <c r="Q1051" s="776"/>
      <c r="R1051" s="776"/>
      <c r="S1051" s="776"/>
      <c r="T1051" s="776"/>
      <c r="U1051" s="776"/>
      <c r="V1051" s="776"/>
      <c r="W1051" s="776"/>
      <c r="X1051" s="776"/>
      <c r="Y1051" s="776"/>
      <c r="Z1051" s="776"/>
      <c r="AA1051" s="13"/>
    </row>
    <row r="1052" spans="6:27">
      <c r="F1052" s="776"/>
      <c r="G1052" s="776"/>
      <c r="H1052" s="776"/>
      <c r="I1052" s="776"/>
      <c r="J1052" s="776"/>
      <c r="K1052" s="776"/>
      <c r="L1052" s="776"/>
      <c r="M1052" s="776"/>
      <c r="O1052" s="776"/>
      <c r="P1052" s="776"/>
      <c r="Q1052" s="776"/>
      <c r="R1052" s="776"/>
      <c r="S1052" s="776"/>
      <c r="T1052" s="776"/>
      <c r="U1052" s="776"/>
      <c r="V1052" s="776"/>
      <c r="W1052" s="776"/>
      <c r="X1052" s="776"/>
      <c r="Y1052" s="776"/>
      <c r="Z1052" s="776"/>
      <c r="AA1052" s="13"/>
    </row>
    <row r="1053" spans="6:27">
      <c r="F1053" s="776"/>
      <c r="G1053" s="776"/>
      <c r="H1053" s="776"/>
      <c r="I1053" s="776"/>
      <c r="J1053" s="776"/>
      <c r="K1053" s="776"/>
      <c r="L1053" s="776"/>
      <c r="M1053" s="776"/>
      <c r="O1053" s="776"/>
      <c r="P1053" s="776"/>
      <c r="Q1053" s="776"/>
      <c r="R1053" s="776"/>
      <c r="S1053" s="776"/>
      <c r="T1053" s="776"/>
      <c r="U1053" s="776"/>
      <c r="V1053" s="776"/>
      <c r="W1053" s="776"/>
      <c r="X1053" s="776"/>
      <c r="Y1053" s="776"/>
      <c r="Z1053" s="776"/>
      <c r="AA1053" s="13"/>
    </row>
    <row r="1054" spans="6:27">
      <c r="F1054" s="776"/>
      <c r="G1054" s="776"/>
      <c r="H1054" s="776"/>
      <c r="I1054" s="776"/>
      <c r="J1054" s="776"/>
      <c r="K1054" s="776"/>
      <c r="L1054" s="776"/>
      <c r="M1054" s="776"/>
      <c r="O1054" s="776"/>
      <c r="P1054" s="776"/>
      <c r="Q1054" s="776"/>
      <c r="R1054" s="776"/>
      <c r="S1054" s="776"/>
      <c r="T1054" s="776"/>
      <c r="U1054" s="776"/>
      <c r="V1054" s="776"/>
      <c r="W1054" s="776"/>
      <c r="X1054" s="776"/>
      <c r="Y1054" s="776"/>
      <c r="Z1054" s="776"/>
      <c r="AA1054" s="13"/>
    </row>
    <row r="1055" spans="6:27">
      <c r="F1055" s="776"/>
      <c r="G1055" s="776"/>
      <c r="H1055" s="776"/>
      <c r="I1055" s="776"/>
      <c r="J1055" s="776"/>
      <c r="K1055" s="776"/>
      <c r="L1055" s="776"/>
      <c r="M1055" s="776"/>
      <c r="O1055" s="776"/>
      <c r="P1055" s="776"/>
      <c r="Q1055" s="776"/>
      <c r="R1055" s="776"/>
      <c r="S1055" s="776"/>
      <c r="T1055" s="776"/>
      <c r="U1055" s="776"/>
      <c r="V1055" s="776"/>
      <c r="W1055" s="776"/>
      <c r="X1055" s="776"/>
      <c r="Y1055" s="776"/>
      <c r="Z1055" s="776"/>
      <c r="AA1055" s="13"/>
    </row>
    <row r="1056" spans="6:27">
      <c r="F1056" s="776"/>
      <c r="G1056" s="776"/>
      <c r="H1056" s="776"/>
      <c r="I1056" s="776"/>
      <c r="J1056" s="776"/>
      <c r="K1056" s="776"/>
      <c r="L1056" s="776"/>
      <c r="M1056" s="776"/>
      <c r="O1056" s="776"/>
      <c r="P1056" s="776"/>
      <c r="Q1056" s="776"/>
      <c r="R1056" s="776"/>
      <c r="S1056" s="776"/>
      <c r="T1056" s="776"/>
      <c r="U1056" s="776"/>
      <c r="V1056" s="776"/>
      <c r="W1056" s="776"/>
      <c r="X1056" s="776"/>
      <c r="Y1056" s="776"/>
      <c r="Z1056" s="776"/>
      <c r="AA1056" s="13"/>
    </row>
    <row r="1057" spans="6:27">
      <c r="F1057" s="776"/>
      <c r="G1057" s="776"/>
      <c r="H1057" s="776"/>
      <c r="I1057" s="776"/>
      <c r="J1057" s="776"/>
      <c r="K1057" s="776"/>
      <c r="L1057" s="776"/>
      <c r="M1057" s="776"/>
      <c r="O1057" s="776"/>
      <c r="P1057" s="776"/>
      <c r="Q1057" s="776"/>
      <c r="R1057" s="776"/>
      <c r="S1057" s="776"/>
      <c r="T1057" s="776"/>
      <c r="U1057" s="776"/>
      <c r="V1057" s="776"/>
      <c r="W1057" s="776"/>
      <c r="X1057" s="776"/>
      <c r="Y1057" s="776"/>
      <c r="Z1057" s="776"/>
      <c r="AA1057" s="13"/>
    </row>
    <row r="1058" spans="6:27">
      <c r="F1058" s="776"/>
      <c r="G1058" s="776"/>
      <c r="H1058" s="776"/>
      <c r="I1058" s="776"/>
      <c r="J1058" s="776"/>
      <c r="K1058" s="776"/>
      <c r="L1058" s="776"/>
      <c r="M1058" s="776"/>
      <c r="O1058" s="776"/>
      <c r="P1058" s="776"/>
      <c r="Q1058" s="776"/>
      <c r="R1058" s="776"/>
      <c r="S1058" s="776"/>
      <c r="T1058" s="776"/>
      <c r="U1058" s="776"/>
      <c r="V1058" s="776"/>
      <c r="W1058" s="776"/>
      <c r="X1058" s="776"/>
      <c r="Y1058" s="776"/>
      <c r="Z1058" s="776"/>
      <c r="AA1058" s="13"/>
    </row>
    <row r="1059" spans="6:27">
      <c r="F1059" s="776"/>
      <c r="G1059" s="776"/>
      <c r="H1059" s="776"/>
      <c r="I1059" s="776"/>
      <c r="J1059" s="776"/>
      <c r="K1059" s="776"/>
      <c r="L1059" s="776"/>
      <c r="M1059" s="776"/>
      <c r="O1059" s="776"/>
      <c r="P1059" s="776"/>
      <c r="Q1059" s="776"/>
      <c r="R1059" s="776"/>
      <c r="S1059" s="776"/>
      <c r="T1059" s="776"/>
      <c r="U1059" s="776"/>
      <c r="V1059" s="776"/>
      <c r="W1059" s="776"/>
      <c r="X1059" s="776"/>
      <c r="Y1059" s="776"/>
      <c r="Z1059" s="776"/>
      <c r="AA1059" s="13"/>
    </row>
    <row r="1060" spans="6:27">
      <c r="F1060" s="776"/>
      <c r="G1060" s="776"/>
      <c r="H1060" s="776"/>
      <c r="I1060" s="776"/>
      <c r="J1060" s="776"/>
      <c r="K1060" s="776"/>
      <c r="L1060" s="776"/>
      <c r="M1060" s="776"/>
      <c r="O1060" s="776"/>
      <c r="P1060" s="776"/>
      <c r="Q1060" s="776"/>
      <c r="R1060" s="776"/>
      <c r="S1060" s="776"/>
      <c r="T1060" s="776"/>
      <c r="U1060" s="776"/>
      <c r="V1060" s="776"/>
      <c r="W1060" s="776"/>
      <c r="X1060" s="776"/>
      <c r="Y1060" s="776"/>
      <c r="Z1060" s="776"/>
      <c r="AA1060" s="13"/>
    </row>
    <row r="1061" spans="6:27">
      <c r="F1061" s="776"/>
      <c r="G1061" s="776"/>
      <c r="H1061" s="776"/>
      <c r="I1061" s="776"/>
      <c r="J1061" s="776"/>
      <c r="K1061" s="776"/>
      <c r="L1061" s="776"/>
      <c r="M1061" s="776"/>
      <c r="O1061" s="776"/>
      <c r="P1061" s="776"/>
      <c r="Q1061" s="776"/>
      <c r="R1061" s="776"/>
      <c r="S1061" s="776"/>
      <c r="T1061" s="776"/>
      <c r="U1061" s="776"/>
      <c r="V1061" s="776"/>
      <c r="W1061" s="776"/>
      <c r="X1061" s="776"/>
      <c r="Y1061" s="776"/>
      <c r="Z1061" s="776"/>
      <c r="AA1061" s="13"/>
    </row>
    <row r="1062" spans="6:27">
      <c r="F1062" s="776"/>
      <c r="G1062" s="776"/>
      <c r="H1062" s="776"/>
      <c r="I1062" s="776"/>
      <c r="J1062" s="776"/>
      <c r="K1062" s="776"/>
      <c r="L1062" s="776"/>
      <c r="M1062" s="776"/>
      <c r="O1062" s="776"/>
      <c r="P1062" s="776"/>
      <c r="Q1062" s="776"/>
      <c r="R1062" s="776"/>
      <c r="S1062" s="776"/>
      <c r="T1062" s="776"/>
      <c r="U1062" s="776"/>
      <c r="V1062" s="776"/>
      <c r="W1062" s="776"/>
      <c r="X1062" s="776"/>
      <c r="Y1062" s="776"/>
      <c r="Z1062" s="776"/>
      <c r="AA1062" s="13"/>
    </row>
    <row r="1063" spans="6:27">
      <c r="F1063" s="776"/>
      <c r="G1063" s="776"/>
      <c r="H1063" s="776"/>
      <c r="I1063" s="776"/>
      <c r="J1063" s="776"/>
      <c r="K1063" s="776"/>
      <c r="L1063" s="776"/>
      <c r="M1063" s="776"/>
      <c r="O1063" s="776"/>
      <c r="P1063" s="776"/>
      <c r="Q1063" s="776"/>
      <c r="R1063" s="776"/>
      <c r="S1063" s="776"/>
      <c r="T1063" s="776"/>
      <c r="U1063" s="776"/>
      <c r="V1063" s="776"/>
      <c r="W1063" s="776"/>
      <c r="X1063" s="776"/>
      <c r="Y1063" s="776"/>
      <c r="Z1063" s="776"/>
      <c r="AA1063" s="13"/>
    </row>
    <row r="1064" spans="6:27">
      <c r="F1064" s="776"/>
      <c r="G1064" s="776"/>
      <c r="H1064" s="776"/>
      <c r="I1064" s="776"/>
      <c r="J1064" s="776"/>
      <c r="K1064" s="776"/>
      <c r="L1064" s="776"/>
      <c r="M1064" s="776"/>
      <c r="O1064" s="776"/>
      <c r="P1064" s="776"/>
      <c r="Q1064" s="776"/>
      <c r="R1064" s="776"/>
      <c r="S1064" s="776"/>
      <c r="T1064" s="776"/>
      <c r="U1064" s="776"/>
      <c r="V1064" s="776"/>
      <c r="W1064" s="776"/>
      <c r="X1064" s="776"/>
      <c r="Y1064" s="776"/>
      <c r="Z1064" s="776"/>
      <c r="AA1064" s="13"/>
    </row>
    <row r="1065" spans="6:27">
      <c r="F1065" s="776"/>
      <c r="G1065" s="776"/>
      <c r="H1065" s="776"/>
      <c r="I1065" s="776"/>
      <c r="J1065" s="776"/>
      <c r="K1065" s="776"/>
      <c r="L1065" s="776"/>
      <c r="M1065" s="776"/>
      <c r="O1065" s="776"/>
      <c r="P1065" s="776"/>
      <c r="Q1065" s="776"/>
      <c r="R1065" s="776"/>
      <c r="S1065" s="776"/>
      <c r="T1065" s="776"/>
      <c r="U1065" s="776"/>
      <c r="V1065" s="776"/>
      <c r="W1065" s="776"/>
      <c r="X1065" s="776"/>
      <c r="Y1065" s="776"/>
      <c r="Z1065" s="776"/>
      <c r="AA1065" s="13"/>
    </row>
    <row r="1066" spans="6:27">
      <c r="F1066" s="776"/>
      <c r="G1066" s="776"/>
      <c r="H1066" s="776"/>
      <c r="I1066" s="776"/>
      <c r="J1066" s="776"/>
      <c r="K1066" s="776"/>
      <c r="L1066" s="776"/>
      <c r="M1066" s="776"/>
      <c r="O1066" s="776"/>
      <c r="P1066" s="776"/>
      <c r="Q1066" s="776"/>
      <c r="R1066" s="776"/>
      <c r="S1066" s="776"/>
      <c r="T1066" s="776"/>
      <c r="U1066" s="776"/>
      <c r="V1066" s="776"/>
      <c r="W1066" s="776"/>
      <c r="X1066" s="776"/>
      <c r="Y1066" s="776"/>
      <c r="Z1066" s="776"/>
      <c r="AA1066" s="13"/>
    </row>
    <row r="1067" spans="6:27">
      <c r="F1067" s="776"/>
      <c r="G1067" s="776"/>
      <c r="H1067" s="776"/>
      <c r="I1067" s="776"/>
      <c r="J1067" s="776"/>
      <c r="K1067" s="776"/>
      <c r="L1067" s="776"/>
      <c r="M1067" s="776"/>
      <c r="O1067" s="776"/>
      <c r="P1067" s="776"/>
      <c r="Q1067" s="776"/>
      <c r="R1067" s="776"/>
      <c r="S1067" s="776"/>
      <c r="T1067" s="776"/>
      <c r="U1067" s="776"/>
      <c r="V1067" s="776"/>
      <c r="W1067" s="776"/>
      <c r="X1067" s="776"/>
      <c r="Y1067" s="776"/>
      <c r="Z1067" s="776"/>
      <c r="AA1067" s="13"/>
    </row>
    <row r="1068" spans="6:27">
      <c r="F1068" s="776"/>
      <c r="G1068" s="776"/>
      <c r="H1068" s="776"/>
      <c r="I1068" s="776"/>
      <c r="J1068" s="776"/>
      <c r="K1068" s="776"/>
      <c r="L1068" s="776"/>
      <c r="M1068" s="776"/>
      <c r="O1068" s="776"/>
      <c r="P1068" s="776"/>
      <c r="Q1068" s="776"/>
      <c r="R1068" s="776"/>
      <c r="S1068" s="776"/>
      <c r="T1068" s="776"/>
      <c r="U1068" s="776"/>
      <c r="V1068" s="776"/>
      <c r="W1068" s="776"/>
      <c r="X1068" s="776"/>
      <c r="Y1068" s="776"/>
      <c r="Z1068" s="776"/>
      <c r="AA1068" s="13"/>
    </row>
    <row r="1069" spans="6:27">
      <c r="F1069" s="776"/>
      <c r="G1069" s="776"/>
      <c r="H1069" s="776"/>
      <c r="I1069" s="776"/>
      <c r="J1069" s="776"/>
      <c r="K1069" s="776"/>
      <c r="L1069" s="776"/>
      <c r="M1069" s="776"/>
      <c r="O1069" s="776"/>
      <c r="P1069" s="776"/>
      <c r="Q1069" s="776"/>
      <c r="R1069" s="776"/>
      <c r="S1069" s="776"/>
      <c r="T1069" s="776"/>
      <c r="U1069" s="776"/>
      <c r="V1069" s="776"/>
      <c r="W1069" s="776"/>
      <c r="X1069" s="776"/>
      <c r="Y1069" s="776"/>
      <c r="Z1069" s="776"/>
      <c r="AA1069" s="13"/>
    </row>
    <row r="1070" spans="6:27">
      <c r="F1070" s="776"/>
      <c r="G1070" s="776"/>
      <c r="H1070" s="776"/>
      <c r="I1070" s="776"/>
      <c r="J1070" s="776"/>
      <c r="K1070" s="776"/>
      <c r="L1070" s="776"/>
      <c r="M1070" s="776"/>
      <c r="O1070" s="776"/>
      <c r="P1070" s="776"/>
      <c r="Q1070" s="776"/>
      <c r="R1070" s="776"/>
      <c r="S1070" s="776"/>
      <c r="T1070" s="776"/>
      <c r="U1070" s="776"/>
      <c r="V1070" s="776"/>
      <c r="W1070" s="776"/>
      <c r="X1070" s="776"/>
      <c r="Y1070" s="776"/>
      <c r="Z1070" s="776"/>
      <c r="AA1070" s="13"/>
    </row>
    <row r="1071" spans="6:27">
      <c r="F1071" s="776"/>
      <c r="G1071" s="776"/>
      <c r="H1071" s="776"/>
      <c r="I1071" s="776"/>
      <c r="J1071" s="776"/>
      <c r="K1071" s="776"/>
      <c r="L1071" s="776"/>
      <c r="M1071" s="776"/>
      <c r="O1071" s="776"/>
      <c r="P1071" s="776"/>
      <c r="Q1071" s="776"/>
      <c r="R1071" s="776"/>
      <c r="S1071" s="776"/>
      <c r="T1071" s="776"/>
      <c r="U1071" s="776"/>
      <c r="V1071" s="776"/>
      <c r="W1071" s="776"/>
      <c r="X1071" s="776"/>
      <c r="Y1071" s="776"/>
      <c r="Z1071" s="776"/>
      <c r="AA1071" s="13"/>
    </row>
    <row r="1072" spans="6:27">
      <c r="F1072" s="776"/>
      <c r="G1072" s="776"/>
      <c r="H1072" s="776"/>
      <c r="I1072" s="776"/>
      <c r="J1072" s="776"/>
      <c r="K1072" s="776"/>
      <c r="L1072" s="776"/>
      <c r="M1072" s="776"/>
      <c r="O1072" s="776"/>
      <c r="P1072" s="776"/>
      <c r="Q1072" s="776"/>
      <c r="R1072" s="776"/>
      <c r="S1072" s="776"/>
      <c r="T1072" s="776"/>
      <c r="U1072" s="776"/>
      <c r="V1072" s="776"/>
      <c r="W1072" s="776"/>
      <c r="X1072" s="776"/>
      <c r="Y1072" s="776"/>
      <c r="Z1072" s="776"/>
      <c r="AA1072" s="13"/>
    </row>
    <row r="1073" spans="6:27">
      <c r="F1073" s="776"/>
      <c r="G1073" s="776"/>
      <c r="H1073" s="776"/>
      <c r="I1073" s="776"/>
      <c r="J1073" s="776"/>
      <c r="K1073" s="776"/>
      <c r="L1073" s="776"/>
      <c r="M1073" s="776"/>
      <c r="O1073" s="776"/>
      <c r="P1073" s="776"/>
      <c r="Q1073" s="776"/>
      <c r="R1073" s="776"/>
      <c r="S1073" s="776"/>
      <c r="T1073" s="776"/>
      <c r="U1073" s="776"/>
      <c r="V1073" s="776"/>
      <c r="W1073" s="776"/>
      <c r="X1073" s="776"/>
      <c r="Y1073" s="776"/>
      <c r="Z1073" s="776"/>
      <c r="AA1073" s="13"/>
    </row>
    <row r="1074" spans="6:27">
      <c r="F1074" s="776"/>
      <c r="G1074" s="776"/>
      <c r="H1074" s="776"/>
      <c r="I1074" s="776"/>
      <c r="J1074" s="776"/>
      <c r="K1074" s="776"/>
      <c r="L1074" s="776"/>
      <c r="M1074" s="776"/>
      <c r="O1074" s="776"/>
      <c r="P1074" s="776"/>
      <c r="Q1074" s="776"/>
      <c r="R1074" s="776"/>
      <c r="S1074" s="776"/>
      <c r="T1074" s="776"/>
      <c r="U1074" s="776"/>
      <c r="V1074" s="776"/>
      <c r="W1074" s="776"/>
      <c r="X1074" s="776"/>
      <c r="Y1074" s="776"/>
      <c r="Z1074" s="776"/>
      <c r="AA1074" s="13"/>
    </row>
    <row r="1075" spans="6:27">
      <c r="F1075" s="776"/>
      <c r="G1075" s="776"/>
      <c r="H1075" s="776"/>
      <c r="I1075" s="776"/>
      <c r="J1075" s="776"/>
      <c r="K1075" s="776"/>
      <c r="L1075" s="776"/>
      <c r="M1075" s="776"/>
      <c r="O1075" s="776"/>
      <c r="P1075" s="776"/>
      <c r="Q1075" s="776"/>
      <c r="R1075" s="776"/>
      <c r="S1075" s="776"/>
      <c r="T1075" s="776"/>
      <c r="U1075" s="776"/>
      <c r="V1075" s="776"/>
      <c r="W1075" s="776"/>
      <c r="X1075" s="776"/>
      <c r="Y1075" s="776"/>
      <c r="Z1075" s="776"/>
      <c r="AA1075" s="13"/>
    </row>
    <row r="1076" spans="6:27">
      <c r="F1076" s="776"/>
      <c r="G1076" s="776"/>
      <c r="H1076" s="776"/>
      <c r="I1076" s="776"/>
      <c r="J1076" s="776"/>
      <c r="K1076" s="776"/>
      <c r="L1076" s="776"/>
      <c r="M1076" s="776"/>
      <c r="O1076" s="776"/>
      <c r="P1076" s="776"/>
      <c r="Q1076" s="776"/>
      <c r="R1076" s="776"/>
      <c r="S1076" s="776"/>
      <c r="T1076" s="776"/>
      <c r="U1076" s="776"/>
      <c r="V1076" s="776"/>
      <c r="W1076" s="776"/>
      <c r="X1076" s="776"/>
      <c r="Y1076" s="776"/>
      <c r="Z1076" s="776"/>
      <c r="AA1076" s="13"/>
    </row>
    <row r="1077" spans="6:27">
      <c r="F1077" s="776"/>
      <c r="G1077" s="776"/>
      <c r="H1077" s="776"/>
      <c r="I1077" s="776"/>
      <c r="J1077" s="776"/>
      <c r="K1077" s="776"/>
      <c r="L1077" s="776"/>
      <c r="M1077" s="776"/>
      <c r="O1077" s="776"/>
      <c r="P1077" s="776"/>
      <c r="Q1077" s="776"/>
      <c r="R1077" s="776"/>
      <c r="S1077" s="776"/>
      <c r="T1077" s="776"/>
      <c r="U1077" s="776"/>
      <c r="V1077" s="776"/>
      <c r="W1077" s="776"/>
      <c r="X1077" s="776"/>
      <c r="Y1077" s="776"/>
      <c r="Z1077" s="776"/>
      <c r="AA1077" s="13"/>
    </row>
    <row r="1078" spans="6:27">
      <c r="F1078" s="776"/>
      <c r="G1078" s="776"/>
      <c r="H1078" s="776"/>
      <c r="I1078" s="776"/>
      <c r="J1078" s="776"/>
      <c r="K1078" s="776"/>
      <c r="L1078" s="776"/>
      <c r="M1078" s="776"/>
      <c r="O1078" s="776"/>
      <c r="P1078" s="776"/>
      <c r="Q1078" s="776"/>
      <c r="R1078" s="776"/>
      <c r="S1078" s="776"/>
      <c r="T1078" s="776"/>
      <c r="U1078" s="776"/>
      <c r="V1078" s="776"/>
      <c r="W1078" s="776"/>
      <c r="X1078" s="776"/>
      <c r="Y1078" s="776"/>
      <c r="Z1078" s="776"/>
      <c r="AA1078" s="13"/>
    </row>
    <row r="1079" spans="6:27">
      <c r="F1079" s="776"/>
      <c r="G1079" s="776"/>
      <c r="H1079" s="776"/>
      <c r="I1079" s="776"/>
      <c r="J1079" s="776"/>
      <c r="K1079" s="776"/>
      <c r="L1079" s="776"/>
      <c r="M1079" s="776"/>
      <c r="O1079" s="776"/>
      <c r="P1079" s="776"/>
      <c r="Q1079" s="776"/>
      <c r="R1079" s="776"/>
      <c r="S1079" s="776"/>
      <c r="T1079" s="776"/>
      <c r="U1079" s="776"/>
      <c r="V1079" s="776"/>
      <c r="W1079" s="776"/>
      <c r="X1079" s="776"/>
      <c r="Y1079" s="776"/>
      <c r="Z1079" s="776"/>
      <c r="AA1079" s="13"/>
    </row>
    <row r="1080" spans="6:27">
      <c r="F1080" s="776"/>
      <c r="G1080" s="776"/>
      <c r="H1080" s="776"/>
      <c r="I1080" s="776"/>
      <c r="J1080" s="776"/>
      <c r="K1080" s="776"/>
      <c r="L1080" s="776"/>
      <c r="M1080" s="776"/>
      <c r="O1080" s="776"/>
      <c r="P1080" s="776"/>
      <c r="Q1080" s="776"/>
      <c r="R1080" s="776"/>
      <c r="S1080" s="776"/>
      <c r="T1080" s="776"/>
      <c r="U1080" s="776"/>
      <c r="V1080" s="776"/>
      <c r="W1080" s="776"/>
      <c r="X1080" s="776"/>
      <c r="Y1080" s="776"/>
      <c r="Z1080" s="776"/>
      <c r="AA1080" s="13"/>
    </row>
    <row r="1081" spans="6:27">
      <c r="F1081" s="776"/>
      <c r="G1081" s="776"/>
      <c r="H1081" s="776"/>
      <c r="I1081" s="776"/>
      <c r="J1081" s="776"/>
      <c r="K1081" s="776"/>
      <c r="L1081" s="776"/>
      <c r="M1081" s="776"/>
      <c r="O1081" s="776"/>
      <c r="P1081" s="776"/>
      <c r="Q1081" s="776"/>
      <c r="R1081" s="776"/>
      <c r="S1081" s="776"/>
      <c r="T1081" s="776"/>
      <c r="U1081" s="776"/>
      <c r="V1081" s="776"/>
      <c r="W1081" s="776"/>
      <c r="X1081" s="776"/>
      <c r="Y1081" s="776"/>
      <c r="Z1081" s="776"/>
      <c r="AA1081" s="13"/>
    </row>
    <row r="1082" spans="6:27">
      <c r="F1082" s="776"/>
      <c r="G1082" s="776"/>
      <c r="H1082" s="776"/>
      <c r="I1082" s="776"/>
      <c r="J1082" s="776"/>
      <c r="K1082" s="776"/>
      <c r="L1082" s="776"/>
      <c r="M1082" s="776"/>
      <c r="O1082" s="776"/>
      <c r="P1082" s="776"/>
      <c r="Q1082" s="776"/>
      <c r="R1082" s="776"/>
      <c r="S1082" s="776"/>
      <c r="T1082" s="776"/>
      <c r="U1082" s="776"/>
      <c r="V1082" s="776"/>
      <c r="W1082" s="776"/>
      <c r="X1082" s="776"/>
      <c r="Y1082" s="776"/>
      <c r="Z1082" s="776"/>
      <c r="AA1082" s="13"/>
    </row>
    <row r="1083" spans="6:27">
      <c r="F1083" s="776"/>
      <c r="G1083" s="776"/>
      <c r="H1083" s="776"/>
      <c r="I1083" s="776"/>
      <c r="J1083" s="776"/>
      <c r="K1083" s="776"/>
      <c r="L1083" s="776"/>
      <c r="M1083" s="776"/>
      <c r="O1083" s="776"/>
      <c r="P1083" s="776"/>
      <c r="Q1083" s="776"/>
      <c r="R1083" s="776"/>
      <c r="S1083" s="776"/>
      <c r="T1083" s="776"/>
      <c r="U1083" s="776"/>
      <c r="V1083" s="776"/>
      <c r="W1083" s="776"/>
      <c r="X1083" s="776"/>
      <c r="Y1083" s="776"/>
      <c r="Z1083" s="776"/>
      <c r="AA1083" s="13"/>
    </row>
    <row r="1084" spans="6:27">
      <c r="F1084" s="776"/>
      <c r="G1084" s="776"/>
      <c r="H1084" s="776"/>
      <c r="I1084" s="776"/>
      <c r="J1084" s="776"/>
      <c r="K1084" s="776"/>
      <c r="L1084" s="776"/>
      <c r="M1084" s="776"/>
      <c r="O1084" s="776"/>
      <c r="P1084" s="776"/>
      <c r="Q1084" s="776"/>
      <c r="R1084" s="776"/>
      <c r="S1084" s="776"/>
      <c r="T1084" s="776"/>
      <c r="U1084" s="776"/>
      <c r="V1084" s="776"/>
      <c r="W1084" s="776"/>
      <c r="X1084" s="776"/>
      <c r="Y1084" s="776"/>
      <c r="Z1084" s="776"/>
      <c r="AA1084" s="13"/>
    </row>
    <row r="1085" spans="6:27">
      <c r="F1085" s="776"/>
      <c r="G1085" s="776"/>
      <c r="H1085" s="776"/>
      <c r="I1085" s="776"/>
      <c r="J1085" s="776"/>
      <c r="K1085" s="776"/>
      <c r="L1085" s="776"/>
      <c r="M1085" s="776"/>
      <c r="O1085" s="776"/>
      <c r="P1085" s="776"/>
      <c r="Q1085" s="776"/>
      <c r="R1085" s="776"/>
      <c r="S1085" s="776"/>
      <c r="T1085" s="776"/>
      <c r="U1085" s="776"/>
      <c r="V1085" s="776"/>
      <c r="W1085" s="776"/>
      <c r="X1085" s="776"/>
      <c r="Y1085" s="776"/>
      <c r="Z1085" s="776"/>
      <c r="AA1085" s="13"/>
    </row>
    <row r="1086" spans="6:27">
      <c r="F1086" s="776"/>
      <c r="G1086" s="776"/>
      <c r="H1086" s="776"/>
      <c r="I1086" s="776"/>
      <c r="J1086" s="776"/>
      <c r="K1086" s="776"/>
      <c r="L1086" s="776"/>
      <c r="M1086" s="776"/>
      <c r="O1086" s="776"/>
      <c r="P1086" s="776"/>
      <c r="Q1086" s="776"/>
      <c r="R1086" s="776"/>
      <c r="S1086" s="776"/>
      <c r="T1086" s="776"/>
      <c r="U1086" s="776"/>
      <c r="V1086" s="776"/>
      <c r="W1086" s="776"/>
      <c r="X1086" s="776"/>
      <c r="Y1086" s="776"/>
      <c r="Z1086" s="776"/>
      <c r="AA1086" s="13"/>
    </row>
    <row r="1087" spans="6:27">
      <c r="F1087" s="776"/>
      <c r="G1087" s="776"/>
      <c r="H1087" s="776"/>
      <c r="I1087" s="776"/>
      <c r="J1087" s="776"/>
      <c r="K1087" s="776"/>
      <c r="L1087" s="776"/>
      <c r="M1087" s="776"/>
      <c r="O1087" s="776"/>
      <c r="P1087" s="776"/>
      <c r="Q1087" s="776"/>
      <c r="R1087" s="776"/>
      <c r="S1087" s="776"/>
      <c r="T1087" s="776"/>
      <c r="U1087" s="776"/>
      <c r="V1087" s="776"/>
      <c r="W1087" s="776"/>
      <c r="X1087" s="776"/>
      <c r="Y1087" s="776"/>
      <c r="Z1087" s="776"/>
      <c r="AA1087" s="13"/>
    </row>
    <row r="1088" spans="6:27">
      <c r="F1088" s="776"/>
      <c r="G1088" s="776"/>
      <c r="H1088" s="776"/>
      <c r="I1088" s="776"/>
      <c r="J1088" s="776"/>
      <c r="K1088" s="776"/>
      <c r="L1088" s="776"/>
      <c r="M1088" s="776"/>
      <c r="O1088" s="776"/>
      <c r="P1088" s="776"/>
      <c r="Q1088" s="776"/>
      <c r="R1088" s="776"/>
      <c r="S1088" s="776"/>
      <c r="T1088" s="776"/>
      <c r="U1088" s="776"/>
      <c r="V1088" s="776"/>
      <c r="W1088" s="776"/>
      <c r="X1088" s="776"/>
      <c r="Y1088" s="776"/>
      <c r="Z1088" s="776"/>
      <c r="AA1088" s="13"/>
    </row>
    <row r="1089" spans="6:27">
      <c r="F1089" s="776"/>
      <c r="G1089" s="776"/>
      <c r="H1089" s="776"/>
      <c r="I1089" s="776"/>
      <c r="J1089" s="776"/>
      <c r="K1089" s="776"/>
      <c r="L1089" s="776"/>
      <c r="M1089" s="776"/>
      <c r="O1089" s="776"/>
      <c r="P1089" s="776"/>
      <c r="Q1089" s="776"/>
      <c r="R1089" s="776"/>
      <c r="S1089" s="776"/>
      <c r="T1089" s="776"/>
      <c r="U1089" s="776"/>
      <c r="V1089" s="776"/>
      <c r="W1089" s="776"/>
      <c r="X1089" s="776"/>
      <c r="Y1089" s="776"/>
      <c r="Z1089" s="776"/>
      <c r="AA1089" s="13"/>
    </row>
    <row r="1090" spans="6:27">
      <c r="F1090" s="776"/>
      <c r="G1090" s="776"/>
      <c r="H1090" s="776"/>
      <c r="I1090" s="776"/>
      <c r="J1090" s="776"/>
      <c r="K1090" s="776"/>
      <c r="L1090" s="776"/>
      <c r="M1090" s="776"/>
      <c r="O1090" s="776"/>
      <c r="P1090" s="776"/>
      <c r="Q1090" s="776"/>
      <c r="R1090" s="776"/>
      <c r="S1090" s="776"/>
      <c r="T1090" s="776"/>
      <c r="U1090" s="776"/>
      <c r="V1090" s="776"/>
      <c r="W1090" s="776"/>
      <c r="X1090" s="776"/>
      <c r="Y1090" s="776"/>
      <c r="Z1090" s="776"/>
      <c r="AA1090" s="13"/>
    </row>
    <row r="1091" spans="6:27">
      <c r="F1091" s="776"/>
      <c r="G1091" s="776"/>
      <c r="H1091" s="776"/>
      <c r="I1091" s="776"/>
      <c r="J1091" s="776"/>
      <c r="K1091" s="776"/>
      <c r="L1091" s="776"/>
      <c r="M1091" s="776"/>
      <c r="O1091" s="776"/>
      <c r="P1091" s="776"/>
      <c r="Q1091" s="776"/>
      <c r="R1091" s="776"/>
      <c r="S1091" s="776"/>
      <c r="T1091" s="776"/>
      <c r="U1091" s="776"/>
      <c r="V1091" s="776"/>
      <c r="W1091" s="776"/>
      <c r="X1091" s="776"/>
      <c r="Y1091" s="776"/>
      <c r="Z1091" s="776"/>
      <c r="AA1091" s="13"/>
    </row>
    <row r="1092" spans="6:27">
      <c r="F1092" s="776"/>
      <c r="G1092" s="776"/>
      <c r="H1092" s="776"/>
      <c r="I1092" s="776"/>
      <c r="J1092" s="776"/>
      <c r="K1092" s="776"/>
      <c r="L1092" s="776"/>
      <c r="M1092" s="776"/>
      <c r="O1092" s="776"/>
      <c r="P1092" s="776"/>
      <c r="Q1092" s="776"/>
      <c r="R1092" s="776"/>
      <c r="S1092" s="776"/>
      <c r="T1092" s="776"/>
      <c r="U1092" s="776"/>
      <c r="V1092" s="776"/>
      <c r="W1092" s="776"/>
      <c r="X1092" s="776"/>
      <c r="Y1092" s="776"/>
      <c r="Z1092" s="776"/>
      <c r="AA1092" s="13"/>
    </row>
    <row r="1093" spans="6:27">
      <c r="F1093" s="776"/>
      <c r="G1093" s="776"/>
      <c r="H1093" s="776"/>
      <c r="I1093" s="776"/>
      <c r="J1093" s="776"/>
      <c r="K1093" s="776"/>
      <c r="L1093" s="776"/>
      <c r="M1093" s="776"/>
      <c r="O1093" s="776"/>
      <c r="P1093" s="776"/>
      <c r="Q1093" s="776"/>
      <c r="R1093" s="776"/>
      <c r="S1093" s="776"/>
      <c r="T1093" s="776"/>
      <c r="U1093" s="776"/>
      <c r="V1093" s="776"/>
      <c r="W1093" s="776"/>
      <c r="X1093" s="776"/>
      <c r="Y1093" s="776"/>
      <c r="Z1093" s="776"/>
      <c r="AA1093" s="13"/>
    </row>
    <row r="1094" spans="6:27">
      <c r="F1094" s="776"/>
      <c r="G1094" s="776"/>
      <c r="H1094" s="776"/>
      <c r="I1094" s="776"/>
      <c r="J1094" s="776"/>
      <c r="K1094" s="776"/>
      <c r="L1094" s="776"/>
      <c r="M1094" s="776"/>
      <c r="O1094" s="776"/>
      <c r="P1094" s="776"/>
      <c r="Q1094" s="776"/>
      <c r="R1094" s="776"/>
      <c r="S1094" s="776"/>
      <c r="T1094" s="776"/>
      <c r="U1094" s="776"/>
      <c r="V1094" s="776"/>
      <c r="W1094" s="776"/>
      <c r="X1094" s="776"/>
      <c r="Y1094" s="776"/>
      <c r="Z1094" s="776"/>
      <c r="AA1094" s="13"/>
    </row>
    <row r="1095" spans="6:27">
      <c r="F1095" s="776"/>
      <c r="G1095" s="776"/>
      <c r="H1095" s="776"/>
      <c r="I1095" s="776"/>
      <c r="J1095" s="776"/>
      <c r="K1095" s="776"/>
      <c r="L1095" s="776"/>
      <c r="M1095" s="776"/>
      <c r="O1095" s="776"/>
      <c r="P1095" s="776"/>
      <c r="Q1095" s="776"/>
      <c r="R1095" s="776"/>
      <c r="S1095" s="776"/>
      <c r="T1095" s="776"/>
      <c r="U1095" s="776"/>
      <c r="V1095" s="776"/>
      <c r="W1095" s="776"/>
      <c r="X1095" s="776"/>
      <c r="Y1095" s="776"/>
      <c r="Z1095" s="776"/>
      <c r="AA1095" s="13"/>
    </row>
    <row r="1096" spans="6:27">
      <c r="F1096" s="776"/>
      <c r="G1096" s="776"/>
      <c r="H1096" s="776"/>
      <c r="I1096" s="776"/>
      <c r="J1096" s="776"/>
      <c r="K1096" s="776"/>
      <c r="L1096" s="776"/>
      <c r="M1096" s="776"/>
      <c r="O1096" s="776"/>
      <c r="P1096" s="776"/>
      <c r="Q1096" s="776"/>
      <c r="R1096" s="776"/>
      <c r="S1096" s="776"/>
      <c r="T1096" s="776"/>
      <c r="U1096" s="776"/>
      <c r="V1096" s="776"/>
      <c r="W1096" s="776"/>
      <c r="X1096" s="776"/>
      <c r="Y1096" s="776"/>
      <c r="Z1096" s="776"/>
      <c r="AA1096" s="13"/>
    </row>
    <row r="1097" spans="6:27">
      <c r="F1097" s="776"/>
      <c r="G1097" s="776"/>
      <c r="H1097" s="776"/>
      <c r="I1097" s="776"/>
      <c r="J1097" s="776"/>
      <c r="K1097" s="776"/>
      <c r="L1097" s="776"/>
      <c r="M1097" s="776"/>
      <c r="O1097" s="776"/>
      <c r="P1097" s="776"/>
      <c r="Q1097" s="776"/>
      <c r="R1097" s="776"/>
      <c r="S1097" s="776"/>
      <c r="T1097" s="776"/>
      <c r="U1097" s="776"/>
      <c r="V1097" s="776"/>
      <c r="W1097" s="776"/>
      <c r="X1097" s="776"/>
      <c r="Y1097" s="776"/>
      <c r="Z1097" s="776"/>
      <c r="AA1097" s="13"/>
    </row>
    <row r="1098" spans="6:27">
      <c r="F1098" s="776"/>
      <c r="G1098" s="776"/>
      <c r="H1098" s="776"/>
      <c r="I1098" s="776"/>
      <c r="J1098" s="776"/>
      <c r="K1098" s="776"/>
      <c r="L1098" s="776"/>
      <c r="M1098" s="776"/>
      <c r="O1098" s="776"/>
      <c r="P1098" s="776"/>
      <c r="Q1098" s="776"/>
      <c r="R1098" s="776"/>
      <c r="S1098" s="776"/>
      <c r="T1098" s="776"/>
      <c r="U1098" s="776"/>
      <c r="V1098" s="776"/>
      <c r="W1098" s="776"/>
      <c r="X1098" s="776"/>
      <c r="Y1098" s="776"/>
      <c r="Z1098" s="776"/>
      <c r="AA1098" s="13"/>
    </row>
    <row r="1099" spans="6:27">
      <c r="F1099" s="776"/>
      <c r="G1099" s="776"/>
      <c r="H1099" s="776"/>
      <c r="I1099" s="776"/>
      <c r="J1099" s="776"/>
      <c r="K1099" s="776"/>
      <c r="L1099" s="776"/>
      <c r="M1099" s="776"/>
      <c r="O1099" s="776"/>
      <c r="P1099" s="776"/>
      <c r="Q1099" s="776"/>
      <c r="R1099" s="776"/>
      <c r="S1099" s="776"/>
      <c r="T1099" s="776"/>
      <c r="U1099" s="776"/>
      <c r="V1099" s="776"/>
      <c r="W1099" s="776"/>
      <c r="X1099" s="776"/>
      <c r="Y1099" s="776"/>
      <c r="Z1099" s="776"/>
      <c r="AA1099" s="13"/>
    </row>
    <row r="1100" spans="6:27">
      <c r="F1100" s="776"/>
      <c r="G1100" s="776"/>
      <c r="H1100" s="776"/>
      <c r="I1100" s="776"/>
      <c r="J1100" s="776"/>
      <c r="K1100" s="776"/>
      <c r="L1100" s="776"/>
      <c r="M1100" s="776"/>
      <c r="O1100" s="776"/>
      <c r="P1100" s="776"/>
      <c r="Q1100" s="776"/>
      <c r="R1100" s="776"/>
      <c r="S1100" s="776"/>
      <c r="T1100" s="776"/>
      <c r="U1100" s="776"/>
      <c r="V1100" s="776"/>
      <c r="W1100" s="776"/>
      <c r="X1100" s="776"/>
      <c r="Y1100" s="776"/>
      <c r="Z1100" s="776"/>
      <c r="AA1100" s="13"/>
    </row>
    <row r="1101" spans="6:27">
      <c r="F1101" s="776"/>
      <c r="G1101" s="776"/>
      <c r="H1101" s="776"/>
      <c r="I1101" s="776"/>
      <c r="J1101" s="776"/>
      <c r="K1101" s="776"/>
      <c r="L1101" s="776"/>
      <c r="M1101" s="776"/>
      <c r="O1101" s="776"/>
      <c r="P1101" s="776"/>
      <c r="Q1101" s="776"/>
      <c r="R1101" s="776"/>
      <c r="S1101" s="776"/>
      <c r="T1101" s="776"/>
      <c r="U1101" s="776"/>
      <c r="V1101" s="776"/>
      <c r="W1101" s="776"/>
      <c r="X1101" s="776"/>
      <c r="Y1101" s="776"/>
      <c r="Z1101" s="776"/>
      <c r="AA1101" s="13"/>
    </row>
    <row r="1102" spans="6:27">
      <c r="F1102" s="776"/>
      <c r="G1102" s="776"/>
      <c r="H1102" s="776"/>
      <c r="I1102" s="776"/>
      <c r="J1102" s="776"/>
      <c r="K1102" s="776"/>
      <c r="L1102" s="776"/>
      <c r="M1102" s="776"/>
      <c r="O1102" s="776"/>
      <c r="P1102" s="776"/>
      <c r="Q1102" s="776"/>
      <c r="R1102" s="776"/>
      <c r="S1102" s="776"/>
      <c r="T1102" s="776"/>
      <c r="U1102" s="776"/>
      <c r="V1102" s="776"/>
      <c r="W1102" s="776"/>
      <c r="X1102" s="776"/>
      <c r="Y1102" s="776"/>
      <c r="Z1102" s="776"/>
      <c r="AA1102" s="13"/>
    </row>
    <row r="1103" spans="6:27">
      <c r="F1103" s="776"/>
      <c r="G1103" s="776"/>
      <c r="H1103" s="776"/>
      <c r="I1103" s="776"/>
      <c r="J1103" s="776"/>
      <c r="K1103" s="776"/>
      <c r="L1103" s="776"/>
      <c r="M1103" s="776"/>
      <c r="O1103" s="776"/>
      <c r="P1103" s="776"/>
      <c r="Q1103" s="776"/>
      <c r="R1103" s="776"/>
      <c r="S1103" s="776"/>
      <c r="T1103" s="776"/>
      <c r="U1103" s="776"/>
      <c r="V1103" s="776"/>
      <c r="W1103" s="776"/>
      <c r="X1103" s="776"/>
      <c r="Y1103" s="776"/>
      <c r="Z1103" s="776"/>
      <c r="AA1103" s="13"/>
    </row>
    <row r="1104" spans="6:27">
      <c r="F1104" s="776"/>
      <c r="G1104" s="776"/>
      <c r="H1104" s="776"/>
      <c r="I1104" s="776"/>
      <c r="J1104" s="776"/>
      <c r="K1104" s="776"/>
      <c r="L1104" s="776"/>
      <c r="M1104" s="776"/>
      <c r="O1104" s="776"/>
      <c r="P1104" s="776"/>
      <c r="Q1104" s="776"/>
      <c r="R1104" s="776"/>
      <c r="S1104" s="776"/>
      <c r="T1104" s="776"/>
      <c r="U1104" s="776"/>
      <c r="V1104" s="776"/>
      <c r="W1104" s="776"/>
      <c r="X1104" s="776"/>
      <c r="Y1104" s="776"/>
      <c r="Z1104" s="776"/>
      <c r="AA1104" s="13"/>
    </row>
    <row r="1105" spans="6:27">
      <c r="F1105" s="776"/>
      <c r="G1105" s="776"/>
      <c r="H1105" s="776"/>
      <c r="I1105" s="776"/>
      <c r="J1105" s="776"/>
      <c r="K1105" s="776"/>
      <c r="L1105" s="776"/>
      <c r="M1105" s="776"/>
      <c r="O1105" s="776"/>
      <c r="P1105" s="776"/>
      <c r="Q1105" s="776"/>
      <c r="R1105" s="776"/>
      <c r="S1105" s="776"/>
      <c r="T1105" s="776"/>
      <c r="U1105" s="776"/>
      <c r="V1105" s="776"/>
      <c r="W1105" s="776"/>
      <c r="X1105" s="776"/>
      <c r="Y1105" s="776"/>
      <c r="Z1105" s="776"/>
      <c r="AA1105" s="13"/>
    </row>
    <row r="1106" spans="6:27">
      <c r="F1106" s="776"/>
      <c r="G1106" s="776"/>
      <c r="H1106" s="776"/>
      <c r="I1106" s="776"/>
      <c r="J1106" s="776"/>
      <c r="K1106" s="776"/>
      <c r="L1106" s="776"/>
      <c r="M1106" s="776"/>
      <c r="O1106" s="776"/>
      <c r="P1106" s="776"/>
      <c r="Q1106" s="776"/>
      <c r="R1106" s="776"/>
      <c r="S1106" s="776"/>
      <c r="T1106" s="776"/>
      <c r="U1106" s="776"/>
      <c r="V1106" s="776"/>
      <c r="W1106" s="776"/>
      <c r="X1106" s="776"/>
      <c r="Y1106" s="776"/>
      <c r="Z1106" s="776"/>
      <c r="AA1106" s="13"/>
    </row>
    <row r="1107" spans="6:27">
      <c r="F1107" s="776"/>
      <c r="G1107" s="776"/>
      <c r="H1107" s="776"/>
      <c r="I1107" s="776"/>
      <c r="J1107" s="776"/>
      <c r="K1107" s="776"/>
      <c r="L1107" s="776"/>
      <c r="M1107" s="776"/>
      <c r="O1107" s="776"/>
      <c r="P1107" s="776"/>
      <c r="Q1107" s="776"/>
      <c r="R1107" s="776"/>
      <c r="S1107" s="776"/>
      <c r="T1107" s="776"/>
      <c r="U1107" s="776"/>
      <c r="V1107" s="776"/>
      <c r="W1107" s="776"/>
      <c r="X1107" s="776"/>
      <c r="Y1107" s="776"/>
      <c r="Z1107" s="776"/>
      <c r="AA1107" s="13"/>
    </row>
    <row r="1108" spans="6:27">
      <c r="F1108" s="776"/>
      <c r="G1108" s="776"/>
      <c r="H1108" s="776"/>
      <c r="I1108" s="776"/>
      <c r="J1108" s="776"/>
      <c r="K1108" s="776"/>
      <c r="L1108" s="776"/>
      <c r="M1108" s="776"/>
      <c r="O1108" s="776"/>
      <c r="P1108" s="776"/>
      <c r="Q1108" s="776"/>
      <c r="R1108" s="776"/>
      <c r="S1108" s="776"/>
      <c r="T1108" s="776"/>
      <c r="U1108" s="776"/>
      <c r="V1108" s="776"/>
      <c r="W1108" s="776"/>
      <c r="X1108" s="776"/>
      <c r="Y1108" s="776"/>
      <c r="Z1108" s="776"/>
      <c r="AA1108" s="13"/>
    </row>
    <row r="1109" spans="6:27">
      <c r="F1109" s="776"/>
      <c r="G1109" s="776"/>
      <c r="H1109" s="776"/>
      <c r="I1109" s="776"/>
      <c r="J1109" s="776"/>
      <c r="K1109" s="776"/>
      <c r="L1109" s="776"/>
      <c r="M1109" s="776"/>
      <c r="O1109" s="776"/>
      <c r="P1109" s="776"/>
      <c r="Q1109" s="776"/>
      <c r="R1109" s="776"/>
      <c r="S1109" s="776"/>
      <c r="T1109" s="776"/>
      <c r="U1109" s="776"/>
      <c r="V1109" s="776"/>
      <c r="W1109" s="776"/>
      <c r="X1109" s="776"/>
      <c r="Y1109" s="776"/>
      <c r="Z1109" s="776"/>
      <c r="AA1109" s="13"/>
    </row>
    <row r="1110" spans="6:27">
      <c r="F1110" s="776"/>
      <c r="G1110" s="776"/>
      <c r="H1110" s="776"/>
      <c r="I1110" s="776"/>
      <c r="J1110" s="776"/>
      <c r="K1110" s="776"/>
      <c r="L1110" s="776"/>
      <c r="M1110" s="776"/>
      <c r="O1110" s="776"/>
      <c r="P1110" s="776"/>
      <c r="Q1110" s="776"/>
      <c r="R1110" s="776"/>
      <c r="S1110" s="776"/>
      <c r="T1110" s="776"/>
      <c r="U1110" s="776"/>
      <c r="V1110" s="776"/>
      <c r="W1110" s="776"/>
      <c r="X1110" s="776"/>
      <c r="Y1110" s="776"/>
      <c r="Z1110" s="776"/>
      <c r="AA1110" s="13"/>
    </row>
    <row r="1111" spans="6:27">
      <c r="F1111" s="776"/>
      <c r="G1111" s="776"/>
      <c r="H1111" s="776"/>
      <c r="I1111" s="776"/>
      <c r="J1111" s="776"/>
      <c r="K1111" s="776"/>
      <c r="L1111" s="776"/>
      <c r="M1111" s="776"/>
      <c r="O1111" s="776"/>
      <c r="P1111" s="776"/>
      <c r="Q1111" s="776"/>
      <c r="R1111" s="776"/>
      <c r="S1111" s="776"/>
      <c r="T1111" s="776"/>
      <c r="U1111" s="776"/>
      <c r="V1111" s="776"/>
      <c r="W1111" s="776"/>
      <c r="X1111" s="776"/>
      <c r="Y1111" s="776"/>
      <c r="Z1111" s="776"/>
      <c r="AA1111" s="13"/>
    </row>
    <row r="1112" spans="6:27">
      <c r="F1112" s="776"/>
      <c r="G1112" s="776"/>
      <c r="H1112" s="776"/>
      <c r="I1112" s="776"/>
      <c r="J1112" s="776"/>
      <c r="K1112" s="776"/>
      <c r="L1112" s="776"/>
      <c r="M1112" s="776"/>
      <c r="O1112" s="776"/>
      <c r="P1112" s="776"/>
      <c r="Q1112" s="776"/>
      <c r="R1112" s="776"/>
      <c r="S1112" s="776"/>
      <c r="T1112" s="776"/>
      <c r="U1112" s="776"/>
      <c r="V1112" s="776"/>
      <c r="W1112" s="776"/>
      <c r="X1112" s="776"/>
      <c r="Y1112" s="776"/>
      <c r="Z1112" s="776"/>
      <c r="AA1112" s="13"/>
    </row>
    <row r="1113" spans="6:27">
      <c r="F1113" s="776"/>
      <c r="G1113" s="776"/>
      <c r="H1113" s="776"/>
      <c r="I1113" s="776"/>
      <c r="J1113" s="776"/>
      <c r="K1113" s="776"/>
      <c r="L1113" s="776"/>
      <c r="M1113" s="776"/>
      <c r="O1113" s="776"/>
      <c r="P1113" s="776"/>
      <c r="Q1113" s="776"/>
      <c r="R1113" s="776"/>
      <c r="S1113" s="776"/>
      <c r="T1113" s="776"/>
      <c r="U1113" s="776"/>
      <c r="V1113" s="776"/>
      <c r="W1113" s="776"/>
      <c r="X1113" s="776"/>
      <c r="Y1113" s="776"/>
      <c r="Z1113" s="776"/>
      <c r="AA1113" s="13"/>
    </row>
    <row r="1114" spans="6:27">
      <c r="F1114" s="776"/>
      <c r="G1114" s="776"/>
      <c r="H1114" s="776"/>
      <c r="I1114" s="776"/>
      <c r="J1114" s="776"/>
      <c r="K1114" s="776"/>
      <c r="L1114" s="776"/>
      <c r="M1114" s="776"/>
      <c r="O1114" s="776"/>
      <c r="P1114" s="776"/>
      <c r="Q1114" s="776"/>
      <c r="R1114" s="776"/>
      <c r="S1114" s="776"/>
      <c r="T1114" s="776"/>
      <c r="U1114" s="776"/>
      <c r="V1114" s="776"/>
      <c r="W1114" s="776"/>
      <c r="X1114" s="776"/>
      <c r="Y1114" s="776"/>
      <c r="Z1114" s="776"/>
      <c r="AA1114" s="13"/>
    </row>
    <row r="1115" spans="6:27">
      <c r="F1115" s="776"/>
      <c r="G1115" s="776"/>
      <c r="H1115" s="776"/>
      <c r="I1115" s="776"/>
      <c r="J1115" s="776"/>
      <c r="K1115" s="776"/>
      <c r="L1115" s="776"/>
      <c r="M1115" s="776"/>
      <c r="O1115" s="776"/>
      <c r="P1115" s="776"/>
      <c r="Q1115" s="776"/>
      <c r="R1115" s="776"/>
      <c r="S1115" s="776"/>
      <c r="T1115" s="776"/>
      <c r="U1115" s="776"/>
      <c r="V1115" s="776"/>
      <c r="W1115" s="776"/>
      <c r="X1115" s="776"/>
      <c r="Y1115" s="776"/>
      <c r="Z1115" s="776"/>
      <c r="AA1115" s="13"/>
    </row>
    <row r="1116" spans="6:27">
      <c r="F1116" s="776"/>
      <c r="G1116" s="776"/>
      <c r="H1116" s="776"/>
      <c r="I1116" s="776"/>
      <c r="J1116" s="776"/>
      <c r="K1116" s="776"/>
      <c r="L1116" s="776"/>
      <c r="M1116" s="776"/>
      <c r="O1116" s="776"/>
      <c r="P1116" s="776"/>
      <c r="Q1116" s="776"/>
      <c r="R1116" s="776"/>
      <c r="S1116" s="776"/>
      <c r="T1116" s="776"/>
      <c r="U1116" s="776"/>
      <c r="V1116" s="776"/>
      <c r="W1116" s="776"/>
      <c r="X1116" s="776"/>
      <c r="Y1116" s="776"/>
      <c r="Z1116" s="776"/>
      <c r="AA1116" s="13"/>
    </row>
    <row r="1117" spans="6:27">
      <c r="F1117" s="776"/>
      <c r="G1117" s="776"/>
      <c r="H1117" s="776"/>
      <c r="I1117" s="776"/>
      <c r="J1117" s="776"/>
      <c r="K1117" s="776"/>
      <c r="L1117" s="776"/>
      <c r="M1117" s="776"/>
      <c r="O1117" s="776"/>
      <c r="P1117" s="776"/>
      <c r="Q1117" s="776"/>
      <c r="R1117" s="776"/>
      <c r="S1117" s="776"/>
      <c r="T1117" s="776"/>
      <c r="U1117" s="776"/>
      <c r="V1117" s="776"/>
      <c r="W1117" s="776"/>
      <c r="X1117" s="776"/>
      <c r="Y1117" s="776"/>
      <c r="Z1117" s="776"/>
      <c r="AA1117" s="13"/>
    </row>
    <row r="1118" spans="6:27">
      <c r="F1118" s="776"/>
      <c r="G1118" s="776"/>
      <c r="H1118" s="776"/>
      <c r="I1118" s="776"/>
      <c r="J1118" s="776"/>
      <c r="K1118" s="776"/>
      <c r="L1118" s="776"/>
      <c r="M1118" s="776"/>
      <c r="O1118" s="776"/>
      <c r="P1118" s="776"/>
      <c r="Q1118" s="776"/>
      <c r="R1118" s="776"/>
      <c r="S1118" s="776"/>
      <c r="T1118" s="776"/>
      <c r="U1118" s="776"/>
      <c r="V1118" s="776"/>
      <c r="W1118" s="776"/>
      <c r="X1118" s="776"/>
      <c r="Y1118" s="776"/>
      <c r="Z1118" s="776"/>
      <c r="AA1118" s="13"/>
    </row>
    <row r="1119" spans="6:27">
      <c r="F1119" s="776"/>
      <c r="G1119" s="776"/>
      <c r="H1119" s="776"/>
      <c r="I1119" s="776"/>
      <c r="J1119" s="776"/>
      <c r="K1119" s="776"/>
      <c r="L1119" s="776"/>
      <c r="M1119" s="776"/>
      <c r="O1119" s="776"/>
      <c r="P1119" s="776"/>
      <c r="Q1119" s="776"/>
      <c r="R1119" s="776"/>
      <c r="S1119" s="776"/>
      <c r="T1119" s="776"/>
      <c r="U1119" s="776"/>
      <c r="V1119" s="776"/>
      <c r="W1119" s="776"/>
      <c r="X1119" s="776"/>
      <c r="Y1119" s="776"/>
      <c r="Z1119" s="776"/>
      <c r="AA1119" s="13"/>
    </row>
    <row r="1120" spans="6:27">
      <c r="F1120" s="776"/>
      <c r="G1120" s="776"/>
      <c r="H1120" s="776"/>
      <c r="I1120" s="776"/>
      <c r="J1120" s="776"/>
      <c r="K1120" s="776"/>
      <c r="L1120" s="776"/>
      <c r="M1120" s="776"/>
      <c r="O1120" s="776"/>
      <c r="P1120" s="776"/>
      <c r="Q1120" s="776"/>
      <c r="R1120" s="776"/>
      <c r="S1120" s="776"/>
      <c r="T1120" s="776"/>
      <c r="U1120" s="776"/>
      <c r="V1120" s="776"/>
      <c r="W1120" s="776"/>
      <c r="X1120" s="776"/>
      <c r="Y1120" s="776"/>
      <c r="Z1120" s="776"/>
      <c r="AA1120" s="13"/>
    </row>
    <row r="1121" spans="6:27">
      <c r="F1121" s="776"/>
      <c r="G1121" s="776"/>
      <c r="H1121" s="776"/>
      <c r="I1121" s="776"/>
      <c r="J1121" s="776"/>
      <c r="K1121" s="776"/>
      <c r="L1121" s="776"/>
      <c r="M1121" s="776"/>
      <c r="O1121" s="776"/>
      <c r="P1121" s="776"/>
      <c r="Q1121" s="776"/>
      <c r="R1121" s="776"/>
      <c r="S1121" s="776"/>
      <c r="T1121" s="776"/>
      <c r="U1121" s="776"/>
      <c r="V1121" s="776"/>
      <c r="W1121" s="776"/>
      <c r="X1121" s="776"/>
      <c r="Y1121" s="776"/>
      <c r="Z1121" s="776"/>
      <c r="AA1121" s="13"/>
    </row>
    <row r="1122" spans="6:27">
      <c r="F1122" s="776"/>
      <c r="G1122" s="776"/>
      <c r="H1122" s="776"/>
      <c r="I1122" s="776"/>
      <c r="J1122" s="776"/>
      <c r="K1122" s="776"/>
      <c r="L1122" s="776"/>
      <c r="M1122" s="776"/>
      <c r="O1122" s="776"/>
      <c r="P1122" s="776"/>
      <c r="Q1122" s="776"/>
      <c r="R1122" s="776"/>
      <c r="S1122" s="776"/>
      <c r="T1122" s="776"/>
      <c r="U1122" s="776"/>
      <c r="V1122" s="776"/>
      <c r="W1122" s="776"/>
      <c r="X1122" s="776"/>
      <c r="Y1122" s="776"/>
      <c r="Z1122" s="776"/>
      <c r="AA1122" s="13"/>
    </row>
    <row r="1123" spans="6:27">
      <c r="F1123" s="776"/>
      <c r="G1123" s="776"/>
      <c r="H1123" s="776"/>
      <c r="I1123" s="776"/>
      <c r="J1123" s="776"/>
      <c r="K1123" s="776"/>
      <c r="L1123" s="776"/>
      <c r="M1123" s="776"/>
      <c r="O1123" s="776"/>
      <c r="P1123" s="776"/>
      <c r="Q1123" s="776"/>
      <c r="R1123" s="776"/>
      <c r="S1123" s="776"/>
      <c r="T1123" s="776"/>
      <c r="U1123" s="776"/>
      <c r="V1123" s="776"/>
      <c r="W1123" s="776"/>
      <c r="X1123" s="776"/>
      <c r="Y1123" s="776"/>
      <c r="Z1123" s="776"/>
      <c r="AA1123" s="13"/>
    </row>
    <row r="1124" spans="6:27">
      <c r="F1124" s="776"/>
      <c r="G1124" s="776"/>
      <c r="H1124" s="776"/>
      <c r="I1124" s="776"/>
      <c r="J1124" s="776"/>
      <c r="K1124" s="776"/>
      <c r="L1124" s="776"/>
      <c r="M1124" s="776"/>
      <c r="O1124" s="776"/>
      <c r="P1124" s="776"/>
      <c r="Q1124" s="776"/>
      <c r="R1124" s="776"/>
      <c r="S1124" s="776"/>
      <c r="T1124" s="776"/>
      <c r="U1124" s="776"/>
      <c r="V1124" s="776"/>
      <c r="W1124" s="776"/>
      <c r="X1124" s="776"/>
      <c r="Y1124" s="776"/>
      <c r="Z1124" s="776"/>
      <c r="AA1124" s="13"/>
    </row>
    <row r="1125" spans="6:27">
      <c r="F1125" s="776"/>
      <c r="G1125" s="776"/>
      <c r="H1125" s="776"/>
      <c r="I1125" s="776"/>
      <c r="J1125" s="776"/>
      <c r="K1125" s="776"/>
      <c r="L1125" s="776"/>
      <c r="M1125" s="776"/>
      <c r="O1125" s="776"/>
      <c r="P1125" s="776"/>
      <c r="Q1125" s="776"/>
      <c r="R1125" s="776"/>
      <c r="S1125" s="776"/>
      <c r="T1125" s="776"/>
      <c r="U1125" s="776"/>
      <c r="V1125" s="776"/>
      <c r="W1125" s="776"/>
      <c r="X1125" s="776"/>
      <c r="Y1125" s="776"/>
      <c r="Z1125" s="776"/>
      <c r="AA1125" s="13"/>
    </row>
    <row r="1126" spans="6:27">
      <c r="F1126" s="776"/>
      <c r="G1126" s="776"/>
      <c r="H1126" s="776"/>
      <c r="I1126" s="776"/>
      <c r="J1126" s="776"/>
      <c r="K1126" s="776"/>
      <c r="L1126" s="776"/>
      <c r="M1126" s="776"/>
      <c r="O1126" s="776"/>
      <c r="P1126" s="776"/>
      <c r="Q1126" s="776"/>
      <c r="R1126" s="776"/>
      <c r="S1126" s="776"/>
      <c r="T1126" s="776"/>
      <c r="U1126" s="776"/>
      <c r="V1126" s="776"/>
      <c r="W1126" s="776"/>
      <c r="X1126" s="776"/>
      <c r="Y1126" s="776"/>
      <c r="Z1126" s="776"/>
      <c r="AA1126" s="13"/>
    </row>
    <row r="1127" spans="6:27">
      <c r="F1127" s="776"/>
      <c r="G1127" s="776"/>
      <c r="H1127" s="776"/>
      <c r="I1127" s="776"/>
      <c r="J1127" s="776"/>
      <c r="K1127" s="776"/>
      <c r="L1127" s="776"/>
      <c r="M1127" s="776"/>
      <c r="O1127" s="776"/>
      <c r="P1127" s="776"/>
      <c r="Q1127" s="776"/>
      <c r="R1127" s="776"/>
      <c r="S1127" s="776"/>
      <c r="T1127" s="776"/>
      <c r="U1127" s="776"/>
      <c r="V1127" s="776"/>
      <c r="W1127" s="776"/>
      <c r="X1127" s="776"/>
      <c r="Y1127" s="776"/>
      <c r="Z1127" s="776"/>
      <c r="AA1127" s="13"/>
    </row>
    <row r="1128" spans="6:27">
      <c r="F1128" s="776"/>
      <c r="G1128" s="776"/>
      <c r="H1128" s="776"/>
      <c r="I1128" s="776"/>
      <c r="J1128" s="776"/>
      <c r="K1128" s="776"/>
      <c r="L1128" s="776"/>
      <c r="M1128" s="776"/>
      <c r="O1128" s="776"/>
      <c r="P1128" s="776"/>
      <c r="Q1128" s="776"/>
      <c r="R1128" s="776"/>
      <c r="S1128" s="776"/>
      <c r="T1128" s="776"/>
      <c r="U1128" s="776"/>
      <c r="V1128" s="776"/>
      <c r="W1128" s="776"/>
      <c r="X1128" s="776"/>
      <c r="Y1128" s="776"/>
      <c r="Z1128" s="776"/>
      <c r="AA1128" s="13"/>
    </row>
    <row r="1129" spans="6:27">
      <c r="F1129" s="776"/>
      <c r="G1129" s="776"/>
      <c r="H1129" s="776"/>
      <c r="I1129" s="776"/>
      <c r="J1129" s="776"/>
      <c r="K1129" s="776"/>
      <c r="L1129" s="776"/>
      <c r="M1129" s="776"/>
      <c r="O1129" s="776"/>
      <c r="P1129" s="776"/>
      <c r="Q1129" s="776"/>
      <c r="R1129" s="776"/>
      <c r="S1129" s="776"/>
      <c r="T1129" s="776"/>
      <c r="U1129" s="776"/>
      <c r="V1129" s="776"/>
      <c r="W1129" s="776"/>
      <c r="X1129" s="776"/>
      <c r="Y1129" s="776"/>
      <c r="Z1129" s="776"/>
      <c r="AA1129" s="13"/>
    </row>
    <row r="1130" spans="6:27">
      <c r="F1130" s="776"/>
      <c r="G1130" s="776"/>
      <c r="H1130" s="776"/>
      <c r="I1130" s="776"/>
      <c r="J1130" s="776"/>
      <c r="K1130" s="776"/>
      <c r="L1130" s="776"/>
      <c r="M1130" s="776"/>
      <c r="O1130" s="776"/>
      <c r="P1130" s="776"/>
      <c r="Q1130" s="776"/>
      <c r="R1130" s="776"/>
      <c r="S1130" s="776"/>
      <c r="T1130" s="776"/>
      <c r="U1130" s="776"/>
      <c r="V1130" s="776"/>
      <c r="W1130" s="776"/>
      <c r="X1130" s="776"/>
      <c r="Y1130" s="776"/>
      <c r="Z1130" s="776"/>
      <c r="AA1130" s="13"/>
    </row>
    <row r="1131" spans="6:27">
      <c r="F1131" s="776"/>
      <c r="G1131" s="776"/>
      <c r="H1131" s="776"/>
      <c r="I1131" s="776"/>
      <c r="J1131" s="776"/>
      <c r="K1131" s="776"/>
      <c r="L1131" s="776"/>
      <c r="M1131" s="776"/>
      <c r="O1131" s="776"/>
      <c r="P1131" s="776"/>
      <c r="Q1131" s="776"/>
      <c r="R1131" s="776"/>
      <c r="S1131" s="776"/>
      <c r="T1131" s="776"/>
      <c r="U1131" s="776"/>
      <c r="V1131" s="776"/>
      <c r="W1131" s="776"/>
      <c r="X1131" s="776"/>
      <c r="Y1131" s="776"/>
      <c r="Z1131" s="776"/>
      <c r="AA1131" s="13"/>
    </row>
    <row r="1132" spans="6:27">
      <c r="F1132" s="776"/>
      <c r="G1132" s="776"/>
      <c r="H1132" s="776"/>
      <c r="I1132" s="776"/>
      <c r="J1132" s="776"/>
      <c r="K1132" s="776"/>
      <c r="L1132" s="776"/>
      <c r="M1132" s="776"/>
      <c r="O1132" s="776"/>
      <c r="P1132" s="776"/>
      <c r="Q1132" s="776"/>
      <c r="R1132" s="776"/>
      <c r="S1132" s="776"/>
      <c r="T1132" s="776"/>
      <c r="U1132" s="776"/>
      <c r="V1132" s="776"/>
      <c r="W1132" s="776"/>
      <c r="X1132" s="776"/>
      <c r="Y1132" s="776"/>
      <c r="Z1132" s="776"/>
      <c r="AA1132" s="13"/>
    </row>
    <row r="1133" spans="6:27">
      <c r="F1133" s="776"/>
      <c r="G1133" s="776"/>
      <c r="H1133" s="776"/>
      <c r="I1133" s="776"/>
      <c r="J1133" s="776"/>
      <c r="K1133" s="776"/>
      <c r="L1133" s="776"/>
      <c r="M1133" s="776"/>
      <c r="O1133" s="776"/>
      <c r="P1133" s="776"/>
      <c r="Q1133" s="776"/>
      <c r="R1133" s="776"/>
      <c r="S1133" s="776"/>
      <c r="T1133" s="776"/>
      <c r="U1133" s="776"/>
      <c r="V1133" s="776"/>
      <c r="W1133" s="776"/>
      <c r="X1133" s="776"/>
      <c r="Y1133" s="776"/>
      <c r="Z1133" s="776"/>
      <c r="AA1133" s="13"/>
    </row>
    <row r="1134" spans="6:27">
      <c r="F1134" s="776"/>
      <c r="G1134" s="776"/>
      <c r="H1134" s="776"/>
      <c r="I1134" s="776"/>
      <c r="J1134" s="776"/>
      <c r="K1134" s="776"/>
      <c r="L1134" s="776"/>
      <c r="M1134" s="776"/>
      <c r="O1134" s="776"/>
      <c r="P1134" s="776"/>
      <c r="Q1134" s="776"/>
      <c r="R1134" s="776"/>
      <c r="S1134" s="776"/>
      <c r="T1134" s="776"/>
      <c r="U1134" s="776"/>
      <c r="V1134" s="776"/>
      <c r="W1134" s="776"/>
      <c r="X1134" s="776"/>
      <c r="Y1134" s="776"/>
      <c r="Z1134" s="776"/>
      <c r="AA1134" s="13"/>
    </row>
    <row r="1135" spans="6:27">
      <c r="F1135" s="776"/>
      <c r="G1135" s="776"/>
      <c r="H1135" s="776"/>
      <c r="I1135" s="776"/>
      <c r="J1135" s="776"/>
      <c r="K1135" s="776"/>
      <c r="L1135" s="776"/>
      <c r="M1135" s="776"/>
      <c r="O1135" s="776"/>
      <c r="P1135" s="776"/>
      <c r="Q1135" s="776"/>
      <c r="R1135" s="776"/>
      <c r="S1135" s="776"/>
      <c r="T1135" s="776"/>
      <c r="U1135" s="776"/>
      <c r="V1135" s="776"/>
      <c r="W1135" s="776"/>
      <c r="X1135" s="776"/>
      <c r="Y1135" s="776"/>
      <c r="Z1135" s="776"/>
      <c r="AA1135" s="13"/>
    </row>
    <row r="1136" spans="6:27">
      <c r="F1136" s="776"/>
      <c r="G1136" s="776"/>
      <c r="H1136" s="776"/>
      <c r="I1136" s="776"/>
      <c r="J1136" s="776"/>
      <c r="K1136" s="776"/>
      <c r="L1136" s="776"/>
      <c r="M1136" s="776"/>
      <c r="O1136" s="776"/>
      <c r="P1136" s="776"/>
      <c r="Q1136" s="776"/>
      <c r="R1136" s="776"/>
      <c r="S1136" s="776"/>
      <c r="T1136" s="776"/>
      <c r="U1136" s="776"/>
      <c r="V1136" s="776"/>
      <c r="W1136" s="776"/>
      <c r="X1136" s="776"/>
      <c r="Y1136" s="776"/>
      <c r="Z1136" s="776"/>
      <c r="AA1136" s="13"/>
    </row>
    <row r="1137" spans="6:27">
      <c r="F1137" s="776"/>
      <c r="G1137" s="776"/>
      <c r="H1137" s="776"/>
      <c r="I1137" s="776"/>
      <c r="J1137" s="776"/>
      <c r="K1137" s="776"/>
      <c r="L1137" s="776"/>
      <c r="M1137" s="776"/>
      <c r="O1137" s="776"/>
      <c r="P1137" s="776"/>
      <c r="Q1137" s="776"/>
      <c r="R1137" s="776"/>
      <c r="S1137" s="776"/>
      <c r="T1137" s="776"/>
      <c r="U1137" s="776"/>
      <c r="V1137" s="776"/>
      <c r="W1137" s="776"/>
      <c r="X1137" s="776"/>
      <c r="Y1137" s="776"/>
      <c r="Z1137" s="776"/>
      <c r="AA1137" s="13"/>
    </row>
    <row r="1138" spans="6:27">
      <c r="F1138" s="776"/>
      <c r="G1138" s="776"/>
      <c r="H1138" s="776"/>
      <c r="I1138" s="776"/>
      <c r="J1138" s="776"/>
      <c r="K1138" s="776"/>
      <c r="L1138" s="776"/>
      <c r="M1138" s="776"/>
      <c r="O1138" s="776"/>
      <c r="P1138" s="776"/>
      <c r="Q1138" s="776"/>
      <c r="R1138" s="776"/>
      <c r="S1138" s="776"/>
      <c r="T1138" s="776"/>
      <c r="U1138" s="776"/>
      <c r="V1138" s="776"/>
      <c r="W1138" s="776"/>
      <c r="X1138" s="776"/>
      <c r="Y1138" s="776"/>
      <c r="Z1138" s="776"/>
      <c r="AA1138" s="13"/>
    </row>
    <row r="1139" spans="6:27">
      <c r="F1139" s="776"/>
      <c r="G1139" s="776"/>
      <c r="H1139" s="776"/>
      <c r="I1139" s="776"/>
      <c r="J1139" s="776"/>
      <c r="K1139" s="776"/>
      <c r="L1139" s="776"/>
      <c r="M1139" s="776"/>
      <c r="O1139" s="776"/>
      <c r="P1139" s="776"/>
      <c r="Q1139" s="776"/>
      <c r="R1139" s="776"/>
      <c r="S1139" s="776"/>
      <c r="T1139" s="776"/>
      <c r="U1139" s="776"/>
      <c r="V1139" s="776"/>
      <c r="W1139" s="776"/>
      <c r="X1139" s="776"/>
      <c r="Y1139" s="776"/>
      <c r="Z1139" s="776"/>
      <c r="AA1139" s="13"/>
    </row>
    <row r="1140" spans="6:27">
      <c r="F1140" s="776"/>
      <c r="G1140" s="776"/>
      <c r="H1140" s="776"/>
      <c r="I1140" s="776"/>
      <c r="J1140" s="776"/>
      <c r="K1140" s="776"/>
      <c r="L1140" s="776"/>
      <c r="M1140" s="776"/>
      <c r="O1140" s="776"/>
      <c r="P1140" s="776"/>
      <c r="Q1140" s="776"/>
      <c r="R1140" s="776"/>
      <c r="S1140" s="776"/>
      <c r="T1140" s="776"/>
      <c r="U1140" s="776"/>
      <c r="V1140" s="776"/>
      <c r="W1140" s="776"/>
      <c r="X1140" s="776"/>
      <c r="Y1140" s="776"/>
      <c r="Z1140" s="776"/>
      <c r="AA1140" s="13"/>
    </row>
    <row r="1141" spans="6:27">
      <c r="F1141" s="776"/>
      <c r="G1141" s="776"/>
      <c r="H1141" s="776"/>
      <c r="I1141" s="776"/>
      <c r="J1141" s="776"/>
      <c r="K1141" s="776"/>
      <c r="L1141" s="776"/>
      <c r="M1141" s="776"/>
      <c r="O1141" s="776"/>
      <c r="P1141" s="776"/>
      <c r="Q1141" s="776"/>
      <c r="R1141" s="776"/>
      <c r="S1141" s="776"/>
      <c r="T1141" s="776"/>
      <c r="U1141" s="776"/>
      <c r="V1141" s="776"/>
      <c r="W1141" s="776"/>
      <c r="X1141" s="776"/>
      <c r="Y1141" s="776"/>
      <c r="Z1141" s="776"/>
      <c r="AA1141" s="13"/>
    </row>
    <row r="1142" spans="6:27">
      <c r="F1142" s="776"/>
      <c r="G1142" s="776"/>
      <c r="H1142" s="776"/>
      <c r="I1142" s="776"/>
      <c r="J1142" s="776"/>
      <c r="K1142" s="776"/>
      <c r="L1142" s="776"/>
      <c r="M1142" s="776"/>
      <c r="O1142" s="776"/>
      <c r="P1142" s="776"/>
      <c r="Q1142" s="776"/>
      <c r="R1142" s="776"/>
      <c r="S1142" s="776"/>
      <c r="T1142" s="776"/>
      <c r="U1142" s="776"/>
      <c r="V1142" s="776"/>
      <c r="W1142" s="776"/>
      <c r="X1142" s="776"/>
      <c r="Y1142" s="776"/>
      <c r="Z1142" s="776"/>
      <c r="AA1142" s="13"/>
    </row>
    <row r="1143" spans="6:27">
      <c r="F1143" s="776"/>
      <c r="G1143" s="776"/>
      <c r="H1143" s="776"/>
      <c r="I1143" s="776"/>
      <c r="J1143" s="776"/>
      <c r="K1143" s="776"/>
      <c r="L1143" s="776"/>
      <c r="M1143" s="776"/>
      <c r="O1143" s="776"/>
      <c r="P1143" s="776"/>
      <c r="Q1143" s="776"/>
      <c r="R1143" s="776"/>
      <c r="S1143" s="776"/>
      <c r="T1143" s="776"/>
      <c r="U1143" s="776"/>
      <c r="V1143" s="776"/>
      <c r="W1143" s="776"/>
      <c r="X1143" s="776"/>
      <c r="Y1143" s="776"/>
      <c r="Z1143" s="776"/>
      <c r="AA1143" s="13"/>
    </row>
    <row r="1144" spans="6:27">
      <c r="F1144" s="776"/>
      <c r="G1144" s="776"/>
      <c r="H1144" s="776"/>
      <c r="I1144" s="776"/>
      <c r="J1144" s="776"/>
      <c r="K1144" s="776"/>
      <c r="L1144" s="776"/>
      <c r="M1144" s="776"/>
      <c r="O1144" s="776"/>
      <c r="P1144" s="776"/>
      <c r="Q1144" s="776"/>
      <c r="R1144" s="776"/>
      <c r="S1144" s="776"/>
      <c r="T1144" s="776"/>
      <c r="U1144" s="776"/>
      <c r="V1144" s="776"/>
      <c r="W1144" s="776"/>
      <c r="X1144" s="776"/>
      <c r="Y1144" s="776"/>
      <c r="Z1144" s="776"/>
      <c r="AA1144" s="13"/>
    </row>
    <row r="1145" spans="6:27">
      <c r="F1145" s="776"/>
      <c r="G1145" s="776"/>
      <c r="H1145" s="776"/>
      <c r="I1145" s="776"/>
      <c r="J1145" s="776"/>
      <c r="K1145" s="776"/>
      <c r="L1145" s="776"/>
      <c r="M1145" s="776"/>
      <c r="O1145" s="776"/>
      <c r="P1145" s="776"/>
      <c r="Q1145" s="776"/>
      <c r="R1145" s="776"/>
      <c r="S1145" s="776"/>
      <c r="T1145" s="776"/>
      <c r="U1145" s="776"/>
      <c r="V1145" s="776"/>
      <c r="W1145" s="776"/>
      <c r="X1145" s="776"/>
      <c r="Y1145" s="776"/>
      <c r="Z1145" s="776"/>
      <c r="AA1145" s="13"/>
    </row>
    <row r="1146" spans="6:27">
      <c r="F1146" s="776"/>
      <c r="G1146" s="776"/>
      <c r="H1146" s="776"/>
      <c r="I1146" s="776"/>
      <c r="J1146" s="776"/>
      <c r="K1146" s="776"/>
      <c r="L1146" s="776"/>
      <c r="M1146" s="776"/>
      <c r="O1146" s="776"/>
      <c r="P1146" s="776"/>
      <c r="Q1146" s="776"/>
      <c r="R1146" s="776"/>
      <c r="S1146" s="776"/>
      <c r="T1146" s="776"/>
      <c r="U1146" s="776"/>
      <c r="V1146" s="776"/>
      <c r="W1146" s="776"/>
      <c r="X1146" s="776"/>
      <c r="Y1146" s="776"/>
      <c r="Z1146" s="776"/>
      <c r="AA1146" s="13"/>
    </row>
    <row r="1147" spans="6:27">
      <c r="F1147" s="776"/>
      <c r="G1147" s="776"/>
      <c r="H1147" s="776"/>
      <c r="I1147" s="776"/>
      <c r="J1147" s="776"/>
      <c r="K1147" s="776"/>
      <c r="L1147" s="776"/>
      <c r="M1147" s="776"/>
      <c r="O1147" s="776"/>
      <c r="P1147" s="776"/>
      <c r="Q1147" s="776"/>
      <c r="R1147" s="776"/>
      <c r="S1147" s="776"/>
      <c r="T1147" s="776"/>
      <c r="U1147" s="776"/>
      <c r="V1147" s="776"/>
      <c r="W1147" s="776"/>
      <c r="X1147" s="776"/>
      <c r="Y1147" s="776"/>
      <c r="Z1147" s="776"/>
      <c r="AA1147" s="13"/>
    </row>
    <row r="1148" spans="6:27">
      <c r="F1148" s="776"/>
      <c r="G1148" s="776"/>
      <c r="H1148" s="776"/>
      <c r="I1148" s="776"/>
      <c r="J1148" s="776"/>
      <c r="K1148" s="776"/>
      <c r="L1148" s="776"/>
      <c r="M1148" s="776"/>
      <c r="O1148" s="776"/>
      <c r="P1148" s="776"/>
      <c r="Q1148" s="776"/>
      <c r="R1148" s="776"/>
      <c r="S1148" s="776"/>
      <c r="T1148" s="776"/>
      <c r="U1148" s="776"/>
      <c r="V1148" s="776"/>
      <c r="W1148" s="776"/>
      <c r="X1148" s="776"/>
      <c r="Y1148" s="776"/>
      <c r="Z1148" s="776"/>
      <c r="AA1148" s="13"/>
    </row>
    <row r="1149" spans="6:27">
      <c r="F1149" s="776"/>
      <c r="G1149" s="776"/>
      <c r="H1149" s="776"/>
      <c r="I1149" s="776"/>
      <c r="J1149" s="776"/>
      <c r="K1149" s="776"/>
      <c r="L1149" s="776"/>
      <c r="M1149" s="776"/>
      <c r="O1149" s="776"/>
      <c r="P1149" s="776"/>
      <c r="Q1149" s="776"/>
      <c r="R1149" s="776"/>
      <c r="S1149" s="776"/>
      <c r="T1149" s="776"/>
      <c r="U1149" s="776"/>
      <c r="V1149" s="776"/>
      <c r="W1149" s="776"/>
      <c r="X1149" s="776"/>
      <c r="Y1149" s="776"/>
      <c r="Z1149" s="776"/>
      <c r="AA1149" s="13"/>
    </row>
    <row r="1150" spans="6:27">
      <c r="F1150" s="776"/>
      <c r="G1150" s="776"/>
      <c r="H1150" s="776"/>
      <c r="I1150" s="776"/>
      <c r="J1150" s="776"/>
      <c r="K1150" s="776"/>
      <c r="L1150" s="776"/>
      <c r="M1150" s="776"/>
      <c r="O1150" s="776"/>
      <c r="P1150" s="776"/>
      <c r="Q1150" s="776"/>
      <c r="R1150" s="776"/>
      <c r="S1150" s="776"/>
      <c r="T1150" s="776"/>
      <c r="U1150" s="776"/>
      <c r="V1150" s="776"/>
      <c r="W1150" s="776"/>
      <c r="X1150" s="776"/>
      <c r="Y1150" s="776"/>
      <c r="Z1150" s="776"/>
      <c r="AA1150" s="13"/>
    </row>
    <row r="1151" spans="6:27">
      <c r="F1151" s="776"/>
      <c r="G1151" s="776"/>
      <c r="H1151" s="776"/>
      <c r="I1151" s="776"/>
      <c r="J1151" s="776"/>
      <c r="K1151" s="776"/>
      <c r="L1151" s="776"/>
      <c r="M1151" s="776"/>
      <c r="O1151" s="776"/>
      <c r="P1151" s="776"/>
      <c r="Q1151" s="776"/>
      <c r="R1151" s="776"/>
      <c r="S1151" s="776"/>
      <c r="T1151" s="776"/>
      <c r="U1151" s="776"/>
      <c r="V1151" s="776"/>
      <c r="W1151" s="776"/>
      <c r="X1151" s="776"/>
      <c r="Y1151" s="776"/>
      <c r="Z1151" s="776"/>
      <c r="AA1151" s="13"/>
    </row>
    <row r="1152" spans="6:27">
      <c r="F1152" s="776"/>
      <c r="G1152" s="776"/>
      <c r="H1152" s="776"/>
      <c r="I1152" s="776"/>
      <c r="J1152" s="776"/>
      <c r="K1152" s="776"/>
      <c r="L1152" s="776"/>
      <c r="M1152" s="776"/>
      <c r="O1152" s="776"/>
      <c r="P1152" s="776"/>
      <c r="Q1152" s="776"/>
      <c r="R1152" s="776"/>
      <c r="S1152" s="776"/>
      <c r="T1152" s="776"/>
      <c r="U1152" s="776"/>
      <c r="V1152" s="776"/>
      <c r="W1152" s="776"/>
      <c r="X1152" s="776"/>
      <c r="Y1152" s="776"/>
      <c r="Z1152" s="776"/>
      <c r="AA1152" s="13"/>
    </row>
    <row r="1153" spans="6:27">
      <c r="F1153" s="776"/>
      <c r="G1153" s="776"/>
      <c r="H1153" s="776"/>
      <c r="I1153" s="776"/>
      <c r="J1153" s="776"/>
      <c r="K1153" s="776"/>
      <c r="L1153" s="776"/>
      <c r="M1153" s="776"/>
      <c r="O1153" s="776"/>
      <c r="P1153" s="776"/>
      <c r="Q1153" s="776"/>
      <c r="R1153" s="776"/>
      <c r="S1153" s="776"/>
      <c r="T1153" s="776"/>
      <c r="U1153" s="776"/>
      <c r="V1153" s="776"/>
      <c r="W1153" s="776"/>
      <c r="X1153" s="776"/>
      <c r="Y1153" s="776"/>
      <c r="Z1153" s="776"/>
      <c r="AA1153" s="13"/>
    </row>
    <row r="1154" spans="6:27">
      <c r="F1154" s="776"/>
      <c r="G1154" s="776"/>
      <c r="H1154" s="776"/>
      <c r="I1154" s="776"/>
      <c r="J1154" s="776"/>
      <c r="K1154" s="776"/>
      <c r="L1154" s="776"/>
      <c r="M1154" s="776"/>
      <c r="O1154" s="776"/>
      <c r="P1154" s="776"/>
      <c r="Q1154" s="776"/>
      <c r="R1154" s="776"/>
      <c r="S1154" s="776"/>
      <c r="T1154" s="776"/>
      <c r="U1154" s="776"/>
      <c r="V1154" s="776"/>
      <c r="W1154" s="776"/>
      <c r="X1154" s="776"/>
      <c r="Y1154" s="776"/>
      <c r="Z1154" s="776"/>
      <c r="AA1154" s="13"/>
    </row>
    <row r="1155" spans="6:27">
      <c r="F1155" s="776"/>
      <c r="G1155" s="776"/>
      <c r="H1155" s="776"/>
      <c r="I1155" s="776"/>
      <c r="J1155" s="776"/>
      <c r="K1155" s="776"/>
      <c r="L1155" s="776"/>
      <c r="M1155" s="776"/>
      <c r="O1155" s="776"/>
      <c r="P1155" s="776"/>
      <c r="Q1155" s="776"/>
      <c r="R1155" s="776"/>
      <c r="S1155" s="776"/>
      <c r="T1155" s="776"/>
      <c r="U1155" s="776"/>
      <c r="V1155" s="776"/>
      <c r="W1155" s="776"/>
      <c r="X1155" s="776"/>
      <c r="Y1155" s="776"/>
      <c r="Z1155" s="776"/>
      <c r="AA1155" s="13"/>
    </row>
    <row r="1156" spans="6:27">
      <c r="F1156" s="776"/>
      <c r="G1156" s="776"/>
      <c r="H1156" s="776"/>
      <c r="I1156" s="776"/>
      <c r="J1156" s="776"/>
      <c r="K1156" s="776"/>
      <c r="L1156" s="776"/>
      <c r="M1156" s="776"/>
      <c r="O1156" s="776"/>
      <c r="P1156" s="776"/>
      <c r="Q1156" s="776"/>
      <c r="R1156" s="776"/>
      <c r="S1156" s="776"/>
      <c r="T1156" s="776"/>
      <c r="U1156" s="776"/>
      <c r="V1156" s="776"/>
      <c r="W1156" s="776"/>
      <c r="X1156" s="776"/>
      <c r="Y1156" s="776"/>
      <c r="Z1156" s="776"/>
      <c r="AA1156" s="13"/>
    </row>
    <row r="1157" spans="6:27">
      <c r="F1157" s="776"/>
      <c r="G1157" s="776"/>
      <c r="H1157" s="776"/>
      <c r="I1157" s="776"/>
      <c r="J1157" s="776"/>
      <c r="K1157" s="776"/>
      <c r="L1157" s="776"/>
      <c r="M1157" s="776"/>
      <c r="O1157" s="776"/>
      <c r="P1157" s="776"/>
      <c r="Q1157" s="776"/>
      <c r="R1157" s="776"/>
      <c r="S1157" s="776"/>
      <c r="T1157" s="776"/>
      <c r="U1157" s="776"/>
      <c r="V1157" s="776"/>
      <c r="W1157" s="776"/>
      <c r="X1157" s="776"/>
      <c r="Y1157" s="776"/>
      <c r="Z1157" s="776"/>
      <c r="AA1157" s="13"/>
    </row>
    <row r="1158" spans="6:27">
      <c r="F1158" s="776"/>
      <c r="G1158" s="776"/>
      <c r="H1158" s="776"/>
      <c r="I1158" s="776"/>
      <c r="J1158" s="776"/>
      <c r="K1158" s="776"/>
      <c r="L1158" s="776"/>
      <c r="M1158" s="776"/>
      <c r="O1158" s="776"/>
      <c r="P1158" s="776"/>
      <c r="Q1158" s="776"/>
      <c r="R1158" s="776"/>
      <c r="S1158" s="776"/>
      <c r="T1158" s="776"/>
      <c r="U1158" s="776"/>
      <c r="V1158" s="776"/>
      <c r="W1158" s="776"/>
      <c r="X1158" s="776"/>
      <c r="Y1158" s="776"/>
      <c r="Z1158" s="776"/>
      <c r="AA1158" s="13"/>
    </row>
    <row r="1159" spans="6:27">
      <c r="F1159" s="776"/>
      <c r="G1159" s="776"/>
      <c r="H1159" s="776"/>
      <c r="I1159" s="776"/>
      <c r="J1159" s="776"/>
      <c r="K1159" s="776"/>
      <c r="L1159" s="776"/>
      <c r="M1159" s="776"/>
      <c r="O1159" s="776"/>
      <c r="P1159" s="776"/>
      <c r="Q1159" s="776"/>
      <c r="R1159" s="776"/>
      <c r="S1159" s="776"/>
      <c r="T1159" s="776"/>
      <c r="U1159" s="776"/>
      <c r="V1159" s="776"/>
      <c r="W1159" s="776"/>
      <c r="X1159" s="776"/>
      <c r="Y1159" s="776"/>
      <c r="Z1159" s="776"/>
      <c r="AA1159" s="13"/>
    </row>
    <row r="1160" spans="6:27">
      <c r="F1160" s="776"/>
      <c r="G1160" s="776"/>
      <c r="H1160" s="776"/>
      <c r="I1160" s="776"/>
      <c r="J1160" s="776"/>
      <c r="K1160" s="776"/>
      <c r="L1160" s="776"/>
      <c r="M1160" s="776"/>
      <c r="O1160" s="776"/>
      <c r="P1160" s="776"/>
      <c r="Q1160" s="776"/>
      <c r="R1160" s="776"/>
      <c r="S1160" s="776"/>
      <c r="T1160" s="776"/>
      <c r="U1160" s="776"/>
      <c r="V1160" s="776"/>
      <c r="W1160" s="776"/>
      <c r="X1160" s="776"/>
      <c r="Y1160" s="776"/>
      <c r="Z1160" s="776"/>
      <c r="AA1160" s="13"/>
    </row>
    <row r="1161" spans="6:27">
      <c r="F1161" s="776"/>
      <c r="G1161" s="776"/>
      <c r="H1161" s="776"/>
      <c r="I1161" s="776"/>
      <c r="J1161" s="776"/>
      <c r="K1161" s="776"/>
      <c r="L1161" s="776"/>
      <c r="M1161" s="776"/>
      <c r="O1161" s="776"/>
      <c r="P1161" s="776"/>
      <c r="Q1161" s="776"/>
      <c r="R1161" s="776"/>
      <c r="S1161" s="776"/>
      <c r="T1161" s="776"/>
      <c r="U1161" s="776"/>
      <c r="V1161" s="776"/>
      <c r="W1161" s="776"/>
      <c r="X1161" s="776"/>
      <c r="Y1161" s="776"/>
      <c r="Z1161" s="776"/>
      <c r="AA1161" s="13"/>
    </row>
    <row r="1162" spans="6:27">
      <c r="F1162" s="776"/>
      <c r="G1162" s="776"/>
      <c r="H1162" s="776"/>
      <c r="I1162" s="776"/>
      <c r="J1162" s="776"/>
      <c r="K1162" s="776"/>
      <c r="L1162" s="776"/>
      <c r="M1162" s="776"/>
      <c r="O1162" s="776"/>
      <c r="P1162" s="776"/>
      <c r="Q1162" s="776"/>
      <c r="R1162" s="776"/>
      <c r="S1162" s="776"/>
      <c r="T1162" s="776"/>
      <c r="U1162" s="776"/>
      <c r="V1162" s="776"/>
      <c r="W1162" s="776"/>
      <c r="X1162" s="776"/>
      <c r="Y1162" s="776"/>
      <c r="Z1162" s="776"/>
      <c r="AA1162" s="13"/>
    </row>
    <row r="1163" spans="6:27">
      <c r="F1163" s="776"/>
      <c r="G1163" s="776"/>
      <c r="H1163" s="776"/>
      <c r="I1163" s="776"/>
      <c r="J1163" s="776"/>
      <c r="K1163" s="776"/>
      <c r="L1163" s="776"/>
      <c r="M1163" s="776"/>
      <c r="O1163" s="776"/>
      <c r="P1163" s="776"/>
      <c r="Q1163" s="776"/>
      <c r="R1163" s="776"/>
      <c r="S1163" s="776"/>
      <c r="T1163" s="776"/>
      <c r="U1163" s="776"/>
      <c r="V1163" s="776"/>
      <c r="W1163" s="776"/>
      <c r="X1163" s="776"/>
      <c r="Y1163" s="776"/>
      <c r="Z1163" s="776"/>
      <c r="AA1163" s="13"/>
    </row>
    <row r="1164" spans="6:27">
      <c r="F1164" s="776"/>
      <c r="G1164" s="776"/>
      <c r="H1164" s="776"/>
      <c r="I1164" s="776"/>
      <c r="J1164" s="776"/>
      <c r="K1164" s="776"/>
      <c r="L1164" s="776"/>
      <c r="M1164" s="776"/>
      <c r="O1164" s="776"/>
      <c r="P1164" s="776"/>
      <c r="Q1164" s="776"/>
      <c r="R1164" s="776"/>
      <c r="S1164" s="776"/>
      <c r="T1164" s="776"/>
      <c r="U1164" s="776"/>
      <c r="V1164" s="776"/>
      <c r="W1164" s="776"/>
      <c r="X1164" s="776"/>
      <c r="Y1164" s="776"/>
      <c r="Z1164" s="776"/>
      <c r="AA1164" s="13"/>
    </row>
    <row r="1165" spans="6:27">
      <c r="F1165" s="776"/>
      <c r="G1165" s="776"/>
      <c r="H1165" s="776"/>
      <c r="I1165" s="776"/>
      <c r="J1165" s="776"/>
      <c r="K1165" s="776"/>
      <c r="L1165" s="776"/>
      <c r="M1165" s="776"/>
      <c r="O1165" s="776"/>
      <c r="P1165" s="776"/>
      <c r="Q1165" s="776"/>
      <c r="R1165" s="776"/>
      <c r="S1165" s="776"/>
      <c r="T1165" s="776"/>
      <c r="U1165" s="776"/>
      <c r="V1165" s="776"/>
      <c r="W1165" s="776"/>
      <c r="X1165" s="776"/>
      <c r="Y1165" s="776"/>
      <c r="Z1165" s="776"/>
      <c r="AA1165" s="13"/>
    </row>
    <row r="1166" spans="6:27">
      <c r="F1166" s="776"/>
      <c r="G1166" s="776"/>
      <c r="H1166" s="776"/>
      <c r="I1166" s="776"/>
      <c r="J1166" s="776"/>
      <c r="K1166" s="776"/>
      <c r="L1166" s="776"/>
      <c r="M1166" s="776"/>
      <c r="O1166" s="776"/>
      <c r="P1166" s="776"/>
      <c r="Q1166" s="776"/>
      <c r="R1166" s="776"/>
      <c r="S1166" s="776"/>
      <c r="T1166" s="776"/>
      <c r="U1166" s="776"/>
      <c r="V1166" s="776"/>
      <c r="W1166" s="776"/>
      <c r="X1166" s="776"/>
      <c r="Y1166" s="776"/>
      <c r="Z1166" s="776"/>
      <c r="AA1166" s="13"/>
    </row>
    <row r="1167" spans="6:27">
      <c r="F1167" s="776"/>
      <c r="G1167" s="776"/>
      <c r="H1167" s="776"/>
      <c r="I1167" s="776"/>
      <c r="J1167" s="776"/>
      <c r="K1167" s="776"/>
      <c r="L1167" s="776"/>
      <c r="M1167" s="776"/>
      <c r="O1167" s="776"/>
      <c r="P1167" s="776"/>
      <c r="Q1167" s="776"/>
      <c r="R1167" s="776"/>
      <c r="S1167" s="776"/>
      <c r="T1167" s="776"/>
      <c r="U1167" s="776"/>
      <c r="V1167" s="776"/>
      <c r="W1167" s="776"/>
      <c r="X1167" s="776"/>
      <c r="Y1167" s="776"/>
      <c r="Z1167" s="776"/>
      <c r="AA1167" s="13"/>
    </row>
    <row r="1168" spans="6:27">
      <c r="F1168" s="776"/>
      <c r="G1168" s="776"/>
      <c r="H1168" s="776"/>
      <c r="I1168" s="776"/>
      <c r="J1168" s="776"/>
      <c r="K1168" s="776"/>
      <c r="L1168" s="776"/>
      <c r="M1168" s="776"/>
      <c r="O1168" s="776"/>
      <c r="P1168" s="776"/>
      <c r="Q1168" s="776"/>
      <c r="R1168" s="776"/>
      <c r="S1168" s="776"/>
      <c r="T1168" s="776"/>
      <c r="U1168" s="776"/>
      <c r="V1168" s="776"/>
      <c r="W1168" s="776"/>
      <c r="X1168" s="776"/>
      <c r="Y1168" s="776"/>
      <c r="Z1168" s="776"/>
      <c r="AA1168" s="13"/>
    </row>
    <row r="1169" spans="6:27">
      <c r="F1169" s="776"/>
      <c r="G1169" s="776"/>
      <c r="H1169" s="776"/>
      <c r="I1169" s="776"/>
      <c r="J1169" s="776"/>
      <c r="K1169" s="776"/>
      <c r="L1169" s="776"/>
      <c r="M1169" s="776"/>
      <c r="O1169" s="776"/>
      <c r="P1169" s="776"/>
      <c r="Q1169" s="776"/>
      <c r="R1169" s="776"/>
      <c r="S1169" s="776"/>
      <c r="T1169" s="776"/>
      <c r="U1169" s="776"/>
      <c r="V1169" s="776"/>
      <c r="W1169" s="776"/>
      <c r="X1169" s="776"/>
      <c r="Y1169" s="776"/>
      <c r="Z1169" s="776"/>
      <c r="AA1169" s="13"/>
    </row>
    <row r="1170" spans="6:27">
      <c r="F1170" s="776"/>
      <c r="G1170" s="776"/>
      <c r="H1170" s="776"/>
      <c r="I1170" s="776"/>
      <c r="J1170" s="776"/>
      <c r="K1170" s="776"/>
      <c r="L1170" s="776"/>
      <c r="M1170" s="776"/>
      <c r="O1170" s="776"/>
      <c r="P1170" s="776"/>
      <c r="Q1170" s="776"/>
      <c r="R1170" s="776"/>
      <c r="S1170" s="776"/>
      <c r="T1170" s="776"/>
      <c r="U1170" s="776"/>
      <c r="V1170" s="776"/>
      <c r="W1170" s="776"/>
      <c r="X1170" s="776"/>
      <c r="Y1170" s="776"/>
      <c r="Z1170" s="776"/>
      <c r="AA1170" s="13"/>
    </row>
    <row r="1171" spans="6:27">
      <c r="F1171" s="776"/>
      <c r="G1171" s="776"/>
      <c r="H1171" s="776"/>
      <c r="I1171" s="776"/>
      <c r="J1171" s="776"/>
      <c r="K1171" s="776"/>
      <c r="L1171" s="776"/>
      <c r="M1171" s="776"/>
      <c r="O1171" s="776"/>
      <c r="P1171" s="776"/>
      <c r="Q1171" s="776"/>
      <c r="R1171" s="776"/>
      <c r="S1171" s="776"/>
      <c r="T1171" s="776"/>
      <c r="U1171" s="776"/>
      <c r="V1171" s="776"/>
      <c r="W1171" s="776"/>
      <c r="X1171" s="776"/>
      <c r="Y1171" s="776"/>
      <c r="Z1171" s="776"/>
      <c r="AA1171" s="13"/>
    </row>
    <row r="1172" spans="6:27">
      <c r="F1172" s="776"/>
      <c r="G1172" s="776"/>
      <c r="H1172" s="776"/>
      <c r="I1172" s="776"/>
      <c r="J1172" s="776"/>
      <c r="K1172" s="776"/>
      <c r="L1172" s="776"/>
      <c r="M1172" s="776"/>
      <c r="O1172" s="776"/>
      <c r="P1172" s="776"/>
      <c r="Q1172" s="776"/>
      <c r="R1172" s="776"/>
      <c r="S1172" s="776"/>
      <c r="T1172" s="776"/>
      <c r="U1172" s="776"/>
      <c r="V1172" s="776"/>
      <c r="W1172" s="776"/>
      <c r="X1172" s="776"/>
      <c r="Y1172" s="776"/>
      <c r="Z1172" s="776"/>
      <c r="AA1172" s="13"/>
    </row>
    <row r="1173" spans="6:27">
      <c r="F1173" s="776"/>
      <c r="G1173" s="776"/>
      <c r="H1173" s="776"/>
      <c r="I1173" s="776"/>
      <c r="J1173" s="776"/>
      <c r="K1173" s="776"/>
      <c r="L1173" s="776"/>
      <c r="M1173" s="776"/>
      <c r="O1173" s="776"/>
      <c r="P1173" s="776"/>
      <c r="Q1173" s="776"/>
      <c r="R1173" s="776"/>
      <c r="S1173" s="776"/>
      <c r="T1173" s="776"/>
      <c r="U1173" s="776"/>
      <c r="V1173" s="776"/>
      <c r="W1173" s="776"/>
      <c r="X1173" s="776"/>
      <c r="Y1173" s="776"/>
      <c r="Z1173" s="776"/>
      <c r="AA1173" s="13"/>
    </row>
    <row r="1174" spans="6:27">
      <c r="F1174" s="776"/>
      <c r="G1174" s="776"/>
      <c r="H1174" s="776"/>
      <c r="I1174" s="776"/>
      <c r="J1174" s="776"/>
      <c r="K1174" s="776"/>
      <c r="L1174" s="776"/>
      <c r="M1174" s="776"/>
      <c r="O1174" s="776"/>
      <c r="P1174" s="776"/>
      <c r="Q1174" s="776"/>
      <c r="R1174" s="776"/>
      <c r="S1174" s="776"/>
      <c r="T1174" s="776"/>
      <c r="U1174" s="776"/>
      <c r="V1174" s="776"/>
      <c r="W1174" s="776"/>
      <c r="X1174" s="776"/>
      <c r="Y1174" s="776"/>
      <c r="Z1174" s="776"/>
      <c r="AA1174" s="13"/>
    </row>
    <row r="1175" spans="6:27">
      <c r="F1175" s="776"/>
      <c r="G1175" s="776"/>
      <c r="H1175" s="776"/>
      <c r="I1175" s="776"/>
      <c r="J1175" s="776"/>
      <c r="K1175" s="776"/>
      <c r="L1175" s="776"/>
      <c r="M1175" s="776"/>
      <c r="O1175" s="776"/>
      <c r="P1175" s="776"/>
      <c r="Q1175" s="776"/>
      <c r="R1175" s="776"/>
      <c r="S1175" s="776"/>
      <c r="T1175" s="776"/>
      <c r="U1175" s="776"/>
      <c r="V1175" s="776"/>
      <c r="W1175" s="776"/>
      <c r="X1175" s="776"/>
      <c r="Y1175" s="776"/>
      <c r="Z1175" s="776"/>
      <c r="AA1175" s="13"/>
    </row>
    <row r="1176" spans="6:27">
      <c r="F1176" s="776"/>
      <c r="G1176" s="776"/>
      <c r="H1176" s="776"/>
      <c r="I1176" s="776"/>
      <c r="J1176" s="776"/>
      <c r="K1176" s="776"/>
      <c r="L1176" s="776"/>
      <c r="M1176" s="776"/>
      <c r="O1176" s="776"/>
      <c r="P1176" s="776"/>
      <c r="Q1176" s="776"/>
      <c r="R1176" s="776"/>
      <c r="S1176" s="776"/>
      <c r="T1176" s="776"/>
      <c r="U1176" s="776"/>
      <c r="V1176" s="776"/>
      <c r="W1176" s="776"/>
      <c r="X1176" s="776"/>
      <c r="Y1176" s="776"/>
      <c r="Z1176" s="776"/>
      <c r="AA1176" s="13"/>
    </row>
    <row r="1177" spans="6:27">
      <c r="F1177" s="776"/>
      <c r="G1177" s="776"/>
      <c r="H1177" s="776"/>
      <c r="I1177" s="776"/>
      <c r="J1177" s="776"/>
      <c r="K1177" s="776"/>
      <c r="L1177" s="776"/>
      <c r="M1177" s="776"/>
      <c r="O1177" s="776"/>
      <c r="P1177" s="776"/>
      <c r="Q1177" s="776"/>
      <c r="R1177" s="776"/>
      <c r="S1177" s="776"/>
      <c r="T1177" s="776"/>
      <c r="U1177" s="776"/>
      <c r="V1177" s="776"/>
      <c r="W1177" s="776"/>
      <c r="X1177" s="776"/>
      <c r="Y1177" s="776"/>
      <c r="Z1177" s="776"/>
      <c r="AA1177" s="13"/>
    </row>
    <row r="1178" spans="6:27">
      <c r="F1178" s="776"/>
      <c r="G1178" s="776"/>
      <c r="H1178" s="776"/>
      <c r="I1178" s="776"/>
      <c r="J1178" s="776"/>
      <c r="K1178" s="776"/>
      <c r="L1178" s="776"/>
      <c r="M1178" s="776"/>
      <c r="O1178" s="776"/>
      <c r="P1178" s="776"/>
      <c r="Q1178" s="776"/>
      <c r="R1178" s="776"/>
      <c r="S1178" s="776"/>
      <c r="T1178" s="776"/>
      <c r="U1178" s="776"/>
      <c r="V1178" s="776"/>
      <c r="W1178" s="776"/>
      <c r="X1178" s="776"/>
      <c r="Y1178" s="776"/>
      <c r="Z1178" s="776"/>
      <c r="AA1178" s="13"/>
    </row>
    <row r="1179" spans="6:27">
      <c r="F1179" s="776"/>
      <c r="G1179" s="776"/>
      <c r="H1179" s="776"/>
      <c r="I1179" s="776"/>
      <c r="J1179" s="776"/>
      <c r="K1179" s="776"/>
      <c r="L1179" s="776"/>
      <c r="M1179" s="776"/>
      <c r="O1179" s="776"/>
      <c r="P1179" s="776"/>
      <c r="Q1179" s="776"/>
      <c r="R1179" s="776"/>
      <c r="S1179" s="776"/>
      <c r="T1179" s="776"/>
      <c r="U1179" s="776"/>
      <c r="V1179" s="776"/>
      <c r="W1179" s="776"/>
      <c r="X1179" s="776"/>
      <c r="Y1179" s="776"/>
      <c r="Z1179" s="776"/>
      <c r="AA1179" s="13"/>
    </row>
    <row r="1180" spans="6:27">
      <c r="F1180" s="776"/>
      <c r="G1180" s="776"/>
      <c r="H1180" s="776"/>
      <c r="I1180" s="776"/>
      <c r="J1180" s="776"/>
      <c r="K1180" s="776"/>
      <c r="L1180" s="776"/>
      <c r="M1180" s="776"/>
      <c r="O1180" s="776"/>
      <c r="P1180" s="776"/>
      <c r="Q1180" s="776"/>
      <c r="R1180" s="776"/>
      <c r="S1180" s="776"/>
      <c r="T1180" s="776"/>
      <c r="U1180" s="776"/>
      <c r="V1180" s="776"/>
      <c r="W1180" s="776"/>
      <c r="X1180" s="776"/>
      <c r="Y1180" s="776"/>
      <c r="Z1180" s="776"/>
      <c r="AA1180" s="13"/>
    </row>
    <row r="1181" spans="6:27">
      <c r="F1181" s="776"/>
      <c r="G1181" s="776"/>
      <c r="H1181" s="776"/>
      <c r="I1181" s="776"/>
      <c r="J1181" s="776"/>
      <c r="K1181" s="776"/>
      <c r="L1181" s="776"/>
      <c r="M1181" s="776"/>
      <c r="O1181" s="776"/>
      <c r="P1181" s="776"/>
      <c r="Q1181" s="776"/>
      <c r="R1181" s="776"/>
      <c r="S1181" s="776"/>
      <c r="T1181" s="776"/>
      <c r="U1181" s="776"/>
      <c r="V1181" s="776"/>
      <c r="W1181" s="776"/>
      <c r="X1181" s="776"/>
      <c r="Y1181" s="776"/>
      <c r="Z1181" s="776"/>
      <c r="AA1181" s="13"/>
    </row>
    <row r="1182" spans="6:27">
      <c r="F1182" s="776"/>
      <c r="G1182" s="776"/>
      <c r="H1182" s="776"/>
      <c r="I1182" s="776"/>
      <c r="J1182" s="776"/>
      <c r="K1182" s="776"/>
      <c r="L1182" s="776"/>
      <c r="M1182" s="776"/>
      <c r="O1182" s="776"/>
      <c r="P1182" s="776"/>
      <c r="Q1182" s="776"/>
      <c r="R1182" s="776"/>
      <c r="S1182" s="776"/>
      <c r="T1182" s="776"/>
      <c r="U1182" s="776"/>
      <c r="V1182" s="776"/>
      <c r="W1182" s="776"/>
      <c r="X1182" s="776"/>
      <c r="Y1182" s="776"/>
      <c r="Z1182" s="776"/>
      <c r="AA1182" s="13"/>
    </row>
    <row r="1183" spans="6:27">
      <c r="F1183" s="776"/>
      <c r="G1183" s="776"/>
      <c r="H1183" s="776"/>
      <c r="I1183" s="776"/>
      <c r="J1183" s="776"/>
      <c r="K1183" s="776"/>
      <c r="L1183" s="776"/>
      <c r="M1183" s="776"/>
      <c r="O1183" s="776"/>
      <c r="P1183" s="776"/>
      <c r="Q1183" s="776"/>
      <c r="R1183" s="776"/>
      <c r="S1183" s="776"/>
      <c r="T1183" s="776"/>
      <c r="U1183" s="776"/>
      <c r="V1183" s="776"/>
      <c r="W1183" s="776"/>
      <c r="X1183" s="776"/>
      <c r="Y1183" s="776"/>
      <c r="Z1183" s="776"/>
      <c r="AA1183" s="13"/>
    </row>
    <row r="1184" spans="6:27">
      <c r="F1184" s="776"/>
      <c r="G1184" s="776"/>
      <c r="H1184" s="776"/>
      <c r="I1184" s="776"/>
      <c r="J1184" s="776"/>
      <c r="K1184" s="776"/>
      <c r="L1184" s="776"/>
      <c r="M1184" s="776"/>
      <c r="O1184" s="776"/>
      <c r="P1184" s="776"/>
      <c r="Q1184" s="776"/>
      <c r="R1184" s="776"/>
      <c r="S1184" s="776"/>
      <c r="T1184" s="776"/>
      <c r="U1184" s="776"/>
      <c r="V1184" s="776"/>
      <c r="W1184" s="776"/>
      <c r="X1184" s="776"/>
      <c r="Y1184" s="776"/>
      <c r="Z1184" s="776"/>
      <c r="AA1184" s="13"/>
    </row>
    <row r="1185" spans="6:27">
      <c r="F1185" s="776"/>
      <c r="G1185" s="776"/>
      <c r="H1185" s="776"/>
      <c r="I1185" s="776"/>
      <c r="J1185" s="776"/>
      <c r="K1185" s="776"/>
      <c r="L1185" s="776"/>
      <c r="M1185" s="776"/>
      <c r="O1185" s="776"/>
      <c r="P1185" s="776"/>
      <c r="Q1185" s="776"/>
      <c r="R1185" s="776"/>
      <c r="S1185" s="776"/>
      <c r="T1185" s="776"/>
      <c r="U1185" s="776"/>
      <c r="V1185" s="776"/>
      <c r="W1185" s="776"/>
      <c r="X1185" s="776"/>
      <c r="Y1185" s="776"/>
      <c r="Z1185" s="776"/>
      <c r="AA1185" s="13"/>
    </row>
    <row r="1186" spans="6:27">
      <c r="F1186" s="776"/>
      <c r="G1186" s="776"/>
      <c r="H1186" s="776"/>
      <c r="I1186" s="776"/>
      <c r="J1186" s="776"/>
      <c r="K1186" s="776"/>
      <c r="L1186" s="776"/>
      <c r="M1186" s="776"/>
      <c r="O1186" s="776"/>
      <c r="P1186" s="776"/>
      <c r="Q1186" s="776"/>
      <c r="R1186" s="776"/>
      <c r="S1186" s="776"/>
      <c r="T1186" s="776"/>
      <c r="U1186" s="776"/>
      <c r="V1186" s="776"/>
      <c r="W1186" s="776"/>
      <c r="X1186" s="776"/>
      <c r="Y1186" s="776"/>
      <c r="Z1186" s="776"/>
      <c r="AA1186" s="13"/>
    </row>
    <row r="1187" spans="6:27">
      <c r="F1187" s="776"/>
      <c r="G1187" s="776"/>
      <c r="H1187" s="776"/>
      <c r="I1187" s="776"/>
      <c r="J1187" s="776"/>
      <c r="K1187" s="776"/>
      <c r="L1187" s="776"/>
      <c r="M1187" s="776"/>
      <c r="O1187" s="776"/>
      <c r="P1187" s="776"/>
      <c r="Q1187" s="776"/>
      <c r="R1187" s="776"/>
      <c r="S1187" s="776"/>
      <c r="T1187" s="776"/>
      <c r="U1187" s="776"/>
      <c r="V1187" s="776"/>
      <c r="W1187" s="776"/>
      <c r="X1187" s="776"/>
      <c r="Y1187" s="776"/>
      <c r="Z1187" s="776"/>
      <c r="AA1187" s="13"/>
    </row>
    <row r="1188" spans="6:27">
      <c r="F1188" s="776"/>
      <c r="G1188" s="776"/>
      <c r="H1188" s="776"/>
      <c r="I1188" s="776"/>
      <c r="J1188" s="776"/>
      <c r="K1188" s="776"/>
      <c r="L1188" s="776"/>
      <c r="M1188" s="776"/>
      <c r="O1188" s="776"/>
      <c r="P1188" s="776"/>
      <c r="Q1188" s="776"/>
      <c r="R1188" s="776"/>
      <c r="S1188" s="776"/>
      <c r="T1188" s="776"/>
      <c r="U1188" s="776"/>
      <c r="V1188" s="776"/>
      <c r="W1188" s="776"/>
      <c r="X1188" s="776"/>
      <c r="Y1188" s="776"/>
      <c r="Z1188" s="776"/>
      <c r="AA1188" s="13"/>
    </row>
    <row r="1189" spans="6:27">
      <c r="F1189" s="776"/>
      <c r="G1189" s="776"/>
      <c r="H1189" s="776"/>
      <c r="I1189" s="776"/>
      <c r="J1189" s="776"/>
      <c r="K1189" s="776"/>
      <c r="L1189" s="776"/>
      <c r="M1189" s="776"/>
      <c r="O1189" s="776"/>
      <c r="P1189" s="776"/>
      <c r="Q1189" s="776"/>
      <c r="R1189" s="776"/>
      <c r="S1189" s="776"/>
      <c r="T1189" s="776"/>
      <c r="U1189" s="776"/>
      <c r="V1189" s="776"/>
      <c r="W1189" s="776"/>
      <c r="X1189" s="776"/>
      <c r="Y1189" s="776"/>
      <c r="Z1189" s="776"/>
      <c r="AA1189" s="13"/>
    </row>
    <row r="1190" spans="6:27">
      <c r="F1190" s="776"/>
      <c r="G1190" s="776"/>
      <c r="H1190" s="776"/>
      <c r="I1190" s="776"/>
      <c r="J1190" s="776"/>
      <c r="K1190" s="776"/>
      <c r="L1190" s="776"/>
      <c r="M1190" s="776"/>
      <c r="O1190" s="776"/>
      <c r="P1190" s="776"/>
      <c r="Q1190" s="776"/>
      <c r="R1190" s="776"/>
      <c r="S1190" s="776"/>
      <c r="T1190" s="776"/>
      <c r="U1190" s="776"/>
      <c r="V1190" s="776"/>
      <c r="W1190" s="776"/>
      <c r="X1190" s="776"/>
      <c r="Y1190" s="776"/>
      <c r="Z1190" s="776"/>
      <c r="AA1190" s="13"/>
    </row>
    <row r="1191" spans="6:27">
      <c r="F1191" s="776"/>
      <c r="G1191" s="776"/>
      <c r="H1191" s="776"/>
      <c r="I1191" s="776"/>
      <c r="J1191" s="776"/>
      <c r="K1191" s="776"/>
      <c r="L1191" s="776"/>
      <c r="M1191" s="776"/>
      <c r="O1191" s="776"/>
      <c r="P1191" s="776"/>
      <c r="Q1191" s="776"/>
      <c r="R1191" s="776"/>
      <c r="S1191" s="776"/>
      <c r="T1191" s="776"/>
      <c r="U1191" s="776"/>
      <c r="V1191" s="776"/>
      <c r="W1191" s="776"/>
      <c r="X1191" s="776"/>
      <c r="Y1191" s="776"/>
      <c r="Z1191" s="776"/>
      <c r="AA1191" s="13"/>
    </row>
    <row r="1192" spans="6:27">
      <c r="F1192" s="776"/>
      <c r="G1192" s="776"/>
      <c r="H1192" s="776"/>
      <c r="I1192" s="776"/>
      <c r="J1192" s="776"/>
      <c r="K1192" s="776"/>
      <c r="L1192" s="776"/>
      <c r="M1192" s="776"/>
      <c r="O1192" s="776"/>
      <c r="P1192" s="776"/>
      <c r="Q1192" s="776"/>
      <c r="R1192" s="776"/>
      <c r="S1192" s="776"/>
      <c r="T1192" s="776"/>
      <c r="U1192" s="776"/>
      <c r="V1192" s="776"/>
      <c r="W1192" s="776"/>
      <c r="X1192" s="776"/>
      <c r="Y1192" s="776"/>
      <c r="Z1192" s="776"/>
      <c r="AA1192" s="13"/>
    </row>
    <row r="1193" spans="6:27">
      <c r="F1193" s="776"/>
      <c r="G1193" s="776"/>
      <c r="H1193" s="776"/>
      <c r="I1193" s="776"/>
      <c r="J1193" s="776"/>
      <c r="K1193" s="776"/>
      <c r="L1193" s="776"/>
      <c r="M1193" s="776"/>
      <c r="O1193" s="776"/>
      <c r="P1193" s="776"/>
      <c r="Q1193" s="776"/>
      <c r="R1193" s="776"/>
      <c r="S1193" s="776"/>
      <c r="T1193" s="776"/>
      <c r="U1193" s="776"/>
      <c r="V1193" s="776"/>
      <c r="W1193" s="776"/>
      <c r="X1193" s="776"/>
      <c r="Y1193" s="776"/>
      <c r="Z1193" s="776"/>
      <c r="AA1193" s="13"/>
    </row>
    <row r="1194" spans="6:27">
      <c r="F1194" s="776"/>
      <c r="G1194" s="776"/>
      <c r="H1194" s="776"/>
      <c r="I1194" s="776"/>
      <c r="J1194" s="776"/>
      <c r="K1194" s="776"/>
      <c r="L1194" s="776"/>
      <c r="M1194" s="776"/>
      <c r="O1194" s="776"/>
      <c r="P1194" s="776"/>
      <c r="Q1194" s="776"/>
      <c r="R1194" s="776"/>
      <c r="S1194" s="776"/>
      <c r="T1194" s="776"/>
      <c r="U1194" s="776"/>
      <c r="V1194" s="776"/>
      <c r="W1194" s="776"/>
      <c r="X1194" s="776"/>
      <c r="Y1194" s="776"/>
      <c r="Z1194" s="776"/>
      <c r="AA1194" s="13"/>
    </row>
    <row r="1195" spans="6:27">
      <c r="F1195" s="776"/>
      <c r="G1195" s="776"/>
      <c r="H1195" s="776"/>
      <c r="I1195" s="776"/>
      <c r="J1195" s="776"/>
      <c r="K1195" s="776"/>
      <c r="L1195" s="776"/>
      <c r="M1195" s="776"/>
      <c r="O1195" s="776"/>
      <c r="P1195" s="776"/>
      <c r="Q1195" s="776"/>
      <c r="R1195" s="776"/>
      <c r="S1195" s="776"/>
      <c r="T1195" s="776"/>
      <c r="U1195" s="776"/>
      <c r="V1195" s="776"/>
      <c r="W1195" s="776"/>
      <c r="X1195" s="776"/>
      <c r="Y1195" s="776"/>
      <c r="Z1195" s="776"/>
      <c r="AA1195" s="13"/>
    </row>
    <row r="1196" spans="6:27">
      <c r="F1196" s="776"/>
      <c r="G1196" s="776"/>
      <c r="H1196" s="776"/>
      <c r="I1196" s="776"/>
      <c r="J1196" s="776"/>
      <c r="K1196" s="776"/>
      <c r="L1196" s="776"/>
      <c r="M1196" s="776"/>
      <c r="O1196" s="776"/>
      <c r="P1196" s="776"/>
      <c r="Q1196" s="776"/>
      <c r="R1196" s="776"/>
      <c r="S1196" s="776"/>
      <c r="T1196" s="776"/>
      <c r="U1196" s="776"/>
      <c r="V1196" s="776"/>
      <c r="W1196" s="776"/>
      <c r="X1196" s="776"/>
      <c r="Y1196" s="776"/>
      <c r="Z1196" s="776"/>
      <c r="AA1196" s="13"/>
    </row>
    <row r="1197" spans="6:27">
      <c r="F1197" s="776"/>
      <c r="G1197" s="776"/>
      <c r="H1197" s="776"/>
      <c r="I1197" s="776"/>
      <c r="J1197" s="776"/>
      <c r="K1197" s="776"/>
      <c r="L1197" s="776"/>
      <c r="M1197" s="776"/>
      <c r="O1197" s="776"/>
      <c r="P1197" s="776"/>
      <c r="Q1197" s="776"/>
      <c r="R1197" s="776"/>
      <c r="S1197" s="776"/>
      <c r="T1197" s="776"/>
      <c r="U1197" s="776"/>
      <c r="V1197" s="776"/>
      <c r="W1197" s="776"/>
      <c r="X1197" s="776"/>
      <c r="Y1197" s="776"/>
      <c r="Z1197" s="776"/>
      <c r="AA1197" s="13"/>
    </row>
    <row r="1198" spans="6:27">
      <c r="F1198" s="776"/>
      <c r="G1198" s="776"/>
      <c r="H1198" s="776"/>
      <c r="I1198" s="776"/>
      <c r="J1198" s="776"/>
      <c r="K1198" s="776"/>
      <c r="L1198" s="776"/>
      <c r="M1198" s="776"/>
      <c r="O1198" s="776"/>
      <c r="P1198" s="776"/>
      <c r="Q1198" s="776"/>
      <c r="R1198" s="776"/>
      <c r="S1198" s="776"/>
      <c r="T1198" s="776"/>
      <c r="U1198" s="776"/>
      <c r="V1198" s="776"/>
      <c r="W1198" s="776"/>
      <c r="X1198" s="776"/>
      <c r="Y1198" s="776"/>
      <c r="Z1198" s="776"/>
      <c r="AA1198" s="13"/>
    </row>
    <row r="1199" spans="6:27">
      <c r="F1199" s="776"/>
      <c r="G1199" s="776"/>
      <c r="H1199" s="776"/>
      <c r="I1199" s="776"/>
      <c r="J1199" s="776"/>
      <c r="K1199" s="776"/>
      <c r="L1199" s="776"/>
      <c r="M1199" s="776"/>
      <c r="O1199" s="776"/>
      <c r="P1199" s="776"/>
      <c r="Q1199" s="776"/>
      <c r="R1199" s="776"/>
      <c r="S1199" s="776"/>
      <c r="T1199" s="776"/>
      <c r="U1199" s="776"/>
      <c r="V1199" s="776"/>
      <c r="W1199" s="776"/>
      <c r="X1199" s="776"/>
      <c r="Y1199" s="776"/>
      <c r="Z1199" s="776"/>
      <c r="AA1199" s="13"/>
    </row>
    <row r="1200" spans="6:27">
      <c r="F1200" s="776"/>
      <c r="G1200" s="776"/>
      <c r="H1200" s="776"/>
      <c r="I1200" s="776"/>
      <c r="J1200" s="776"/>
      <c r="K1200" s="776"/>
      <c r="L1200" s="776"/>
      <c r="M1200" s="776"/>
      <c r="O1200" s="776"/>
      <c r="P1200" s="776"/>
      <c r="Q1200" s="776"/>
      <c r="R1200" s="776"/>
      <c r="S1200" s="776"/>
      <c r="T1200" s="776"/>
      <c r="U1200" s="776"/>
      <c r="V1200" s="776"/>
      <c r="W1200" s="776"/>
      <c r="X1200" s="776"/>
      <c r="Y1200" s="776"/>
      <c r="Z1200" s="776"/>
      <c r="AA1200" s="13"/>
    </row>
    <row r="1201" spans="6:27">
      <c r="F1201" s="776"/>
      <c r="G1201" s="776"/>
      <c r="H1201" s="776"/>
      <c r="I1201" s="776"/>
      <c r="J1201" s="776"/>
      <c r="K1201" s="776"/>
      <c r="L1201" s="776"/>
      <c r="M1201" s="776"/>
      <c r="O1201" s="776"/>
      <c r="P1201" s="776"/>
      <c r="Q1201" s="776"/>
      <c r="R1201" s="776"/>
      <c r="S1201" s="776"/>
      <c r="T1201" s="776"/>
      <c r="U1201" s="776"/>
      <c r="V1201" s="776"/>
      <c r="W1201" s="776"/>
      <c r="X1201" s="776"/>
      <c r="Y1201" s="776"/>
      <c r="Z1201" s="776"/>
      <c r="AA1201" s="13"/>
    </row>
    <row r="1202" spans="6:27">
      <c r="F1202" s="776"/>
      <c r="G1202" s="776"/>
      <c r="H1202" s="776"/>
      <c r="I1202" s="776"/>
      <c r="J1202" s="776"/>
      <c r="K1202" s="776"/>
      <c r="L1202" s="776"/>
      <c r="M1202" s="776"/>
      <c r="O1202" s="776"/>
      <c r="P1202" s="776"/>
      <c r="Q1202" s="776"/>
      <c r="R1202" s="776"/>
      <c r="S1202" s="776"/>
      <c r="T1202" s="776"/>
      <c r="U1202" s="776"/>
      <c r="V1202" s="776"/>
      <c r="W1202" s="776"/>
      <c r="X1202" s="776"/>
      <c r="Y1202" s="776"/>
      <c r="Z1202" s="776"/>
      <c r="AA1202" s="13"/>
    </row>
    <row r="1203" spans="6:27">
      <c r="F1203" s="776"/>
      <c r="G1203" s="776"/>
      <c r="H1203" s="776"/>
      <c r="I1203" s="776"/>
      <c r="J1203" s="776"/>
      <c r="K1203" s="776"/>
      <c r="L1203" s="776"/>
      <c r="M1203" s="776"/>
      <c r="O1203" s="776"/>
      <c r="P1203" s="776"/>
      <c r="Q1203" s="776"/>
      <c r="R1203" s="776"/>
      <c r="S1203" s="776"/>
      <c r="T1203" s="776"/>
      <c r="U1203" s="776"/>
      <c r="V1203" s="776"/>
      <c r="W1203" s="776"/>
      <c r="X1203" s="776"/>
      <c r="Y1203" s="776"/>
      <c r="Z1203" s="776"/>
      <c r="AA1203" s="13"/>
    </row>
    <row r="1204" spans="6:27">
      <c r="F1204" s="776"/>
      <c r="G1204" s="776"/>
      <c r="H1204" s="776"/>
      <c r="I1204" s="776"/>
      <c r="J1204" s="776"/>
      <c r="K1204" s="776"/>
      <c r="L1204" s="776"/>
      <c r="M1204" s="776"/>
      <c r="O1204" s="776"/>
      <c r="P1204" s="776"/>
      <c r="Q1204" s="776"/>
      <c r="R1204" s="776"/>
      <c r="S1204" s="776"/>
      <c r="T1204" s="776"/>
      <c r="U1204" s="776"/>
      <c r="V1204" s="776"/>
      <c r="W1204" s="776"/>
      <c r="X1204" s="776"/>
      <c r="Y1204" s="776"/>
      <c r="Z1204" s="776"/>
      <c r="AA1204" s="13"/>
    </row>
    <row r="1205" spans="6:27">
      <c r="F1205" s="776"/>
      <c r="G1205" s="776"/>
      <c r="H1205" s="776"/>
      <c r="I1205" s="776"/>
      <c r="J1205" s="776"/>
      <c r="K1205" s="776"/>
      <c r="L1205" s="776"/>
      <c r="M1205" s="776"/>
      <c r="O1205" s="776"/>
      <c r="P1205" s="776"/>
      <c r="Q1205" s="776"/>
      <c r="R1205" s="776"/>
      <c r="S1205" s="776"/>
      <c r="T1205" s="776"/>
      <c r="U1205" s="776"/>
      <c r="V1205" s="776"/>
      <c r="W1205" s="776"/>
      <c r="X1205" s="776"/>
      <c r="Y1205" s="776"/>
      <c r="Z1205" s="776"/>
      <c r="AA1205" s="13"/>
    </row>
    <row r="1206" spans="6:27">
      <c r="F1206" s="776"/>
      <c r="G1206" s="776"/>
      <c r="H1206" s="776"/>
      <c r="I1206" s="776"/>
      <c r="J1206" s="776"/>
      <c r="K1206" s="776"/>
      <c r="L1206" s="776"/>
      <c r="M1206" s="776"/>
      <c r="O1206" s="776"/>
      <c r="P1206" s="776"/>
      <c r="Q1206" s="776"/>
      <c r="R1206" s="776"/>
      <c r="S1206" s="776"/>
      <c r="T1206" s="776"/>
      <c r="U1206" s="776"/>
      <c r="V1206" s="776"/>
      <c r="W1206" s="776"/>
      <c r="X1206" s="776"/>
      <c r="Y1206" s="776"/>
      <c r="Z1206" s="776"/>
      <c r="AA1206" s="13"/>
    </row>
    <row r="1207" spans="6:27">
      <c r="F1207" s="776"/>
      <c r="G1207" s="776"/>
      <c r="H1207" s="776"/>
      <c r="I1207" s="776"/>
      <c r="J1207" s="776"/>
      <c r="K1207" s="776"/>
      <c r="L1207" s="776"/>
      <c r="M1207" s="776"/>
      <c r="O1207" s="776"/>
      <c r="P1207" s="776"/>
      <c r="Q1207" s="776"/>
      <c r="R1207" s="776"/>
      <c r="S1207" s="776"/>
      <c r="T1207" s="776"/>
      <c r="U1207" s="776"/>
      <c r="V1207" s="776"/>
      <c r="W1207" s="776"/>
      <c r="X1207" s="776"/>
      <c r="Y1207" s="776"/>
      <c r="Z1207" s="776"/>
      <c r="AA1207" s="13"/>
    </row>
    <row r="1208" spans="6:27">
      <c r="F1208" s="776"/>
      <c r="G1208" s="776"/>
      <c r="H1208" s="776"/>
      <c r="I1208" s="776"/>
      <c r="J1208" s="776"/>
      <c r="K1208" s="776"/>
      <c r="L1208" s="776"/>
      <c r="M1208" s="776"/>
      <c r="O1208" s="776"/>
      <c r="P1208" s="776"/>
      <c r="Q1208" s="776"/>
      <c r="R1208" s="776"/>
      <c r="S1208" s="776"/>
      <c r="T1208" s="776"/>
      <c r="U1208" s="776"/>
      <c r="V1208" s="776"/>
      <c r="W1208" s="776"/>
      <c r="X1208" s="776"/>
      <c r="Y1208" s="776"/>
      <c r="Z1208" s="776"/>
      <c r="AA1208" s="13"/>
    </row>
    <row r="1209" spans="6:27">
      <c r="F1209" s="776"/>
      <c r="G1209" s="776"/>
      <c r="H1209" s="776"/>
      <c r="I1209" s="776"/>
      <c r="J1209" s="776"/>
      <c r="K1209" s="776"/>
      <c r="L1209" s="776"/>
      <c r="M1209" s="776"/>
      <c r="O1209" s="776"/>
      <c r="P1209" s="776"/>
      <c r="Q1209" s="776"/>
      <c r="R1209" s="776"/>
      <c r="S1209" s="776"/>
      <c r="T1209" s="776"/>
      <c r="U1209" s="776"/>
      <c r="V1209" s="776"/>
      <c r="W1209" s="776"/>
      <c r="X1209" s="776"/>
      <c r="Y1209" s="776"/>
      <c r="Z1209" s="776"/>
      <c r="AA1209" s="13"/>
    </row>
    <row r="1210" spans="6:27">
      <c r="F1210" s="776"/>
      <c r="G1210" s="776"/>
      <c r="H1210" s="776"/>
      <c r="I1210" s="776"/>
      <c r="J1210" s="776"/>
      <c r="K1210" s="776"/>
      <c r="L1210" s="776"/>
      <c r="M1210" s="776"/>
      <c r="O1210" s="776"/>
      <c r="P1210" s="776"/>
      <c r="Q1210" s="776"/>
      <c r="R1210" s="776"/>
      <c r="S1210" s="776"/>
      <c r="T1210" s="776"/>
      <c r="U1210" s="776"/>
      <c r="V1210" s="776"/>
      <c r="W1210" s="776"/>
      <c r="X1210" s="776"/>
      <c r="Y1210" s="776"/>
      <c r="Z1210" s="776"/>
      <c r="AA1210" s="13"/>
    </row>
    <row r="1211" spans="6:27">
      <c r="F1211" s="776"/>
      <c r="G1211" s="776"/>
      <c r="H1211" s="776"/>
      <c r="I1211" s="776"/>
      <c r="J1211" s="776"/>
      <c r="K1211" s="776"/>
      <c r="L1211" s="776"/>
      <c r="M1211" s="776"/>
      <c r="O1211" s="776"/>
      <c r="P1211" s="776"/>
      <c r="Q1211" s="776"/>
      <c r="R1211" s="776"/>
      <c r="S1211" s="776"/>
      <c r="T1211" s="776"/>
      <c r="U1211" s="776"/>
      <c r="V1211" s="776"/>
      <c r="W1211" s="776"/>
      <c r="X1211" s="776"/>
      <c r="Y1211" s="776"/>
      <c r="Z1211" s="776"/>
      <c r="AA1211" s="13"/>
    </row>
    <row r="1212" spans="6:27">
      <c r="F1212" s="776"/>
      <c r="G1212" s="776"/>
      <c r="H1212" s="776"/>
      <c r="I1212" s="776"/>
      <c r="J1212" s="776"/>
      <c r="K1212" s="776"/>
      <c r="L1212" s="776"/>
      <c r="M1212" s="776"/>
      <c r="O1212" s="776"/>
      <c r="P1212" s="776"/>
      <c r="Q1212" s="776"/>
      <c r="R1212" s="776"/>
      <c r="S1212" s="776"/>
      <c r="T1212" s="776"/>
      <c r="U1212" s="776"/>
      <c r="V1212" s="776"/>
      <c r="W1212" s="776"/>
      <c r="X1212" s="776"/>
      <c r="Y1212" s="776"/>
      <c r="Z1212" s="776"/>
      <c r="AA1212" s="13"/>
    </row>
    <row r="1213" spans="6:27">
      <c r="F1213" s="776"/>
      <c r="G1213" s="776"/>
      <c r="H1213" s="776"/>
      <c r="I1213" s="776"/>
      <c r="J1213" s="776"/>
      <c r="K1213" s="776"/>
      <c r="L1213" s="776"/>
      <c r="M1213" s="776"/>
      <c r="O1213" s="776"/>
      <c r="P1213" s="776"/>
      <c r="Q1213" s="776"/>
      <c r="R1213" s="776"/>
      <c r="S1213" s="776"/>
      <c r="T1213" s="776"/>
      <c r="U1213" s="776"/>
      <c r="V1213" s="776"/>
      <c r="W1213" s="776"/>
      <c r="X1213" s="776"/>
      <c r="Y1213" s="776"/>
      <c r="Z1213" s="776"/>
      <c r="AA1213" s="13"/>
    </row>
    <row r="1214" spans="6:27">
      <c r="F1214" s="776"/>
      <c r="G1214" s="776"/>
      <c r="H1214" s="776"/>
      <c r="I1214" s="776"/>
      <c r="J1214" s="776"/>
      <c r="K1214" s="776"/>
      <c r="L1214" s="776"/>
      <c r="M1214" s="776"/>
      <c r="O1214" s="776"/>
      <c r="P1214" s="776"/>
      <c r="Q1214" s="776"/>
      <c r="R1214" s="776"/>
      <c r="S1214" s="776"/>
      <c r="T1214" s="776"/>
      <c r="U1214" s="776"/>
      <c r="V1214" s="776"/>
      <c r="W1214" s="776"/>
      <c r="X1214" s="776"/>
      <c r="Y1214" s="776"/>
      <c r="Z1214" s="776"/>
      <c r="AA1214" s="13"/>
    </row>
    <row r="1215" spans="6:27">
      <c r="F1215" s="776"/>
      <c r="G1215" s="776"/>
      <c r="H1215" s="776"/>
      <c r="I1215" s="776"/>
      <c r="J1215" s="776"/>
      <c r="K1215" s="776"/>
      <c r="L1215" s="776"/>
      <c r="M1215" s="776"/>
      <c r="O1215" s="776"/>
      <c r="P1215" s="776"/>
      <c r="Q1215" s="776"/>
      <c r="R1215" s="776"/>
      <c r="S1215" s="776"/>
      <c r="T1215" s="776"/>
      <c r="U1215" s="776"/>
      <c r="V1215" s="776"/>
      <c r="W1215" s="776"/>
      <c r="X1215" s="776"/>
      <c r="Y1215" s="776"/>
      <c r="Z1215" s="776"/>
      <c r="AA1215" s="13"/>
    </row>
    <row r="1216" spans="6:27">
      <c r="F1216" s="776"/>
      <c r="G1216" s="776"/>
      <c r="H1216" s="776"/>
      <c r="I1216" s="776"/>
      <c r="J1216" s="776"/>
      <c r="K1216" s="776"/>
      <c r="L1216" s="776"/>
      <c r="M1216" s="776"/>
      <c r="O1216" s="776"/>
      <c r="P1216" s="776"/>
      <c r="Q1216" s="776"/>
      <c r="R1216" s="776"/>
      <c r="S1216" s="776"/>
      <c r="T1216" s="776"/>
      <c r="U1216" s="776"/>
      <c r="V1216" s="776"/>
      <c r="W1216" s="776"/>
      <c r="X1216" s="776"/>
      <c r="Y1216" s="776"/>
      <c r="Z1216" s="776"/>
      <c r="AA1216" s="13"/>
    </row>
    <row r="1217" spans="6:27">
      <c r="F1217" s="776"/>
      <c r="G1217" s="776"/>
      <c r="H1217" s="776"/>
      <c r="I1217" s="776"/>
      <c r="J1217" s="776"/>
      <c r="K1217" s="776"/>
      <c r="L1217" s="776"/>
      <c r="M1217" s="776"/>
      <c r="O1217" s="776"/>
      <c r="P1217" s="776"/>
      <c r="Q1217" s="776"/>
      <c r="R1217" s="776"/>
      <c r="S1217" s="776"/>
      <c r="T1217" s="776"/>
      <c r="U1217" s="776"/>
      <c r="V1217" s="776"/>
      <c r="W1217" s="776"/>
      <c r="X1217" s="776"/>
      <c r="Y1217" s="776"/>
      <c r="Z1217" s="776"/>
      <c r="AA1217" s="13"/>
    </row>
    <row r="1218" spans="6:27">
      <c r="F1218" s="776"/>
      <c r="G1218" s="776"/>
      <c r="H1218" s="776"/>
      <c r="I1218" s="776"/>
      <c r="J1218" s="776"/>
      <c r="K1218" s="776"/>
      <c r="L1218" s="776"/>
      <c r="M1218" s="776"/>
      <c r="O1218" s="776"/>
      <c r="P1218" s="776"/>
      <c r="Q1218" s="776"/>
      <c r="R1218" s="776"/>
      <c r="S1218" s="776"/>
      <c r="T1218" s="776"/>
      <c r="U1218" s="776"/>
      <c r="V1218" s="776"/>
      <c r="W1218" s="776"/>
      <c r="X1218" s="776"/>
      <c r="Y1218" s="776"/>
      <c r="Z1218" s="776"/>
      <c r="AA1218" s="13"/>
    </row>
    <row r="1219" spans="6:27">
      <c r="F1219" s="776"/>
      <c r="G1219" s="776"/>
      <c r="H1219" s="776"/>
      <c r="I1219" s="776"/>
      <c r="J1219" s="776"/>
      <c r="K1219" s="776"/>
      <c r="L1219" s="776"/>
      <c r="M1219" s="776"/>
      <c r="O1219" s="776"/>
      <c r="P1219" s="776"/>
      <c r="Q1219" s="776"/>
      <c r="R1219" s="776"/>
      <c r="S1219" s="776"/>
      <c r="T1219" s="776"/>
      <c r="U1219" s="776"/>
      <c r="V1219" s="776"/>
      <c r="W1219" s="776"/>
      <c r="X1219" s="776"/>
      <c r="Y1219" s="776"/>
      <c r="Z1219" s="776"/>
      <c r="AA1219" s="13"/>
    </row>
    <row r="1220" spans="6:27">
      <c r="F1220" s="776"/>
      <c r="G1220" s="776"/>
      <c r="H1220" s="776"/>
      <c r="I1220" s="776"/>
      <c r="J1220" s="776"/>
      <c r="K1220" s="776"/>
      <c r="L1220" s="776"/>
      <c r="M1220" s="776"/>
      <c r="O1220" s="776"/>
      <c r="P1220" s="776"/>
      <c r="Q1220" s="776"/>
      <c r="R1220" s="776"/>
      <c r="S1220" s="776"/>
      <c r="T1220" s="776"/>
      <c r="U1220" s="776"/>
      <c r="V1220" s="776"/>
      <c r="W1220" s="776"/>
      <c r="X1220" s="776"/>
      <c r="Y1220" s="776"/>
      <c r="Z1220" s="776"/>
      <c r="AA1220" s="13"/>
    </row>
    <row r="1221" spans="6:27">
      <c r="F1221" s="776"/>
      <c r="G1221" s="776"/>
      <c r="H1221" s="776"/>
      <c r="I1221" s="776"/>
      <c r="J1221" s="776"/>
      <c r="K1221" s="776"/>
      <c r="L1221" s="776"/>
      <c r="M1221" s="776"/>
      <c r="O1221" s="776"/>
      <c r="P1221" s="776"/>
      <c r="Q1221" s="776"/>
      <c r="R1221" s="776"/>
      <c r="S1221" s="776"/>
      <c r="T1221" s="776"/>
      <c r="U1221" s="776"/>
      <c r="V1221" s="776"/>
      <c r="W1221" s="776"/>
      <c r="X1221" s="776"/>
      <c r="Y1221" s="776"/>
      <c r="Z1221" s="776"/>
      <c r="AA1221" s="13"/>
    </row>
    <row r="1222" spans="6:27">
      <c r="F1222" s="776"/>
      <c r="G1222" s="776"/>
      <c r="H1222" s="776"/>
      <c r="I1222" s="776"/>
      <c r="J1222" s="776"/>
      <c r="K1222" s="776"/>
      <c r="L1222" s="776"/>
      <c r="M1222" s="776"/>
      <c r="O1222" s="776"/>
      <c r="P1222" s="776"/>
      <c r="Q1222" s="776"/>
      <c r="R1222" s="776"/>
      <c r="S1222" s="776"/>
      <c r="T1222" s="776"/>
      <c r="U1222" s="776"/>
      <c r="V1222" s="776"/>
      <c r="W1222" s="776"/>
      <c r="X1222" s="776"/>
      <c r="Y1222" s="776"/>
      <c r="Z1222" s="776"/>
      <c r="AA1222" s="13"/>
    </row>
    <row r="1223" spans="6:27">
      <c r="F1223" s="776"/>
      <c r="G1223" s="776"/>
      <c r="H1223" s="776"/>
      <c r="I1223" s="776"/>
      <c r="J1223" s="776"/>
      <c r="K1223" s="776"/>
      <c r="L1223" s="776"/>
      <c r="M1223" s="776"/>
      <c r="O1223" s="776"/>
      <c r="P1223" s="776"/>
      <c r="Q1223" s="776"/>
      <c r="R1223" s="776"/>
      <c r="S1223" s="776"/>
      <c r="T1223" s="776"/>
      <c r="U1223" s="776"/>
      <c r="V1223" s="776"/>
      <c r="W1223" s="776"/>
      <c r="X1223" s="776"/>
      <c r="Y1223" s="776"/>
      <c r="Z1223" s="776"/>
      <c r="AA1223" s="13"/>
    </row>
    <row r="1224" spans="6:27">
      <c r="F1224" s="776"/>
      <c r="G1224" s="776"/>
      <c r="H1224" s="776"/>
      <c r="I1224" s="776"/>
      <c r="J1224" s="776"/>
      <c r="K1224" s="776"/>
      <c r="L1224" s="776"/>
      <c r="M1224" s="776"/>
      <c r="O1224" s="776"/>
      <c r="P1224" s="776"/>
      <c r="Q1224" s="776"/>
      <c r="R1224" s="776"/>
      <c r="S1224" s="776"/>
      <c r="T1224" s="776"/>
      <c r="U1224" s="776"/>
      <c r="V1224" s="776"/>
      <c r="W1224" s="776"/>
      <c r="X1224" s="776"/>
      <c r="Y1224" s="776"/>
      <c r="Z1224" s="776"/>
      <c r="AA1224" s="13"/>
    </row>
    <row r="1225" spans="6:27">
      <c r="F1225" s="776"/>
      <c r="G1225" s="776"/>
      <c r="H1225" s="776"/>
      <c r="I1225" s="776"/>
      <c r="J1225" s="776"/>
      <c r="K1225" s="776"/>
      <c r="L1225" s="776"/>
      <c r="M1225" s="776"/>
      <c r="O1225" s="776"/>
      <c r="P1225" s="776"/>
      <c r="Q1225" s="776"/>
      <c r="R1225" s="776"/>
      <c r="S1225" s="776"/>
      <c r="T1225" s="776"/>
      <c r="U1225" s="776"/>
      <c r="V1225" s="776"/>
      <c r="W1225" s="776"/>
      <c r="X1225" s="776"/>
      <c r="Y1225" s="776"/>
      <c r="Z1225" s="776"/>
      <c r="AA1225" s="13"/>
    </row>
    <row r="1226" spans="6:27">
      <c r="F1226" s="776"/>
      <c r="G1226" s="776"/>
      <c r="H1226" s="776"/>
      <c r="I1226" s="776"/>
      <c r="J1226" s="776"/>
      <c r="K1226" s="776"/>
      <c r="L1226" s="776"/>
      <c r="M1226" s="776"/>
      <c r="O1226" s="776"/>
      <c r="P1226" s="776"/>
      <c r="Q1226" s="776"/>
      <c r="R1226" s="776"/>
      <c r="S1226" s="776"/>
      <c r="T1226" s="776"/>
      <c r="U1226" s="776"/>
      <c r="V1226" s="776"/>
      <c r="W1226" s="776"/>
      <c r="X1226" s="776"/>
      <c r="Y1226" s="776"/>
      <c r="Z1226" s="776"/>
      <c r="AA1226" s="13"/>
    </row>
    <row r="1227" spans="6:27">
      <c r="F1227" s="776"/>
      <c r="G1227" s="776"/>
      <c r="H1227" s="776"/>
      <c r="I1227" s="776"/>
      <c r="J1227" s="776"/>
      <c r="K1227" s="776"/>
      <c r="L1227" s="776"/>
      <c r="M1227" s="776"/>
      <c r="O1227" s="776"/>
      <c r="P1227" s="776"/>
      <c r="Q1227" s="776"/>
      <c r="R1227" s="776"/>
      <c r="S1227" s="776"/>
      <c r="T1227" s="776"/>
      <c r="U1227" s="776"/>
      <c r="V1227" s="776"/>
      <c r="W1227" s="776"/>
      <c r="X1227" s="776"/>
      <c r="Y1227" s="776"/>
      <c r="Z1227" s="776"/>
      <c r="AA1227" s="13"/>
    </row>
    <row r="1228" spans="6:27">
      <c r="F1228" s="776"/>
      <c r="G1228" s="776"/>
      <c r="H1228" s="776"/>
      <c r="I1228" s="776"/>
      <c r="J1228" s="776"/>
      <c r="K1228" s="776"/>
      <c r="L1228" s="776"/>
      <c r="M1228" s="776"/>
      <c r="O1228" s="776"/>
      <c r="P1228" s="776"/>
      <c r="Q1228" s="776"/>
      <c r="R1228" s="776"/>
      <c r="S1228" s="776"/>
      <c r="T1228" s="776"/>
      <c r="U1228" s="776"/>
      <c r="V1228" s="776"/>
      <c r="W1228" s="776"/>
      <c r="X1228" s="776"/>
      <c r="Y1228" s="776"/>
      <c r="Z1228" s="776"/>
      <c r="AA1228" s="13"/>
    </row>
    <row r="1229" spans="6:27">
      <c r="F1229" s="776"/>
      <c r="G1229" s="776"/>
      <c r="H1229" s="776"/>
      <c r="I1229" s="776"/>
      <c r="J1229" s="776"/>
      <c r="K1229" s="776"/>
      <c r="L1229" s="776"/>
      <c r="M1229" s="776"/>
      <c r="O1229" s="776"/>
      <c r="P1229" s="776"/>
      <c r="Q1229" s="776"/>
      <c r="R1229" s="776"/>
      <c r="S1229" s="776"/>
      <c r="T1229" s="776"/>
      <c r="U1229" s="776"/>
      <c r="V1229" s="776"/>
      <c r="W1229" s="776"/>
      <c r="X1229" s="776"/>
      <c r="Y1229" s="776"/>
      <c r="Z1229" s="776"/>
      <c r="AA1229" s="13"/>
    </row>
    <row r="1230" spans="6:27">
      <c r="F1230" s="776"/>
      <c r="G1230" s="776"/>
      <c r="H1230" s="776"/>
      <c r="I1230" s="776"/>
      <c r="J1230" s="776"/>
      <c r="K1230" s="776"/>
      <c r="L1230" s="776"/>
      <c r="M1230" s="776"/>
      <c r="O1230" s="776"/>
      <c r="P1230" s="776"/>
      <c r="Q1230" s="776"/>
      <c r="R1230" s="776"/>
      <c r="S1230" s="776"/>
      <c r="T1230" s="776"/>
      <c r="U1230" s="776"/>
      <c r="V1230" s="776"/>
      <c r="W1230" s="776"/>
      <c r="X1230" s="776"/>
      <c r="Y1230" s="776"/>
      <c r="Z1230" s="776"/>
      <c r="AA1230" s="13"/>
    </row>
    <row r="1231" spans="6:27">
      <c r="F1231" s="776"/>
      <c r="G1231" s="776"/>
      <c r="H1231" s="776"/>
      <c r="I1231" s="776"/>
      <c r="J1231" s="776"/>
      <c r="K1231" s="776"/>
      <c r="L1231" s="776"/>
      <c r="M1231" s="776"/>
      <c r="O1231" s="776"/>
      <c r="P1231" s="776"/>
      <c r="Q1231" s="776"/>
      <c r="R1231" s="776"/>
      <c r="S1231" s="776"/>
      <c r="T1231" s="776"/>
      <c r="U1231" s="776"/>
      <c r="V1231" s="776"/>
      <c r="W1231" s="776"/>
      <c r="X1231" s="776"/>
      <c r="Y1231" s="776"/>
      <c r="Z1231" s="776"/>
      <c r="AA1231" s="13"/>
    </row>
    <row r="1232" spans="6:27">
      <c r="F1232" s="776"/>
      <c r="G1232" s="776"/>
      <c r="H1232" s="776"/>
      <c r="I1232" s="776"/>
      <c r="J1232" s="776"/>
      <c r="K1232" s="776"/>
      <c r="L1232" s="776"/>
      <c r="M1232" s="776"/>
      <c r="O1232" s="776"/>
      <c r="P1232" s="776"/>
      <c r="Q1232" s="776"/>
      <c r="R1232" s="776"/>
      <c r="S1232" s="776"/>
      <c r="T1232" s="776"/>
      <c r="U1232" s="776"/>
      <c r="V1232" s="776"/>
      <c r="W1232" s="776"/>
      <c r="X1232" s="776"/>
      <c r="Y1232" s="776"/>
      <c r="Z1232" s="776"/>
      <c r="AA1232" s="13"/>
    </row>
    <row r="1233" spans="6:27">
      <c r="F1233" s="776"/>
      <c r="G1233" s="776"/>
      <c r="H1233" s="776"/>
      <c r="I1233" s="776"/>
      <c r="J1233" s="776"/>
      <c r="K1233" s="776"/>
      <c r="L1233" s="776"/>
      <c r="M1233" s="776"/>
      <c r="O1233" s="776"/>
      <c r="P1233" s="776"/>
      <c r="Q1233" s="776"/>
      <c r="R1233" s="776"/>
      <c r="S1233" s="776"/>
      <c r="T1233" s="776"/>
      <c r="U1233" s="776"/>
      <c r="V1233" s="776"/>
      <c r="W1233" s="776"/>
      <c r="X1233" s="776"/>
      <c r="Y1233" s="776"/>
      <c r="Z1233" s="776"/>
      <c r="AA1233" s="13"/>
    </row>
    <row r="1234" spans="6:27">
      <c r="F1234" s="776"/>
      <c r="G1234" s="776"/>
      <c r="H1234" s="776"/>
      <c r="I1234" s="776"/>
      <c r="J1234" s="776"/>
      <c r="K1234" s="776"/>
      <c r="L1234" s="776"/>
      <c r="M1234" s="776"/>
      <c r="O1234" s="776"/>
      <c r="P1234" s="776"/>
      <c r="Q1234" s="776"/>
      <c r="R1234" s="776"/>
      <c r="S1234" s="776"/>
      <c r="T1234" s="776"/>
      <c r="U1234" s="776"/>
      <c r="V1234" s="776"/>
      <c r="W1234" s="776"/>
      <c r="X1234" s="776"/>
      <c r="Y1234" s="776"/>
      <c r="Z1234" s="776"/>
      <c r="AA1234" s="13"/>
    </row>
    <row r="1235" spans="6:27">
      <c r="F1235" s="776"/>
      <c r="G1235" s="776"/>
      <c r="H1235" s="776"/>
      <c r="I1235" s="776"/>
      <c r="J1235" s="776"/>
      <c r="K1235" s="776"/>
      <c r="L1235" s="776"/>
      <c r="M1235" s="776"/>
      <c r="O1235" s="776"/>
      <c r="P1235" s="776"/>
      <c r="Q1235" s="776"/>
      <c r="R1235" s="776"/>
      <c r="S1235" s="776"/>
      <c r="T1235" s="776"/>
      <c r="U1235" s="776"/>
      <c r="V1235" s="776"/>
      <c r="W1235" s="776"/>
      <c r="X1235" s="776"/>
      <c r="Y1235" s="776"/>
      <c r="Z1235" s="776"/>
      <c r="AA1235" s="13"/>
    </row>
    <row r="1236" spans="6:27">
      <c r="F1236" s="776"/>
      <c r="G1236" s="776"/>
      <c r="H1236" s="776"/>
      <c r="I1236" s="776"/>
      <c r="J1236" s="776"/>
      <c r="K1236" s="776"/>
      <c r="L1236" s="776"/>
      <c r="M1236" s="776"/>
      <c r="O1236" s="776"/>
      <c r="P1236" s="776"/>
      <c r="Q1236" s="776"/>
      <c r="R1236" s="776"/>
      <c r="S1236" s="776"/>
      <c r="T1236" s="776"/>
      <c r="U1236" s="776"/>
      <c r="V1236" s="776"/>
      <c r="W1236" s="776"/>
      <c r="X1236" s="776"/>
      <c r="Y1236" s="776"/>
      <c r="Z1236" s="776"/>
      <c r="AA1236" s="13"/>
    </row>
    <row r="1237" spans="6:27">
      <c r="F1237" s="776"/>
      <c r="G1237" s="776"/>
      <c r="H1237" s="776"/>
      <c r="I1237" s="776"/>
      <c r="J1237" s="776"/>
      <c r="K1237" s="776"/>
      <c r="L1237" s="776"/>
      <c r="M1237" s="776"/>
      <c r="O1237" s="776"/>
      <c r="P1237" s="776"/>
      <c r="Q1237" s="776"/>
      <c r="R1237" s="776"/>
      <c r="S1237" s="776"/>
      <c r="T1237" s="776"/>
      <c r="U1237" s="776"/>
      <c r="V1237" s="776"/>
      <c r="W1237" s="776"/>
      <c r="X1237" s="776"/>
      <c r="Y1237" s="776"/>
      <c r="Z1237" s="776"/>
      <c r="AA1237" s="13"/>
    </row>
    <row r="1238" spans="6:27">
      <c r="F1238" s="776"/>
      <c r="G1238" s="776"/>
      <c r="H1238" s="776"/>
      <c r="I1238" s="776"/>
      <c r="J1238" s="776"/>
      <c r="K1238" s="776"/>
      <c r="L1238" s="776"/>
      <c r="M1238" s="776"/>
      <c r="O1238" s="776"/>
      <c r="P1238" s="776"/>
      <c r="Q1238" s="776"/>
      <c r="R1238" s="776"/>
      <c r="S1238" s="776"/>
      <c r="T1238" s="776"/>
      <c r="U1238" s="776"/>
      <c r="V1238" s="776"/>
      <c r="W1238" s="776"/>
      <c r="X1238" s="776"/>
      <c r="Y1238" s="776"/>
      <c r="Z1238" s="776"/>
      <c r="AA1238" s="13"/>
    </row>
    <row r="1239" spans="6:27">
      <c r="F1239" s="776"/>
      <c r="G1239" s="776"/>
      <c r="H1239" s="776"/>
      <c r="I1239" s="776"/>
      <c r="J1239" s="776"/>
      <c r="K1239" s="776"/>
      <c r="L1239" s="776"/>
      <c r="M1239" s="776"/>
      <c r="O1239" s="776"/>
      <c r="P1239" s="776"/>
      <c r="Q1239" s="776"/>
      <c r="R1239" s="776"/>
      <c r="S1239" s="776"/>
      <c r="T1239" s="776"/>
      <c r="U1239" s="776"/>
      <c r="V1239" s="776"/>
      <c r="W1239" s="776"/>
      <c r="X1239" s="776"/>
      <c r="Y1239" s="776"/>
      <c r="Z1239" s="776"/>
      <c r="AA1239" s="13"/>
    </row>
    <row r="1240" spans="6:27">
      <c r="F1240" s="776"/>
      <c r="G1240" s="776"/>
      <c r="H1240" s="776"/>
      <c r="I1240" s="776"/>
      <c r="J1240" s="776"/>
      <c r="K1240" s="776"/>
      <c r="L1240" s="776"/>
      <c r="M1240" s="776"/>
      <c r="O1240" s="776"/>
      <c r="P1240" s="776"/>
      <c r="Q1240" s="776"/>
      <c r="R1240" s="776"/>
      <c r="S1240" s="776"/>
      <c r="T1240" s="776"/>
      <c r="U1240" s="776"/>
      <c r="V1240" s="776"/>
      <c r="W1240" s="776"/>
      <c r="X1240" s="776"/>
      <c r="Y1240" s="776"/>
      <c r="Z1240" s="776"/>
      <c r="AA1240" s="13"/>
    </row>
    <row r="1241" spans="6:27">
      <c r="F1241" s="776"/>
      <c r="G1241" s="776"/>
      <c r="H1241" s="776"/>
      <c r="I1241" s="776"/>
      <c r="J1241" s="776"/>
      <c r="K1241" s="776"/>
      <c r="L1241" s="776"/>
      <c r="M1241" s="776"/>
      <c r="O1241" s="776"/>
      <c r="P1241" s="776"/>
      <c r="Q1241" s="776"/>
      <c r="R1241" s="776"/>
      <c r="S1241" s="776"/>
      <c r="T1241" s="776"/>
      <c r="U1241" s="776"/>
      <c r="V1241" s="776"/>
      <c r="W1241" s="776"/>
      <c r="X1241" s="776"/>
      <c r="Y1241" s="776"/>
      <c r="Z1241" s="776"/>
      <c r="AA1241" s="13"/>
    </row>
    <row r="1242" spans="6:27">
      <c r="F1242" s="776"/>
      <c r="G1242" s="776"/>
      <c r="H1242" s="776"/>
      <c r="I1242" s="776"/>
      <c r="J1242" s="776"/>
      <c r="K1242" s="776"/>
      <c r="L1242" s="776"/>
      <c r="M1242" s="776"/>
      <c r="O1242" s="776"/>
      <c r="P1242" s="776"/>
      <c r="Q1242" s="776"/>
      <c r="R1242" s="776"/>
      <c r="S1242" s="776"/>
      <c r="T1242" s="776"/>
      <c r="U1242" s="776"/>
      <c r="V1242" s="776"/>
      <c r="W1242" s="776"/>
      <c r="X1242" s="776"/>
      <c r="Y1242" s="776"/>
      <c r="Z1242" s="776"/>
      <c r="AA1242" s="13"/>
    </row>
    <row r="1243" spans="6:27">
      <c r="F1243" s="776"/>
      <c r="G1243" s="776"/>
      <c r="H1243" s="776"/>
      <c r="I1243" s="776"/>
      <c r="J1243" s="776"/>
      <c r="K1243" s="776"/>
      <c r="L1243" s="776"/>
      <c r="M1243" s="776"/>
      <c r="O1243" s="776"/>
      <c r="P1243" s="776"/>
      <c r="Q1243" s="776"/>
      <c r="R1243" s="776"/>
      <c r="S1243" s="776"/>
      <c r="T1243" s="776"/>
      <c r="U1243" s="776"/>
      <c r="V1243" s="776"/>
      <c r="W1243" s="776"/>
      <c r="X1243" s="776"/>
      <c r="Y1243" s="776"/>
      <c r="Z1243" s="776"/>
      <c r="AA1243" s="13"/>
    </row>
    <row r="1244" spans="6:27">
      <c r="F1244" s="776"/>
      <c r="G1244" s="776"/>
      <c r="H1244" s="776"/>
      <c r="I1244" s="776"/>
      <c r="J1244" s="776"/>
      <c r="K1244" s="776"/>
      <c r="L1244" s="776"/>
      <c r="M1244" s="776"/>
      <c r="O1244" s="776"/>
      <c r="P1244" s="776"/>
      <c r="Q1244" s="776"/>
      <c r="R1244" s="776"/>
      <c r="S1244" s="776"/>
      <c r="T1244" s="776"/>
      <c r="U1244" s="776"/>
      <c r="V1244" s="776"/>
      <c r="W1244" s="776"/>
      <c r="X1244" s="776"/>
      <c r="Y1244" s="776"/>
      <c r="Z1244" s="776"/>
      <c r="AA1244" s="13"/>
    </row>
    <row r="1245" spans="6:27">
      <c r="F1245" s="776"/>
      <c r="G1245" s="776"/>
      <c r="H1245" s="776"/>
      <c r="I1245" s="776"/>
      <c r="J1245" s="776"/>
      <c r="K1245" s="776"/>
      <c r="L1245" s="776"/>
      <c r="M1245" s="776"/>
      <c r="O1245" s="776"/>
      <c r="P1245" s="776"/>
      <c r="Q1245" s="776"/>
      <c r="R1245" s="776"/>
      <c r="S1245" s="776"/>
      <c r="T1245" s="776"/>
      <c r="U1245" s="776"/>
      <c r="V1245" s="776"/>
      <c r="W1245" s="776"/>
      <c r="X1245" s="776"/>
      <c r="Y1245" s="776"/>
      <c r="Z1245" s="776"/>
      <c r="AA1245" s="13"/>
    </row>
    <row r="1246" spans="6:27">
      <c r="F1246" s="776"/>
      <c r="G1246" s="776"/>
      <c r="H1246" s="776"/>
      <c r="I1246" s="776"/>
      <c r="J1246" s="776"/>
      <c r="K1246" s="776"/>
      <c r="L1246" s="776"/>
      <c r="M1246" s="776"/>
      <c r="O1246" s="776"/>
      <c r="P1246" s="776"/>
      <c r="Q1246" s="776"/>
      <c r="R1246" s="776"/>
      <c r="S1246" s="776"/>
      <c r="T1246" s="776"/>
      <c r="U1246" s="776"/>
      <c r="V1246" s="776"/>
      <c r="W1246" s="776"/>
      <c r="X1246" s="776"/>
      <c r="Y1246" s="776"/>
      <c r="Z1246" s="776"/>
      <c r="AA1246" s="13"/>
    </row>
    <row r="1247" spans="6:27">
      <c r="F1247" s="776"/>
      <c r="G1247" s="776"/>
      <c r="H1247" s="776"/>
      <c r="I1247" s="776"/>
      <c r="J1247" s="776"/>
      <c r="K1247" s="776"/>
      <c r="L1247" s="776"/>
      <c r="M1247" s="776"/>
      <c r="O1247" s="776"/>
      <c r="P1247" s="776"/>
      <c r="Q1247" s="776"/>
      <c r="R1247" s="776"/>
      <c r="S1247" s="776"/>
      <c r="T1247" s="776"/>
      <c r="U1247" s="776"/>
      <c r="V1247" s="776"/>
      <c r="W1247" s="776"/>
      <c r="X1247" s="776"/>
      <c r="Y1247" s="776"/>
      <c r="Z1247" s="776"/>
      <c r="AA1247" s="13"/>
    </row>
    <row r="1248" spans="6:27">
      <c r="F1248" s="776"/>
      <c r="G1248" s="776"/>
      <c r="H1248" s="776"/>
      <c r="I1248" s="776"/>
      <c r="J1248" s="776"/>
      <c r="K1248" s="776"/>
      <c r="L1248" s="776"/>
      <c r="M1248" s="776"/>
      <c r="O1248" s="776"/>
      <c r="P1248" s="776"/>
      <c r="Q1248" s="776"/>
      <c r="R1248" s="776"/>
      <c r="S1248" s="776"/>
      <c r="T1248" s="776"/>
      <c r="U1248" s="776"/>
      <c r="V1248" s="776"/>
      <c r="W1248" s="776"/>
      <c r="X1248" s="776"/>
      <c r="Y1248" s="776"/>
      <c r="Z1248" s="776"/>
      <c r="AA1248" s="13"/>
    </row>
    <row r="1249" spans="6:27">
      <c r="F1249" s="776"/>
      <c r="G1249" s="776"/>
      <c r="H1249" s="776"/>
      <c r="I1249" s="776"/>
      <c r="J1249" s="776"/>
      <c r="K1249" s="776"/>
      <c r="L1249" s="776"/>
      <c r="M1249" s="776"/>
      <c r="O1249" s="776"/>
      <c r="P1249" s="776"/>
      <c r="Q1249" s="776"/>
      <c r="R1249" s="776"/>
      <c r="S1249" s="776"/>
      <c r="T1249" s="776"/>
      <c r="U1249" s="776"/>
      <c r="V1249" s="776"/>
      <c r="W1249" s="776"/>
      <c r="X1249" s="776"/>
      <c r="Y1249" s="776"/>
      <c r="Z1249" s="776"/>
      <c r="AA1249" s="13"/>
    </row>
    <row r="1250" spans="6:27">
      <c r="F1250" s="776"/>
      <c r="G1250" s="776"/>
      <c r="H1250" s="776"/>
      <c r="I1250" s="776"/>
      <c r="J1250" s="776"/>
      <c r="K1250" s="776"/>
      <c r="L1250" s="776"/>
      <c r="M1250" s="776"/>
      <c r="O1250" s="776"/>
      <c r="P1250" s="776"/>
      <c r="Q1250" s="776"/>
      <c r="R1250" s="776"/>
      <c r="S1250" s="776"/>
      <c r="T1250" s="776"/>
      <c r="U1250" s="776"/>
      <c r="V1250" s="776"/>
      <c r="W1250" s="776"/>
      <c r="X1250" s="776"/>
      <c r="Y1250" s="776"/>
      <c r="Z1250" s="776"/>
      <c r="AA1250" s="13"/>
    </row>
    <row r="1251" spans="6:27">
      <c r="F1251" s="776"/>
      <c r="G1251" s="776"/>
      <c r="H1251" s="776"/>
      <c r="I1251" s="776"/>
      <c r="J1251" s="776"/>
      <c r="K1251" s="776"/>
      <c r="L1251" s="776"/>
      <c r="M1251" s="776"/>
      <c r="O1251" s="776"/>
      <c r="P1251" s="776"/>
      <c r="Q1251" s="776"/>
      <c r="R1251" s="776"/>
      <c r="S1251" s="776"/>
      <c r="T1251" s="776"/>
      <c r="U1251" s="776"/>
      <c r="V1251" s="776"/>
      <c r="W1251" s="776"/>
      <c r="X1251" s="776"/>
      <c r="Y1251" s="776"/>
      <c r="Z1251" s="776"/>
      <c r="AA1251" s="13"/>
    </row>
    <row r="1252" spans="6:27">
      <c r="F1252" s="776"/>
      <c r="G1252" s="776"/>
      <c r="H1252" s="776"/>
      <c r="I1252" s="776"/>
      <c r="J1252" s="776"/>
      <c r="K1252" s="776"/>
      <c r="L1252" s="776"/>
      <c r="M1252" s="776"/>
      <c r="O1252" s="776"/>
      <c r="P1252" s="776"/>
      <c r="Q1252" s="776"/>
      <c r="R1252" s="776"/>
      <c r="S1252" s="776"/>
      <c r="T1252" s="776"/>
      <c r="U1252" s="776"/>
      <c r="V1252" s="776"/>
      <c r="W1252" s="776"/>
      <c r="X1252" s="776"/>
      <c r="Y1252" s="776"/>
      <c r="Z1252" s="776"/>
      <c r="AA1252" s="13"/>
    </row>
    <row r="1253" spans="6:27">
      <c r="F1253" s="776"/>
      <c r="G1253" s="776"/>
      <c r="H1253" s="776"/>
      <c r="I1253" s="776"/>
      <c r="J1253" s="776"/>
      <c r="K1253" s="776"/>
      <c r="L1253" s="776"/>
      <c r="M1253" s="776"/>
      <c r="O1253" s="776"/>
      <c r="P1253" s="776"/>
      <c r="Q1253" s="776"/>
      <c r="R1253" s="776"/>
      <c r="S1253" s="776"/>
      <c r="T1253" s="776"/>
      <c r="U1253" s="776"/>
      <c r="V1253" s="776"/>
      <c r="W1253" s="776"/>
      <c r="X1253" s="776"/>
      <c r="Y1253" s="776"/>
      <c r="Z1253" s="776"/>
      <c r="AA1253" s="13"/>
    </row>
    <row r="1254" spans="6:27">
      <c r="F1254" s="776"/>
      <c r="G1254" s="776"/>
      <c r="H1254" s="776"/>
      <c r="I1254" s="776"/>
      <c r="J1254" s="776"/>
      <c r="K1254" s="776"/>
      <c r="L1254" s="776"/>
      <c r="M1254" s="776"/>
      <c r="O1254" s="776"/>
      <c r="P1254" s="776"/>
      <c r="Q1254" s="776"/>
      <c r="R1254" s="776"/>
      <c r="S1254" s="776"/>
      <c r="T1254" s="776"/>
      <c r="U1254" s="776"/>
      <c r="V1254" s="776"/>
      <c r="W1254" s="776"/>
      <c r="X1254" s="776"/>
      <c r="Y1254" s="776"/>
      <c r="Z1254" s="776"/>
      <c r="AA1254" s="13"/>
    </row>
    <row r="1255" spans="6:27">
      <c r="F1255" s="776"/>
      <c r="G1255" s="776"/>
      <c r="H1255" s="776"/>
      <c r="I1255" s="776"/>
      <c r="J1255" s="776"/>
      <c r="K1255" s="776"/>
      <c r="L1255" s="776"/>
      <c r="M1255" s="776"/>
      <c r="O1255" s="776"/>
      <c r="P1255" s="776"/>
      <c r="Q1255" s="776"/>
      <c r="R1255" s="776"/>
      <c r="S1255" s="776"/>
      <c r="T1255" s="776"/>
      <c r="U1255" s="776"/>
      <c r="V1255" s="776"/>
      <c r="W1255" s="776"/>
      <c r="X1255" s="776"/>
      <c r="Y1255" s="776"/>
      <c r="Z1255" s="776"/>
      <c r="AA1255" s="13"/>
    </row>
    <row r="1256" spans="6:27">
      <c r="F1256" s="776"/>
      <c r="G1256" s="776"/>
      <c r="H1256" s="776"/>
      <c r="I1256" s="776"/>
      <c r="J1256" s="776"/>
      <c r="K1256" s="776"/>
      <c r="L1256" s="776"/>
      <c r="M1256" s="776"/>
      <c r="O1256" s="776"/>
      <c r="P1256" s="776"/>
      <c r="Q1256" s="776"/>
      <c r="R1256" s="776"/>
      <c r="S1256" s="776"/>
      <c r="T1256" s="776"/>
      <c r="U1256" s="776"/>
      <c r="V1256" s="776"/>
      <c r="W1256" s="776"/>
      <c r="X1256" s="776"/>
      <c r="Y1256" s="776"/>
      <c r="Z1256" s="776"/>
      <c r="AA1256" s="13"/>
    </row>
    <row r="1257" spans="6:27">
      <c r="F1257" s="776"/>
      <c r="G1257" s="776"/>
      <c r="H1257" s="776"/>
      <c r="I1257" s="776"/>
      <c r="J1257" s="776"/>
      <c r="K1257" s="776"/>
      <c r="L1257" s="776"/>
      <c r="M1257" s="776"/>
      <c r="O1257" s="776"/>
      <c r="P1257" s="776"/>
      <c r="Q1257" s="776"/>
      <c r="R1257" s="776"/>
      <c r="S1257" s="776"/>
      <c r="T1257" s="776"/>
      <c r="U1257" s="776"/>
      <c r="V1257" s="776"/>
      <c r="W1257" s="776"/>
      <c r="X1257" s="776"/>
      <c r="Y1257" s="776"/>
      <c r="Z1257" s="776"/>
      <c r="AA1257" s="13"/>
    </row>
    <row r="1258" spans="6:27">
      <c r="F1258" s="776"/>
      <c r="G1258" s="776"/>
      <c r="H1258" s="776"/>
      <c r="I1258" s="776"/>
      <c r="J1258" s="776"/>
      <c r="K1258" s="776"/>
      <c r="L1258" s="776"/>
      <c r="M1258" s="776"/>
      <c r="O1258" s="776"/>
      <c r="P1258" s="776"/>
      <c r="Q1258" s="776"/>
      <c r="R1258" s="776"/>
      <c r="S1258" s="776"/>
      <c r="T1258" s="776"/>
      <c r="U1258" s="776"/>
      <c r="V1258" s="776"/>
      <c r="W1258" s="776"/>
      <c r="X1258" s="776"/>
      <c r="Y1258" s="776"/>
      <c r="Z1258" s="776"/>
      <c r="AA1258" s="13"/>
    </row>
    <row r="1259" spans="6:27">
      <c r="F1259" s="776"/>
      <c r="G1259" s="776"/>
      <c r="H1259" s="776"/>
      <c r="I1259" s="776"/>
      <c r="J1259" s="776"/>
      <c r="K1259" s="776"/>
      <c r="L1259" s="776"/>
      <c r="M1259" s="776"/>
      <c r="O1259" s="776"/>
      <c r="P1259" s="776"/>
      <c r="Q1259" s="776"/>
      <c r="R1259" s="776"/>
      <c r="S1259" s="776"/>
      <c r="T1259" s="776"/>
      <c r="U1259" s="776"/>
      <c r="V1259" s="776"/>
      <c r="W1259" s="776"/>
      <c r="X1259" s="776"/>
      <c r="Y1259" s="776"/>
      <c r="Z1259" s="776"/>
      <c r="AA1259" s="13"/>
    </row>
    <row r="1260" spans="6:27">
      <c r="F1260" s="776"/>
      <c r="G1260" s="776"/>
      <c r="H1260" s="776"/>
      <c r="I1260" s="776"/>
      <c r="J1260" s="776"/>
      <c r="K1260" s="776"/>
      <c r="L1260" s="776"/>
      <c r="M1260" s="776"/>
      <c r="O1260" s="776"/>
      <c r="P1260" s="776"/>
      <c r="Q1260" s="776"/>
      <c r="R1260" s="776"/>
      <c r="S1260" s="776"/>
      <c r="T1260" s="776"/>
      <c r="U1260" s="776"/>
      <c r="V1260" s="776"/>
      <c r="W1260" s="776"/>
      <c r="X1260" s="776"/>
      <c r="Y1260" s="776"/>
      <c r="Z1260" s="776"/>
      <c r="AA1260" s="13"/>
    </row>
    <row r="1261" spans="6:27">
      <c r="F1261" s="776"/>
      <c r="G1261" s="776"/>
      <c r="H1261" s="776"/>
      <c r="I1261" s="776"/>
      <c r="J1261" s="776"/>
      <c r="K1261" s="776"/>
      <c r="L1261" s="776"/>
      <c r="M1261" s="776"/>
      <c r="O1261" s="776"/>
      <c r="P1261" s="776"/>
      <c r="Q1261" s="776"/>
      <c r="R1261" s="776"/>
      <c r="S1261" s="776"/>
      <c r="T1261" s="776"/>
      <c r="U1261" s="776"/>
      <c r="V1261" s="776"/>
      <c r="W1261" s="776"/>
      <c r="X1261" s="776"/>
      <c r="Y1261" s="776"/>
      <c r="Z1261" s="776"/>
      <c r="AA1261" s="13"/>
    </row>
    <row r="1262" spans="6:27">
      <c r="F1262" s="776"/>
      <c r="G1262" s="776"/>
      <c r="H1262" s="776"/>
      <c r="I1262" s="776"/>
      <c r="J1262" s="776"/>
      <c r="K1262" s="776"/>
      <c r="L1262" s="776"/>
      <c r="M1262" s="776"/>
      <c r="O1262" s="776"/>
      <c r="P1262" s="776"/>
      <c r="Q1262" s="776"/>
      <c r="R1262" s="776"/>
      <c r="S1262" s="776"/>
      <c r="T1262" s="776"/>
      <c r="U1262" s="776"/>
      <c r="V1262" s="776"/>
      <c r="W1262" s="776"/>
      <c r="X1262" s="776"/>
      <c r="Y1262" s="776"/>
      <c r="Z1262" s="776"/>
      <c r="AA1262" s="13"/>
    </row>
    <row r="1263" spans="6:27">
      <c r="F1263" s="776"/>
      <c r="G1263" s="776"/>
      <c r="H1263" s="776"/>
      <c r="I1263" s="776"/>
      <c r="J1263" s="776"/>
      <c r="K1263" s="776"/>
      <c r="L1263" s="776"/>
      <c r="M1263" s="776"/>
      <c r="O1263" s="776"/>
      <c r="P1263" s="776"/>
      <c r="Q1263" s="776"/>
      <c r="R1263" s="776"/>
      <c r="S1263" s="776"/>
      <c r="T1263" s="776"/>
      <c r="U1263" s="776"/>
      <c r="V1263" s="776"/>
      <c r="W1263" s="776"/>
      <c r="X1263" s="776"/>
      <c r="Y1263" s="776"/>
      <c r="Z1263" s="776"/>
      <c r="AA1263" s="13"/>
    </row>
    <row r="1264" spans="6:27">
      <c r="F1264" s="776"/>
      <c r="G1264" s="776"/>
      <c r="H1264" s="776"/>
      <c r="I1264" s="776"/>
      <c r="J1264" s="776"/>
      <c r="K1264" s="776"/>
      <c r="L1264" s="776"/>
      <c r="M1264" s="776"/>
      <c r="O1264" s="776"/>
      <c r="P1264" s="776"/>
      <c r="Q1264" s="776"/>
      <c r="R1264" s="776"/>
      <c r="S1264" s="776"/>
      <c r="T1264" s="776"/>
      <c r="U1264" s="776"/>
      <c r="V1264" s="776"/>
      <c r="W1264" s="776"/>
      <c r="X1264" s="776"/>
      <c r="Y1264" s="776"/>
      <c r="Z1264" s="776"/>
      <c r="AA1264" s="13"/>
    </row>
    <row r="1265" spans="6:27">
      <c r="F1265" s="776"/>
      <c r="G1265" s="776"/>
      <c r="H1265" s="776"/>
      <c r="I1265" s="776"/>
      <c r="J1265" s="776"/>
      <c r="K1265" s="776"/>
      <c r="L1265" s="776"/>
      <c r="M1265" s="776"/>
      <c r="O1265" s="776"/>
      <c r="P1265" s="776"/>
      <c r="Q1265" s="776"/>
      <c r="R1265" s="776"/>
      <c r="S1265" s="776"/>
      <c r="T1265" s="776"/>
      <c r="U1265" s="776"/>
      <c r="V1265" s="776"/>
      <c r="W1265" s="776"/>
      <c r="X1265" s="776"/>
      <c r="Y1265" s="776"/>
      <c r="Z1265" s="776"/>
      <c r="AA1265" s="13"/>
    </row>
    <row r="1266" spans="6:27">
      <c r="F1266" s="776"/>
      <c r="G1266" s="776"/>
      <c r="H1266" s="776"/>
      <c r="I1266" s="776"/>
      <c r="J1266" s="776"/>
      <c r="K1266" s="776"/>
      <c r="L1266" s="776"/>
      <c r="M1266" s="776"/>
      <c r="O1266" s="776"/>
      <c r="P1266" s="776"/>
      <c r="Q1266" s="776"/>
      <c r="R1266" s="776"/>
      <c r="S1266" s="776"/>
      <c r="T1266" s="776"/>
      <c r="U1266" s="776"/>
      <c r="V1266" s="776"/>
      <c r="W1266" s="776"/>
      <c r="X1266" s="776"/>
      <c r="Y1266" s="776"/>
      <c r="Z1266" s="776"/>
      <c r="AA1266" s="13"/>
    </row>
    <row r="1267" spans="6:27">
      <c r="F1267" s="776"/>
      <c r="G1267" s="776"/>
      <c r="H1267" s="776"/>
      <c r="I1267" s="776"/>
      <c r="J1267" s="776"/>
      <c r="K1267" s="776"/>
      <c r="L1267" s="776"/>
      <c r="M1267" s="776"/>
      <c r="O1267" s="776"/>
      <c r="P1267" s="776"/>
      <c r="Q1267" s="776"/>
      <c r="R1267" s="776"/>
      <c r="S1267" s="776"/>
      <c r="T1267" s="776"/>
      <c r="U1267" s="776"/>
      <c r="V1267" s="776"/>
      <c r="W1267" s="776"/>
      <c r="X1267" s="776"/>
      <c r="Y1267" s="776"/>
      <c r="Z1267" s="776"/>
      <c r="AA1267" s="13"/>
    </row>
    <row r="1268" spans="6:27">
      <c r="F1268" s="776"/>
      <c r="G1268" s="776"/>
      <c r="H1268" s="776"/>
      <c r="I1268" s="776"/>
      <c r="J1268" s="776"/>
      <c r="K1268" s="776"/>
      <c r="L1268" s="776"/>
      <c r="M1268" s="776"/>
      <c r="O1268" s="776"/>
      <c r="P1268" s="776"/>
      <c r="Q1268" s="776"/>
      <c r="R1268" s="776"/>
      <c r="S1268" s="776"/>
      <c r="T1268" s="776"/>
      <c r="U1268" s="776"/>
      <c r="V1268" s="776"/>
      <c r="W1268" s="776"/>
      <c r="X1268" s="776"/>
      <c r="Y1268" s="776"/>
      <c r="Z1268" s="776"/>
      <c r="AA1268" s="13"/>
    </row>
    <row r="1269" spans="6:27">
      <c r="F1269" s="776"/>
      <c r="G1269" s="776"/>
      <c r="H1269" s="776"/>
      <c r="I1269" s="776"/>
      <c r="J1269" s="776"/>
      <c r="K1269" s="776"/>
      <c r="L1269" s="776"/>
      <c r="M1269" s="776"/>
      <c r="O1269" s="776"/>
      <c r="P1269" s="776"/>
      <c r="Q1269" s="776"/>
      <c r="R1269" s="776"/>
      <c r="S1269" s="776"/>
      <c r="T1269" s="776"/>
      <c r="U1269" s="776"/>
      <c r="V1269" s="776"/>
      <c r="W1269" s="776"/>
      <c r="X1269" s="776"/>
      <c r="Y1269" s="776"/>
      <c r="Z1269" s="776"/>
      <c r="AA1269" s="13"/>
    </row>
    <row r="1270" spans="6:27">
      <c r="F1270" s="776"/>
      <c r="G1270" s="776"/>
      <c r="H1270" s="776"/>
      <c r="I1270" s="776"/>
      <c r="J1270" s="776"/>
      <c r="K1270" s="776"/>
      <c r="L1270" s="776"/>
      <c r="M1270" s="776"/>
      <c r="O1270" s="776"/>
      <c r="P1270" s="776"/>
      <c r="Q1270" s="776"/>
      <c r="R1270" s="776"/>
      <c r="S1270" s="776"/>
      <c r="T1270" s="776"/>
      <c r="U1270" s="776"/>
      <c r="V1270" s="776"/>
      <c r="W1270" s="776"/>
      <c r="X1270" s="776"/>
      <c r="Y1270" s="776"/>
      <c r="Z1270" s="776"/>
      <c r="AA1270" s="13"/>
    </row>
    <row r="1271" spans="6:27">
      <c r="F1271" s="776"/>
      <c r="G1271" s="776"/>
      <c r="H1271" s="776"/>
      <c r="I1271" s="776"/>
      <c r="J1271" s="776"/>
      <c r="K1271" s="776"/>
      <c r="L1271" s="776"/>
      <c r="M1271" s="776"/>
      <c r="O1271" s="776"/>
      <c r="P1271" s="776"/>
      <c r="Q1271" s="776"/>
      <c r="R1271" s="776"/>
      <c r="S1271" s="776"/>
      <c r="T1271" s="776"/>
      <c r="U1271" s="776"/>
      <c r="V1271" s="776"/>
      <c r="W1271" s="776"/>
      <c r="X1271" s="776"/>
      <c r="Y1271" s="776"/>
      <c r="Z1271" s="776"/>
      <c r="AA1271" s="13"/>
    </row>
    <row r="1272" spans="6:27">
      <c r="F1272" s="776"/>
      <c r="G1272" s="776"/>
      <c r="H1272" s="776"/>
      <c r="I1272" s="776"/>
      <c r="J1272" s="776"/>
      <c r="K1272" s="776"/>
      <c r="L1272" s="776"/>
      <c r="M1272" s="776"/>
      <c r="O1272" s="776"/>
      <c r="P1272" s="776"/>
      <c r="Q1272" s="776"/>
      <c r="R1272" s="776"/>
      <c r="S1272" s="776"/>
      <c r="T1272" s="776"/>
      <c r="U1272" s="776"/>
      <c r="V1272" s="776"/>
      <c r="W1272" s="776"/>
      <c r="X1272" s="776"/>
      <c r="Y1272" s="776"/>
      <c r="Z1272" s="776"/>
      <c r="AA1272" s="13"/>
    </row>
    <row r="1273" spans="6:27">
      <c r="F1273" s="776"/>
      <c r="G1273" s="776"/>
      <c r="H1273" s="776"/>
      <c r="I1273" s="776"/>
      <c r="J1273" s="776"/>
      <c r="K1273" s="776"/>
      <c r="L1273" s="776"/>
      <c r="M1273" s="776"/>
      <c r="O1273" s="776"/>
      <c r="P1273" s="776"/>
      <c r="Q1273" s="776"/>
      <c r="R1273" s="776"/>
      <c r="S1273" s="776"/>
      <c r="T1273" s="776"/>
      <c r="U1273" s="776"/>
      <c r="V1273" s="776"/>
      <c r="W1273" s="776"/>
      <c r="X1273" s="776"/>
      <c r="Y1273" s="776"/>
      <c r="Z1273" s="776"/>
      <c r="AA1273" s="13"/>
    </row>
    <row r="1274" spans="6:27">
      <c r="F1274" s="776"/>
      <c r="G1274" s="776"/>
      <c r="H1274" s="776"/>
      <c r="I1274" s="776"/>
      <c r="J1274" s="776"/>
      <c r="K1274" s="776"/>
      <c r="L1274" s="776"/>
      <c r="M1274" s="776"/>
      <c r="O1274" s="776"/>
      <c r="P1274" s="776"/>
      <c r="Q1274" s="776"/>
      <c r="R1274" s="776"/>
      <c r="S1274" s="776"/>
      <c r="T1274" s="776"/>
      <c r="U1274" s="776"/>
      <c r="V1274" s="776"/>
      <c r="W1274" s="776"/>
      <c r="X1274" s="776"/>
      <c r="Y1274" s="776"/>
      <c r="Z1274" s="776"/>
      <c r="AA1274" s="13"/>
    </row>
    <row r="1275" spans="6:27">
      <c r="F1275" s="776"/>
      <c r="G1275" s="776"/>
      <c r="H1275" s="776"/>
      <c r="I1275" s="776"/>
      <c r="J1275" s="776"/>
      <c r="K1275" s="776"/>
      <c r="L1275" s="776"/>
      <c r="M1275" s="776"/>
      <c r="O1275" s="776"/>
      <c r="P1275" s="776"/>
      <c r="Q1275" s="776"/>
      <c r="R1275" s="776"/>
      <c r="S1275" s="776"/>
      <c r="T1275" s="776"/>
      <c r="U1275" s="776"/>
      <c r="V1275" s="776"/>
      <c r="W1275" s="776"/>
      <c r="X1275" s="776"/>
      <c r="Y1275" s="776"/>
      <c r="Z1275" s="776"/>
      <c r="AA1275" s="13"/>
    </row>
    <row r="1276" spans="6:27">
      <c r="F1276" s="776"/>
      <c r="G1276" s="776"/>
      <c r="H1276" s="776"/>
      <c r="I1276" s="776"/>
      <c r="J1276" s="776"/>
      <c r="K1276" s="776"/>
      <c r="L1276" s="776"/>
      <c r="M1276" s="776"/>
      <c r="O1276" s="776"/>
      <c r="P1276" s="776"/>
      <c r="Q1276" s="776"/>
      <c r="R1276" s="776"/>
      <c r="S1276" s="776"/>
      <c r="T1276" s="776"/>
      <c r="U1276" s="776"/>
      <c r="V1276" s="776"/>
      <c r="W1276" s="776"/>
      <c r="X1276" s="776"/>
      <c r="Y1276" s="776"/>
      <c r="Z1276" s="776"/>
      <c r="AA1276" s="13"/>
    </row>
    <row r="1277" spans="6:27">
      <c r="F1277" s="776"/>
      <c r="G1277" s="776"/>
      <c r="H1277" s="776"/>
      <c r="I1277" s="776"/>
      <c r="J1277" s="776"/>
      <c r="K1277" s="776"/>
      <c r="L1277" s="776"/>
      <c r="M1277" s="776"/>
      <c r="O1277" s="776"/>
      <c r="P1277" s="776"/>
      <c r="Q1277" s="776"/>
      <c r="R1277" s="776"/>
      <c r="S1277" s="776"/>
      <c r="T1277" s="776"/>
      <c r="U1277" s="776"/>
      <c r="V1277" s="776"/>
      <c r="W1277" s="776"/>
      <c r="X1277" s="776"/>
      <c r="Y1277" s="776"/>
      <c r="Z1277" s="776"/>
      <c r="AA1277" s="13"/>
    </row>
    <row r="1278" spans="6:27">
      <c r="F1278" s="776"/>
      <c r="G1278" s="776"/>
      <c r="H1278" s="776"/>
      <c r="I1278" s="776"/>
      <c r="J1278" s="776"/>
      <c r="K1278" s="776"/>
      <c r="L1278" s="776"/>
      <c r="M1278" s="776"/>
      <c r="O1278" s="776"/>
      <c r="P1278" s="776"/>
      <c r="Q1278" s="776"/>
      <c r="R1278" s="776"/>
      <c r="S1278" s="776"/>
      <c r="T1278" s="776"/>
      <c r="U1278" s="776"/>
      <c r="V1278" s="776"/>
      <c r="W1278" s="776"/>
      <c r="X1278" s="776"/>
      <c r="Y1278" s="776"/>
      <c r="Z1278" s="776"/>
      <c r="AA1278" s="13"/>
    </row>
    <row r="1279" spans="6:27">
      <c r="F1279" s="776"/>
      <c r="G1279" s="776"/>
      <c r="H1279" s="776"/>
      <c r="I1279" s="776"/>
      <c r="J1279" s="776"/>
      <c r="K1279" s="776"/>
      <c r="L1279" s="776"/>
      <c r="M1279" s="776"/>
      <c r="O1279" s="776"/>
      <c r="P1279" s="776"/>
      <c r="Q1279" s="776"/>
      <c r="R1279" s="776"/>
      <c r="S1279" s="776"/>
      <c r="T1279" s="776"/>
      <c r="U1279" s="776"/>
      <c r="V1279" s="776"/>
      <c r="W1279" s="776"/>
      <c r="X1279" s="776"/>
      <c r="Y1279" s="776"/>
      <c r="Z1279" s="776"/>
      <c r="AA1279" s="13"/>
    </row>
    <row r="1280" spans="6:27">
      <c r="F1280" s="776"/>
      <c r="G1280" s="776"/>
      <c r="H1280" s="776"/>
      <c r="I1280" s="776"/>
      <c r="J1280" s="776"/>
      <c r="K1280" s="776"/>
      <c r="L1280" s="776"/>
      <c r="M1280" s="776"/>
      <c r="O1280" s="776"/>
      <c r="P1280" s="776"/>
      <c r="Q1280" s="776"/>
      <c r="R1280" s="776"/>
      <c r="S1280" s="776"/>
      <c r="T1280" s="776"/>
      <c r="U1280" s="776"/>
      <c r="V1280" s="776"/>
      <c r="W1280" s="776"/>
      <c r="X1280" s="776"/>
      <c r="Y1280" s="776"/>
      <c r="Z1280" s="776"/>
      <c r="AA1280" s="13"/>
    </row>
    <row r="1281" spans="6:27">
      <c r="F1281" s="776"/>
      <c r="G1281" s="776"/>
      <c r="H1281" s="776"/>
      <c r="I1281" s="776"/>
      <c r="J1281" s="776"/>
      <c r="K1281" s="776"/>
      <c r="L1281" s="776"/>
      <c r="M1281" s="776"/>
      <c r="O1281" s="776"/>
      <c r="P1281" s="776"/>
      <c r="Q1281" s="776"/>
      <c r="R1281" s="776"/>
      <c r="S1281" s="776"/>
      <c r="T1281" s="776"/>
      <c r="U1281" s="776"/>
      <c r="V1281" s="776"/>
      <c r="W1281" s="776"/>
      <c r="X1281" s="776"/>
      <c r="Y1281" s="776"/>
      <c r="Z1281" s="776"/>
      <c r="AA1281" s="13"/>
    </row>
    <row r="1282" spans="6:27">
      <c r="F1282" s="776"/>
      <c r="G1282" s="776"/>
      <c r="H1282" s="776"/>
      <c r="I1282" s="776"/>
      <c r="J1282" s="776"/>
      <c r="K1282" s="776"/>
      <c r="L1282" s="776"/>
      <c r="M1282" s="776"/>
      <c r="O1282" s="776"/>
      <c r="P1282" s="776"/>
      <c r="Q1282" s="776"/>
      <c r="R1282" s="776"/>
      <c r="S1282" s="776"/>
      <c r="T1282" s="776"/>
      <c r="U1282" s="776"/>
      <c r="V1282" s="776"/>
      <c r="W1282" s="776"/>
      <c r="X1282" s="776"/>
      <c r="Y1282" s="776"/>
      <c r="Z1282" s="776"/>
      <c r="AA1282" s="13"/>
    </row>
    <row r="1283" spans="6:27">
      <c r="F1283" s="776"/>
      <c r="G1283" s="776"/>
      <c r="H1283" s="776"/>
      <c r="I1283" s="776"/>
      <c r="J1283" s="776"/>
      <c r="K1283" s="776"/>
      <c r="L1283" s="776"/>
      <c r="M1283" s="776"/>
      <c r="O1283" s="776"/>
      <c r="P1283" s="776"/>
      <c r="Q1283" s="776"/>
      <c r="R1283" s="776"/>
      <c r="S1283" s="776"/>
      <c r="T1283" s="776"/>
      <c r="U1283" s="776"/>
      <c r="V1283" s="776"/>
      <c r="W1283" s="776"/>
      <c r="X1283" s="776"/>
      <c r="Y1283" s="776"/>
      <c r="Z1283" s="776"/>
      <c r="AA1283" s="13"/>
    </row>
    <row r="1284" spans="6:27">
      <c r="F1284" s="776"/>
      <c r="G1284" s="776"/>
      <c r="H1284" s="776"/>
      <c r="I1284" s="776"/>
      <c r="J1284" s="776"/>
      <c r="K1284" s="776"/>
      <c r="L1284" s="776"/>
      <c r="M1284" s="776"/>
      <c r="O1284" s="776"/>
      <c r="P1284" s="776"/>
      <c r="Q1284" s="776"/>
      <c r="R1284" s="776"/>
      <c r="S1284" s="776"/>
      <c r="T1284" s="776"/>
      <c r="U1284" s="776"/>
      <c r="V1284" s="776"/>
      <c r="W1284" s="776"/>
      <c r="X1284" s="776"/>
      <c r="Y1284" s="776"/>
      <c r="Z1284" s="776"/>
      <c r="AA1284" s="13"/>
    </row>
    <row r="1285" spans="6:27">
      <c r="F1285" s="776"/>
      <c r="G1285" s="776"/>
      <c r="H1285" s="776"/>
      <c r="I1285" s="776"/>
      <c r="J1285" s="776"/>
      <c r="K1285" s="776"/>
      <c r="L1285" s="776"/>
      <c r="M1285" s="776"/>
      <c r="O1285" s="776"/>
      <c r="P1285" s="776"/>
      <c r="Q1285" s="776"/>
      <c r="R1285" s="776"/>
      <c r="S1285" s="776"/>
      <c r="T1285" s="776"/>
      <c r="U1285" s="776"/>
      <c r="V1285" s="776"/>
      <c r="W1285" s="776"/>
      <c r="X1285" s="776"/>
      <c r="Y1285" s="776"/>
      <c r="Z1285" s="776"/>
      <c r="AA1285" s="13"/>
    </row>
    <row r="1286" spans="6:27">
      <c r="F1286" s="776"/>
      <c r="G1286" s="776"/>
      <c r="H1286" s="776"/>
      <c r="I1286" s="776"/>
      <c r="J1286" s="776"/>
      <c r="K1286" s="776"/>
      <c r="L1286" s="776"/>
      <c r="M1286" s="776"/>
      <c r="O1286" s="776"/>
      <c r="P1286" s="776"/>
      <c r="Q1286" s="776"/>
      <c r="R1286" s="776"/>
      <c r="S1286" s="776"/>
      <c r="T1286" s="776"/>
      <c r="U1286" s="776"/>
      <c r="V1286" s="776"/>
      <c r="W1286" s="776"/>
      <c r="X1286" s="776"/>
      <c r="Y1286" s="776"/>
      <c r="Z1286" s="776"/>
      <c r="AA1286" s="13"/>
    </row>
    <row r="1287" spans="6:27">
      <c r="F1287" s="776"/>
      <c r="G1287" s="776"/>
      <c r="H1287" s="776"/>
      <c r="I1287" s="776"/>
      <c r="J1287" s="776"/>
      <c r="K1287" s="776"/>
      <c r="L1287" s="776"/>
      <c r="M1287" s="776"/>
      <c r="O1287" s="776"/>
      <c r="P1287" s="776"/>
      <c r="Q1287" s="776"/>
      <c r="R1287" s="776"/>
      <c r="S1287" s="776"/>
      <c r="T1287" s="776"/>
      <c r="U1287" s="776"/>
      <c r="V1287" s="776"/>
      <c r="W1287" s="776"/>
      <c r="X1287" s="776"/>
      <c r="Y1287" s="776"/>
      <c r="Z1287" s="776"/>
      <c r="AA1287" s="13"/>
    </row>
    <row r="1288" spans="6:27">
      <c r="F1288" s="776"/>
      <c r="G1288" s="776"/>
      <c r="H1288" s="776"/>
      <c r="I1288" s="776"/>
      <c r="J1288" s="776"/>
      <c r="K1288" s="776"/>
      <c r="L1288" s="776"/>
      <c r="M1288" s="776"/>
      <c r="O1288" s="776"/>
      <c r="P1288" s="776"/>
      <c r="Q1288" s="776"/>
      <c r="R1288" s="776"/>
      <c r="S1288" s="776"/>
      <c r="T1288" s="776"/>
      <c r="U1288" s="776"/>
      <c r="V1288" s="776"/>
      <c r="W1288" s="776"/>
      <c r="X1288" s="776"/>
      <c r="Y1288" s="776"/>
      <c r="Z1288" s="776"/>
      <c r="AA1288" s="13"/>
    </row>
    <row r="1289" spans="6:27">
      <c r="F1289" s="776"/>
      <c r="G1289" s="776"/>
      <c r="H1289" s="776"/>
      <c r="I1289" s="776"/>
      <c r="J1289" s="776"/>
      <c r="K1289" s="776"/>
      <c r="L1289" s="776"/>
      <c r="M1289" s="776"/>
      <c r="O1289" s="776"/>
      <c r="P1289" s="776"/>
      <c r="Q1289" s="776"/>
      <c r="R1289" s="776"/>
      <c r="S1289" s="776"/>
      <c r="T1289" s="776"/>
      <c r="U1289" s="776"/>
      <c r="V1289" s="776"/>
      <c r="W1289" s="776"/>
      <c r="X1289" s="776"/>
      <c r="Y1289" s="776"/>
      <c r="Z1289" s="776"/>
      <c r="AA1289" s="13"/>
    </row>
    <row r="1290" spans="6:27">
      <c r="F1290" s="776"/>
      <c r="G1290" s="776"/>
      <c r="H1290" s="776"/>
      <c r="I1290" s="776"/>
      <c r="J1290" s="776"/>
      <c r="K1290" s="776"/>
      <c r="L1290" s="776"/>
      <c r="M1290" s="776"/>
      <c r="O1290" s="776"/>
      <c r="P1290" s="776"/>
      <c r="Q1290" s="776"/>
      <c r="R1290" s="776"/>
      <c r="S1290" s="776"/>
      <c r="T1290" s="776"/>
      <c r="U1290" s="776"/>
      <c r="V1290" s="776"/>
      <c r="W1290" s="776"/>
      <c r="X1290" s="776"/>
      <c r="Y1290" s="776"/>
      <c r="Z1290" s="776"/>
      <c r="AA1290" s="13"/>
    </row>
    <row r="1291" spans="6:27">
      <c r="F1291" s="776"/>
      <c r="G1291" s="776"/>
      <c r="H1291" s="776"/>
      <c r="I1291" s="776"/>
      <c r="J1291" s="776"/>
      <c r="K1291" s="776"/>
      <c r="L1291" s="776"/>
      <c r="M1291" s="776"/>
      <c r="O1291" s="776"/>
      <c r="P1291" s="776"/>
      <c r="Q1291" s="776"/>
      <c r="R1291" s="776"/>
      <c r="S1291" s="776"/>
      <c r="T1291" s="776"/>
      <c r="U1291" s="776"/>
      <c r="V1291" s="776"/>
      <c r="W1291" s="776"/>
      <c r="X1291" s="776"/>
      <c r="Y1291" s="776"/>
      <c r="Z1291" s="776"/>
      <c r="AA1291" s="13"/>
    </row>
    <row r="1292" spans="6:27">
      <c r="F1292" s="776"/>
      <c r="G1292" s="776"/>
      <c r="H1292" s="776"/>
      <c r="I1292" s="776"/>
      <c r="J1292" s="776"/>
      <c r="K1292" s="776"/>
      <c r="L1292" s="776"/>
      <c r="M1292" s="776"/>
      <c r="O1292" s="776"/>
      <c r="P1292" s="776"/>
      <c r="Q1292" s="776"/>
      <c r="R1292" s="776"/>
      <c r="S1292" s="776"/>
      <c r="T1292" s="776"/>
      <c r="U1292" s="776"/>
      <c r="V1292" s="776"/>
      <c r="W1292" s="776"/>
      <c r="X1292" s="776"/>
      <c r="Y1292" s="776"/>
      <c r="Z1292" s="776"/>
      <c r="AA1292" s="13"/>
    </row>
    <row r="1293" spans="6:27">
      <c r="F1293" s="776"/>
      <c r="G1293" s="776"/>
      <c r="H1293" s="776"/>
      <c r="I1293" s="776"/>
      <c r="J1293" s="776"/>
      <c r="K1293" s="776"/>
      <c r="L1293" s="776"/>
      <c r="M1293" s="776"/>
      <c r="O1293" s="776"/>
      <c r="P1293" s="776"/>
      <c r="Q1293" s="776"/>
      <c r="R1293" s="776"/>
      <c r="S1293" s="776"/>
      <c r="T1293" s="776"/>
      <c r="U1293" s="776"/>
      <c r="V1293" s="776"/>
      <c r="W1293" s="776"/>
      <c r="X1293" s="776"/>
      <c r="Y1293" s="776"/>
      <c r="Z1293" s="776"/>
      <c r="AA1293" s="13"/>
    </row>
    <row r="1294" spans="6:27">
      <c r="F1294" s="776"/>
      <c r="G1294" s="776"/>
      <c r="H1294" s="776"/>
      <c r="I1294" s="776"/>
      <c r="J1294" s="776"/>
      <c r="K1294" s="776"/>
      <c r="L1294" s="776"/>
      <c r="M1294" s="776"/>
      <c r="O1294" s="776"/>
      <c r="P1294" s="776"/>
      <c r="Q1294" s="776"/>
      <c r="R1294" s="776"/>
      <c r="S1294" s="776"/>
      <c r="T1294" s="776"/>
      <c r="U1294" s="776"/>
      <c r="V1294" s="776"/>
      <c r="W1294" s="776"/>
      <c r="X1294" s="776"/>
      <c r="Y1294" s="776"/>
      <c r="Z1294" s="776"/>
      <c r="AA1294" s="13"/>
    </row>
    <row r="1295" spans="6:27">
      <c r="F1295" s="776"/>
      <c r="G1295" s="776"/>
      <c r="H1295" s="776"/>
      <c r="I1295" s="776"/>
      <c r="J1295" s="776"/>
      <c r="K1295" s="776"/>
      <c r="L1295" s="776"/>
      <c r="M1295" s="776"/>
      <c r="O1295" s="776"/>
      <c r="P1295" s="776"/>
      <c r="Q1295" s="776"/>
      <c r="R1295" s="776"/>
      <c r="S1295" s="776"/>
      <c r="T1295" s="776"/>
      <c r="U1295" s="776"/>
      <c r="V1295" s="776"/>
      <c r="W1295" s="776"/>
      <c r="X1295" s="776"/>
      <c r="Y1295" s="776"/>
      <c r="Z1295" s="776"/>
      <c r="AA1295" s="13"/>
    </row>
    <row r="1296" spans="6:27">
      <c r="F1296" s="776"/>
      <c r="G1296" s="776"/>
      <c r="H1296" s="776"/>
      <c r="I1296" s="776"/>
      <c r="J1296" s="776"/>
      <c r="K1296" s="776"/>
      <c r="L1296" s="776"/>
      <c r="M1296" s="776"/>
      <c r="O1296" s="776"/>
      <c r="P1296" s="776"/>
      <c r="Q1296" s="776"/>
      <c r="R1296" s="776"/>
      <c r="S1296" s="776"/>
      <c r="T1296" s="776"/>
      <c r="U1296" s="776"/>
      <c r="V1296" s="776"/>
      <c r="W1296" s="776"/>
      <c r="X1296" s="776"/>
      <c r="Y1296" s="776"/>
      <c r="Z1296" s="776"/>
      <c r="AA1296" s="13"/>
    </row>
    <row r="1297" spans="6:27">
      <c r="F1297" s="776"/>
      <c r="G1297" s="776"/>
      <c r="H1297" s="776"/>
      <c r="I1297" s="776"/>
      <c r="J1297" s="776"/>
      <c r="K1297" s="776"/>
      <c r="L1297" s="776"/>
      <c r="M1297" s="776"/>
      <c r="O1297" s="776"/>
      <c r="P1297" s="776"/>
      <c r="Q1297" s="776"/>
      <c r="R1297" s="776"/>
      <c r="S1297" s="776"/>
      <c r="T1297" s="776"/>
      <c r="U1297" s="776"/>
      <c r="V1297" s="776"/>
      <c r="W1297" s="776"/>
      <c r="X1297" s="776"/>
      <c r="Y1297" s="776"/>
      <c r="Z1297" s="776"/>
      <c r="AA1297" s="13"/>
    </row>
    <row r="1298" spans="6:27">
      <c r="F1298" s="776"/>
      <c r="G1298" s="776"/>
      <c r="H1298" s="776"/>
      <c r="I1298" s="776"/>
      <c r="J1298" s="776"/>
      <c r="K1298" s="776"/>
      <c r="L1298" s="776"/>
      <c r="M1298" s="776"/>
      <c r="O1298" s="776"/>
      <c r="P1298" s="776"/>
      <c r="Q1298" s="776"/>
      <c r="R1298" s="776"/>
      <c r="S1298" s="776"/>
      <c r="T1298" s="776"/>
      <c r="U1298" s="776"/>
      <c r="V1298" s="776"/>
      <c r="W1298" s="776"/>
      <c r="X1298" s="776"/>
      <c r="Y1298" s="776"/>
      <c r="Z1298" s="776"/>
      <c r="AA1298" s="13"/>
    </row>
    <row r="1299" spans="6:27">
      <c r="F1299" s="776"/>
      <c r="G1299" s="776"/>
      <c r="H1299" s="776"/>
      <c r="I1299" s="776"/>
      <c r="J1299" s="776"/>
      <c r="K1299" s="776"/>
      <c r="L1299" s="776"/>
      <c r="M1299" s="776"/>
      <c r="O1299" s="776"/>
      <c r="P1299" s="776"/>
      <c r="Q1299" s="776"/>
      <c r="R1299" s="776"/>
      <c r="S1299" s="776"/>
      <c r="T1299" s="776"/>
      <c r="U1299" s="776"/>
      <c r="V1299" s="776"/>
      <c r="W1299" s="776"/>
      <c r="X1299" s="776"/>
      <c r="Y1299" s="776"/>
      <c r="Z1299" s="776"/>
      <c r="AA1299" s="13"/>
    </row>
    <row r="1300" spans="6:27">
      <c r="F1300" s="776"/>
      <c r="G1300" s="776"/>
      <c r="H1300" s="776"/>
      <c r="I1300" s="776"/>
      <c r="J1300" s="776"/>
      <c r="K1300" s="776"/>
      <c r="L1300" s="776"/>
      <c r="M1300" s="776"/>
      <c r="O1300" s="776"/>
      <c r="P1300" s="776"/>
      <c r="Q1300" s="776"/>
      <c r="R1300" s="776"/>
      <c r="S1300" s="776"/>
      <c r="T1300" s="776"/>
      <c r="U1300" s="776"/>
      <c r="V1300" s="776"/>
      <c r="W1300" s="776"/>
      <c r="X1300" s="776"/>
      <c r="Y1300" s="776"/>
      <c r="Z1300" s="776"/>
      <c r="AA1300" s="13"/>
    </row>
    <row r="1301" spans="6:27">
      <c r="F1301" s="776"/>
      <c r="G1301" s="776"/>
      <c r="H1301" s="776"/>
      <c r="I1301" s="776"/>
      <c r="J1301" s="776"/>
      <c r="K1301" s="776"/>
      <c r="L1301" s="776"/>
      <c r="M1301" s="776"/>
      <c r="O1301" s="776"/>
      <c r="P1301" s="776"/>
      <c r="Q1301" s="776"/>
      <c r="R1301" s="776"/>
      <c r="S1301" s="776"/>
      <c r="T1301" s="776"/>
      <c r="U1301" s="776"/>
      <c r="V1301" s="776"/>
      <c r="W1301" s="776"/>
      <c r="X1301" s="776"/>
      <c r="Y1301" s="776"/>
      <c r="Z1301" s="776"/>
      <c r="AA1301" s="13"/>
    </row>
    <row r="1302" spans="6:27">
      <c r="F1302" s="776"/>
      <c r="G1302" s="776"/>
      <c r="H1302" s="776"/>
      <c r="I1302" s="776"/>
      <c r="J1302" s="776"/>
      <c r="K1302" s="776"/>
      <c r="L1302" s="776"/>
      <c r="M1302" s="776"/>
      <c r="O1302" s="776"/>
      <c r="P1302" s="776"/>
      <c r="Q1302" s="776"/>
      <c r="R1302" s="776"/>
      <c r="S1302" s="776"/>
      <c r="T1302" s="776"/>
      <c r="U1302" s="776"/>
      <c r="V1302" s="776"/>
      <c r="W1302" s="776"/>
      <c r="X1302" s="776"/>
      <c r="Y1302" s="776"/>
      <c r="Z1302" s="776"/>
      <c r="AA1302" s="13"/>
    </row>
    <row r="1303" spans="6:27">
      <c r="F1303" s="776"/>
      <c r="G1303" s="776"/>
      <c r="H1303" s="776"/>
      <c r="I1303" s="776"/>
      <c r="J1303" s="776"/>
      <c r="K1303" s="776"/>
      <c r="L1303" s="776"/>
      <c r="M1303" s="776"/>
      <c r="O1303" s="776"/>
      <c r="P1303" s="776"/>
      <c r="Q1303" s="776"/>
      <c r="R1303" s="776"/>
      <c r="S1303" s="776"/>
      <c r="T1303" s="776"/>
      <c r="U1303" s="776"/>
      <c r="V1303" s="776"/>
      <c r="W1303" s="776"/>
      <c r="X1303" s="776"/>
      <c r="Y1303" s="776"/>
      <c r="Z1303" s="776"/>
      <c r="AA1303" s="13"/>
    </row>
    <row r="1304" spans="6:27">
      <c r="F1304" s="776"/>
      <c r="G1304" s="776"/>
      <c r="H1304" s="776"/>
      <c r="I1304" s="776"/>
      <c r="J1304" s="776"/>
      <c r="K1304" s="776"/>
      <c r="L1304" s="776"/>
      <c r="M1304" s="776"/>
      <c r="O1304" s="776"/>
      <c r="P1304" s="776"/>
      <c r="Q1304" s="776"/>
      <c r="R1304" s="776"/>
      <c r="S1304" s="776"/>
      <c r="T1304" s="776"/>
      <c r="U1304" s="776"/>
      <c r="V1304" s="776"/>
      <c r="W1304" s="776"/>
      <c r="X1304" s="776"/>
      <c r="Y1304" s="776"/>
      <c r="Z1304" s="776"/>
      <c r="AA1304" s="13"/>
    </row>
    <row r="1305" spans="6:27">
      <c r="F1305" s="776"/>
      <c r="G1305" s="776"/>
      <c r="H1305" s="776"/>
      <c r="I1305" s="776"/>
      <c r="J1305" s="776"/>
      <c r="K1305" s="776"/>
      <c r="L1305" s="776"/>
      <c r="M1305" s="776"/>
      <c r="O1305" s="776"/>
      <c r="P1305" s="776"/>
      <c r="Q1305" s="776"/>
      <c r="R1305" s="776"/>
      <c r="S1305" s="776"/>
      <c r="T1305" s="776"/>
      <c r="U1305" s="776"/>
      <c r="V1305" s="776"/>
      <c r="W1305" s="776"/>
      <c r="X1305" s="776"/>
      <c r="Y1305" s="776"/>
      <c r="Z1305" s="776"/>
      <c r="AA1305" s="13"/>
    </row>
    <row r="1306" spans="6:27">
      <c r="F1306" s="776"/>
      <c r="G1306" s="776"/>
      <c r="H1306" s="776"/>
      <c r="I1306" s="776"/>
      <c r="J1306" s="776"/>
      <c r="K1306" s="776"/>
      <c r="L1306" s="776"/>
      <c r="M1306" s="776"/>
      <c r="O1306" s="776"/>
      <c r="P1306" s="776"/>
      <c r="Q1306" s="776"/>
      <c r="R1306" s="776"/>
      <c r="S1306" s="776"/>
      <c r="T1306" s="776"/>
      <c r="U1306" s="776"/>
      <c r="V1306" s="776"/>
      <c r="W1306" s="776"/>
      <c r="X1306" s="776"/>
      <c r="Y1306" s="776"/>
      <c r="Z1306" s="776"/>
      <c r="AA1306" s="13"/>
    </row>
    <row r="1307" spans="6:27">
      <c r="F1307" s="776"/>
      <c r="G1307" s="776"/>
      <c r="H1307" s="776"/>
      <c r="I1307" s="776"/>
      <c r="J1307" s="776"/>
      <c r="K1307" s="776"/>
      <c r="L1307" s="776"/>
      <c r="M1307" s="776"/>
      <c r="O1307" s="776"/>
      <c r="P1307" s="776"/>
      <c r="Q1307" s="776"/>
      <c r="R1307" s="776"/>
      <c r="S1307" s="776"/>
      <c r="T1307" s="776"/>
      <c r="U1307" s="776"/>
      <c r="V1307" s="776"/>
      <c r="W1307" s="776"/>
      <c r="X1307" s="776"/>
      <c r="Y1307" s="776"/>
      <c r="Z1307" s="776"/>
      <c r="AA1307" s="13"/>
    </row>
    <row r="1308" spans="6:27">
      <c r="F1308" s="776"/>
      <c r="G1308" s="776"/>
      <c r="H1308" s="776"/>
      <c r="I1308" s="776"/>
      <c r="J1308" s="776"/>
      <c r="K1308" s="776"/>
      <c r="L1308" s="776"/>
      <c r="M1308" s="776"/>
      <c r="O1308" s="776"/>
      <c r="P1308" s="776"/>
      <c r="Q1308" s="776"/>
      <c r="R1308" s="776"/>
      <c r="S1308" s="776"/>
      <c r="T1308" s="776"/>
      <c r="U1308" s="776"/>
      <c r="V1308" s="776"/>
      <c r="W1308" s="776"/>
      <c r="X1308" s="776"/>
      <c r="Y1308" s="776"/>
      <c r="Z1308" s="776"/>
      <c r="AA1308" s="13"/>
    </row>
    <row r="1309" spans="6:27">
      <c r="F1309" s="776"/>
      <c r="G1309" s="776"/>
      <c r="H1309" s="776"/>
      <c r="I1309" s="776"/>
      <c r="J1309" s="776"/>
      <c r="K1309" s="776"/>
      <c r="L1309" s="776"/>
      <c r="M1309" s="776"/>
      <c r="O1309" s="776"/>
      <c r="P1309" s="776"/>
      <c r="Q1309" s="776"/>
      <c r="R1309" s="776"/>
      <c r="S1309" s="776"/>
      <c r="T1309" s="776"/>
      <c r="U1309" s="776"/>
      <c r="V1309" s="776"/>
      <c r="W1309" s="776"/>
      <c r="X1309" s="776"/>
      <c r="Y1309" s="776"/>
      <c r="Z1309" s="776"/>
      <c r="AA1309" s="13"/>
    </row>
    <row r="1310" spans="6:27">
      <c r="F1310" s="776"/>
      <c r="G1310" s="776"/>
      <c r="H1310" s="776"/>
      <c r="I1310" s="776"/>
      <c r="J1310" s="776"/>
      <c r="K1310" s="776"/>
      <c r="L1310" s="776"/>
      <c r="M1310" s="776"/>
      <c r="O1310" s="776"/>
      <c r="P1310" s="776"/>
      <c r="Q1310" s="776"/>
      <c r="R1310" s="776"/>
      <c r="S1310" s="776"/>
      <c r="T1310" s="776"/>
      <c r="U1310" s="776"/>
      <c r="V1310" s="776"/>
      <c r="W1310" s="776"/>
      <c r="X1310" s="776"/>
      <c r="Y1310" s="776"/>
      <c r="Z1310" s="776"/>
      <c r="AA1310" s="13"/>
    </row>
    <row r="1311" spans="6:27">
      <c r="F1311" s="776"/>
      <c r="G1311" s="776"/>
      <c r="H1311" s="776"/>
      <c r="I1311" s="776"/>
      <c r="J1311" s="776"/>
      <c r="K1311" s="776"/>
      <c r="L1311" s="776"/>
      <c r="M1311" s="776"/>
      <c r="O1311" s="776"/>
      <c r="P1311" s="776"/>
      <c r="Q1311" s="776"/>
      <c r="R1311" s="776"/>
      <c r="S1311" s="776"/>
      <c r="T1311" s="776"/>
      <c r="U1311" s="776"/>
      <c r="V1311" s="776"/>
      <c r="W1311" s="776"/>
      <c r="X1311" s="776"/>
      <c r="Y1311" s="776"/>
      <c r="Z1311" s="776"/>
      <c r="AA1311" s="13"/>
    </row>
    <row r="1312" spans="6:27">
      <c r="F1312" s="776"/>
      <c r="G1312" s="776"/>
      <c r="H1312" s="776"/>
      <c r="I1312" s="776"/>
      <c r="J1312" s="776"/>
      <c r="K1312" s="776"/>
      <c r="L1312" s="776"/>
      <c r="M1312" s="776"/>
      <c r="O1312" s="776"/>
      <c r="P1312" s="776"/>
      <c r="Q1312" s="776"/>
      <c r="R1312" s="776"/>
      <c r="S1312" s="776"/>
      <c r="T1312" s="776"/>
      <c r="U1312" s="776"/>
      <c r="V1312" s="776"/>
      <c r="W1312" s="776"/>
      <c r="X1312" s="776"/>
      <c r="Y1312" s="776"/>
      <c r="Z1312" s="776"/>
      <c r="AA1312" s="13"/>
    </row>
    <row r="1313" spans="6:27">
      <c r="F1313" s="776"/>
      <c r="G1313" s="776"/>
      <c r="H1313" s="776"/>
      <c r="I1313" s="776"/>
      <c r="J1313" s="776"/>
      <c r="K1313" s="776"/>
      <c r="L1313" s="776"/>
      <c r="M1313" s="776"/>
      <c r="O1313" s="776"/>
      <c r="P1313" s="776"/>
      <c r="Q1313" s="776"/>
      <c r="R1313" s="776"/>
      <c r="S1313" s="776"/>
      <c r="T1313" s="776"/>
      <c r="U1313" s="776"/>
      <c r="V1313" s="776"/>
      <c r="W1313" s="776"/>
      <c r="X1313" s="776"/>
      <c r="Y1313" s="776"/>
      <c r="Z1313" s="776"/>
      <c r="AA1313" s="13"/>
    </row>
    <row r="1314" spans="6:27">
      <c r="F1314" s="776"/>
      <c r="G1314" s="776"/>
      <c r="H1314" s="776"/>
      <c r="I1314" s="776"/>
      <c r="J1314" s="776"/>
      <c r="K1314" s="776"/>
      <c r="L1314" s="776"/>
      <c r="M1314" s="776"/>
      <c r="O1314" s="776"/>
      <c r="P1314" s="776"/>
      <c r="Q1314" s="776"/>
      <c r="R1314" s="776"/>
      <c r="S1314" s="776"/>
      <c r="T1314" s="776"/>
      <c r="U1314" s="776"/>
      <c r="V1314" s="776"/>
      <c r="W1314" s="776"/>
      <c r="X1314" s="776"/>
      <c r="Y1314" s="776"/>
      <c r="Z1314" s="776"/>
      <c r="AA1314" s="13"/>
    </row>
    <row r="1315" spans="6:27">
      <c r="F1315" s="776"/>
      <c r="G1315" s="776"/>
      <c r="H1315" s="776"/>
      <c r="I1315" s="776"/>
      <c r="J1315" s="776"/>
      <c r="K1315" s="776"/>
      <c r="L1315" s="776"/>
      <c r="M1315" s="776"/>
      <c r="O1315" s="776"/>
      <c r="P1315" s="776"/>
      <c r="Q1315" s="776"/>
      <c r="R1315" s="776"/>
      <c r="S1315" s="776"/>
      <c r="T1315" s="776"/>
      <c r="U1315" s="776"/>
      <c r="V1315" s="776"/>
      <c r="W1315" s="776"/>
      <c r="X1315" s="776"/>
      <c r="Y1315" s="776"/>
      <c r="Z1315" s="776"/>
      <c r="AA1315" s="13"/>
    </row>
    <row r="1316" spans="6:27">
      <c r="F1316" s="776"/>
      <c r="G1316" s="776"/>
      <c r="H1316" s="776"/>
      <c r="I1316" s="776"/>
      <c r="J1316" s="776"/>
      <c r="K1316" s="776"/>
      <c r="L1316" s="776"/>
      <c r="M1316" s="776"/>
      <c r="O1316" s="776"/>
      <c r="P1316" s="776"/>
      <c r="Q1316" s="776"/>
      <c r="R1316" s="776"/>
      <c r="S1316" s="776"/>
      <c r="T1316" s="776"/>
      <c r="U1316" s="776"/>
      <c r="V1316" s="776"/>
      <c r="W1316" s="776"/>
      <c r="X1316" s="776"/>
      <c r="Y1316" s="776"/>
      <c r="Z1316" s="776"/>
      <c r="AA1316" s="13"/>
    </row>
    <row r="1317" spans="6:27">
      <c r="F1317" s="776"/>
      <c r="G1317" s="776"/>
      <c r="H1317" s="776"/>
      <c r="I1317" s="776"/>
      <c r="J1317" s="776"/>
      <c r="K1317" s="776"/>
      <c r="L1317" s="776"/>
      <c r="M1317" s="776"/>
      <c r="O1317" s="776"/>
      <c r="P1317" s="776"/>
      <c r="Q1317" s="776"/>
      <c r="R1317" s="776"/>
      <c r="S1317" s="776"/>
      <c r="T1317" s="776"/>
      <c r="U1317" s="776"/>
      <c r="V1317" s="776"/>
      <c r="W1317" s="776"/>
      <c r="X1317" s="776"/>
      <c r="Y1317" s="776"/>
      <c r="Z1317" s="776"/>
      <c r="AA1317" s="13"/>
    </row>
    <row r="1318" spans="6:27">
      <c r="F1318" s="776"/>
      <c r="G1318" s="776"/>
      <c r="H1318" s="776"/>
      <c r="I1318" s="776"/>
      <c r="J1318" s="776"/>
      <c r="K1318" s="776"/>
      <c r="L1318" s="776"/>
      <c r="M1318" s="776"/>
      <c r="O1318" s="776"/>
      <c r="P1318" s="776"/>
      <c r="Q1318" s="776"/>
      <c r="R1318" s="776"/>
      <c r="S1318" s="776"/>
      <c r="T1318" s="776"/>
      <c r="U1318" s="776"/>
      <c r="V1318" s="776"/>
      <c r="W1318" s="776"/>
      <c r="X1318" s="776"/>
      <c r="Y1318" s="776"/>
      <c r="Z1318" s="776"/>
      <c r="AA1318" s="13"/>
    </row>
    <row r="1319" spans="6:27">
      <c r="F1319" s="776"/>
      <c r="G1319" s="776"/>
      <c r="H1319" s="776"/>
      <c r="I1319" s="776"/>
      <c r="J1319" s="776"/>
      <c r="K1319" s="776"/>
      <c r="L1319" s="776"/>
      <c r="M1319" s="776"/>
      <c r="O1319" s="776"/>
      <c r="P1319" s="776"/>
      <c r="Q1319" s="776"/>
      <c r="R1319" s="776"/>
      <c r="S1319" s="776"/>
      <c r="T1319" s="776"/>
      <c r="U1319" s="776"/>
      <c r="V1319" s="776"/>
      <c r="W1319" s="776"/>
      <c r="X1319" s="776"/>
      <c r="Y1319" s="776"/>
      <c r="Z1319" s="776"/>
      <c r="AA1319" s="13"/>
    </row>
    <row r="1320" spans="6:27">
      <c r="F1320" s="776"/>
      <c r="G1320" s="776"/>
      <c r="H1320" s="776"/>
      <c r="I1320" s="776"/>
      <c r="J1320" s="776"/>
      <c r="K1320" s="776"/>
      <c r="L1320" s="776"/>
      <c r="M1320" s="776"/>
      <c r="O1320" s="776"/>
      <c r="P1320" s="776"/>
      <c r="Q1320" s="776"/>
      <c r="R1320" s="776"/>
      <c r="S1320" s="776"/>
      <c r="T1320" s="776"/>
      <c r="U1320" s="776"/>
      <c r="V1320" s="776"/>
      <c r="W1320" s="776"/>
      <c r="X1320" s="776"/>
      <c r="Y1320" s="776"/>
      <c r="Z1320" s="776"/>
      <c r="AA1320" s="13"/>
    </row>
    <row r="1321" spans="6:27">
      <c r="F1321" s="776"/>
      <c r="G1321" s="776"/>
      <c r="H1321" s="776"/>
      <c r="I1321" s="776"/>
      <c r="J1321" s="776"/>
      <c r="K1321" s="776"/>
      <c r="L1321" s="776"/>
      <c r="M1321" s="776"/>
      <c r="O1321" s="776"/>
      <c r="P1321" s="776"/>
      <c r="Q1321" s="776"/>
      <c r="R1321" s="776"/>
      <c r="S1321" s="776"/>
      <c r="T1321" s="776"/>
      <c r="U1321" s="776"/>
      <c r="V1321" s="776"/>
      <c r="W1321" s="776"/>
      <c r="X1321" s="776"/>
      <c r="Y1321" s="776"/>
      <c r="Z1321" s="776"/>
      <c r="AA1321" s="13"/>
    </row>
    <row r="1322" spans="6:27">
      <c r="F1322" s="776"/>
      <c r="G1322" s="776"/>
      <c r="H1322" s="776"/>
      <c r="I1322" s="776"/>
      <c r="J1322" s="776"/>
      <c r="K1322" s="776"/>
      <c r="L1322" s="776"/>
      <c r="M1322" s="776"/>
      <c r="O1322" s="776"/>
      <c r="P1322" s="776"/>
      <c r="Q1322" s="776"/>
      <c r="R1322" s="776"/>
      <c r="S1322" s="776"/>
      <c r="T1322" s="776"/>
      <c r="U1322" s="776"/>
      <c r="V1322" s="776"/>
      <c r="W1322" s="776"/>
      <c r="X1322" s="776"/>
      <c r="Y1322" s="776"/>
      <c r="Z1322" s="776"/>
      <c r="AA1322" s="13"/>
    </row>
    <row r="1323" spans="6:27">
      <c r="F1323" s="776"/>
      <c r="G1323" s="776"/>
      <c r="H1323" s="776"/>
      <c r="I1323" s="776"/>
      <c r="J1323" s="776"/>
      <c r="K1323" s="776"/>
      <c r="L1323" s="776"/>
      <c r="M1323" s="776"/>
      <c r="O1323" s="776"/>
      <c r="P1323" s="776"/>
      <c r="Q1323" s="776"/>
      <c r="R1323" s="776"/>
      <c r="S1323" s="776"/>
      <c r="T1323" s="776"/>
      <c r="U1323" s="776"/>
      <c r="V1323" s="776"/>
      <c r="W1323" s="776"/>
      <c r="X1323" s="776"/>
      <c r="Y1323" s="776"/>
      <c r="Z1323" s="776"/>
      <c r="AA1323" s="13"/>
    </row>
    <row r="1324" spans="6:27">
      <c r="F1324" s="776"/>
      <c r="G1324" s="776"/>
      <c r="H1324" s="776"/>
      <c r="I1324" s="776"/>
      <c r="J1324" s="776"/>
      <c r="K1324" s="776"/>
      <c r="L1324" s="776"/>
      <c r="M1324" s="776"/>
      <c r="O1324" s="776"/>
      <c r="P1324" s="776"/>
      <c r="Q1324" s="776"/>
      <c r="R1324" s="776"/>
      <c r="S1324" s="776"/>
      <c r="T1324" s="776"/>
      <c r="U1324" s="776"/>
      <c r="V1324" s="776"/>
      <c r="W1324" s="776"/>
      <c r="X1324" s="776"/>
      <c r="Y1324" s="776"/>
      <c r="Z1324" s="776"/>
      <c r="AA1324" s="13"/>
    </row>
    <row r="1325" spans="6:27">
      <c r="F1325" s="776"/>
      <c r="G1325" s="776"/>
      <c r="H1325" s="776"/>
      <c r="I1325" s="776"/>
      <c r="J1325" s="776"/>
      <c r="K1325" s="776"/>
      <c r="L1325" s="776"/>
      <c r="M1325" s="776"/>
      <c r="O1325" s="776"/>
      <c r="P1325" s="776"/>
      <c r="Q1325" s="776"/>
      <c r="R1325" s="776"/>
      <c r="S1325" s="776"/>
      <c r="T1325" s="776"/>
      <c r="U1325" s="776"/>
      <c r="V1325" s="776"/>
      <c r="W1325" s="776"/>
      <c r="X1325" s="776"/>
      <c r="Y1325" s="776"/>
      <c r="Z1325" s="776"/>
      <c r="AA1325" s="13"/>
    </row>
    <row r="1326" spans="6:27">
      <c r="F1326" s="776"/>
      <c r="G1326" s="776"/>
      <c r="H1326" s="776"/>
      <c r="I1326" s="776"/>
      <c r="J1326" s="776"/>
      <c r="K1326" s="776"/>
      <c r="L1326" s="776"/>
      <c r="M1326" s="776"/>
      <c r="O1326" s="776"/>
      <c r="P1326" s="776"/>
      <c r="Q1326" s="776"/>
      <c r="R1326" s="776"/>
      <c r="S1326" s="776"/>
      <c r="T1326" s="776"/>
      <c r="U1326" s="776"/>
      <c r="V1326" s="776"/>
      <c r="W1326" s="776"/>
      <c r="X1326" s="776"/>
      <c r="Y1326" s="776"/>
      <c r="Z1326" s="776"/>
      <c r="AA1326" s="13"/>
    </row>
    <row r="1327" spans="6:27">
      <c r="F1327" s="776"/>
      <c r="G1327" s="776"/>
      <c r="H1327" s="776"/>
      <c r="I1327" s="776"/>
      <c r="J1327" s="776"/>
      <c r="K1327" s="776"/>
      <c r="L1327" s="776"/>
      <c r="M1327" s="776"/>
      <c r="O1327" s="776"/>
      <c r="P1327" s="776"/>
      <c r="Q1327" s="776"/>
      <c r="R1327" s="776"/>
      <c r="S1327" s="776"/>
      <c r="T1327" s="776"/>
      <c r="U1327" s="776"/>
      <c r="V1327" s="776"/>
      <c r="W1327" s="776"/>
      <c r="X1327" s="776"/>
      <c r="Y1327" s="776"/>
      <c r="Z1327" s="776"/>
      <c r="AA1327" s="13"/>
    </row>
    <row r="1328" spans="6:27">
      <c r="F1328" s="776"/>
      <c r="G1328" s="776"/>
      <c r="H1328" s="776"/>
      <c r="I1328" s="776"/>
      <c r="J1328" s="776"/>
      <c r="K1328" s="776"/>
      <c r="L1328" s="776"/>
      <c r="M1328" s="776"/>
      <c r="O1328" s="776"/>
      <c r="P1328" s="776"/>
      <c r="Q1328" s="776"/>
      <c r="R1328" s="776"/>
      <c r="S1328" s="776"/>
      <c r="T1328" s="776"/>
      <c r="U1328" s="776"/>
      <c r="V1328" s="776"/>
      <c r="W1328" s="776"/>
      <c r="X1328" s="776"/>
      <c r="Y1328" s="776"/>
      <c r="Z1328" s="776"/>
      <c r="AA1328" s="13"/>
    </row>
    <row r="1329" spans="6:27">
      <c r="F1329" s="776"/>
      <c r="G1329" s="776"/>
      <c r="H1329" s="776"/>
      <c r="I1329" s="776"/>
      <c r="J1329" s="776"/>
      <c r="K1329" s="776"/>
      <c r="L1329" s="776"/>
      <c r="M1329" s="776"/>
      <c r="O1329" s="776"/>
      <c r="P1329" s="776"/>
      <c r="Q1329" s="776"/>
      <c r="R1329" s="776"/>
      <c r="S1329" s="776"/>
      <c r="T1329" s="776"/>
      <c r="U1329" s="776"/>
      <c r="V1329" s="776"/>
      <c r="W1329" s="776"/>
      <c r="X1329" s="776"/>
      <c r="Y1329" s="776"/>
      <c r="Z1329" s="776"/>
      <c r="AA1329" s="13"/>
    </row>
    <row r="1330" spans="6:27">
      <c r="F1330" s="776"/>
      <c r="G1330" s="776"/>
      <c r="H1330" s="776"/>
      <c r="I1330" s="776"/>
      <c r="J1330" s="776"/>
      <c r="K1330" s="776"/>
      <c r="L1330" s="776"/>
      <c r="M1330" s="776"/>
      <c r="O1330" s="776"/>
      <c r="P1330" s="776"/>
      <c r="Q1330" s="776"/>
      <c r="R1330" s="776"/>
      <c r="S1330" s="776"/>
      <c r="T1330" s="776"/>
      <c r="U1330" s="776"/>
      <c r="V1330" s="776"/>
      <c r="W1330" s="776"/>
      <c r="X1330" s="776"/>
      <c r="Y1330" s="776"/>
      <c r="Z1330" s="776"/>
      <c r="AA1330" s="13"/>
    </row>
    <row r="1331" spans="6:27">
      <c r="F1331" s="776"/>
      <c r="G1331" s="776"/>
      <c r="H1331" s="776"/>
      <c r="I1331" s="776"/>
      <c r="J1331" s="776"/>
      <c r="K1331" s="776"/>
      <c r="L1331" s="776"/>
      <c r="M1331" s="776"/>
      <c r="O1331" s="776"/>
      <c r="P1331" s="776"/>
      <c r="Q1331" s="776"/>
      <c r="R1331" s="776"/>
      <c r="S1331" s="776"/>
      <c r="T1331" s="776"/>
      <c r="U1331" s="776"/>
      <c r="V1331" s="776"/>
      <c r="W1331" s="776"/>
      <c r="X1331" s="776"/>
      <c r="Y1331" s="776"/>
      <c r="Z1331" s="776"/>
      <c r="AA1331" s="13"/>
    </row>
    <row r="1332" spans="6:27">
      <c r="F1332" s="776"/>
      <c r="G1332" s="776"/>
      <c r="H1332" s="776"/>
      <c r="I1332" s="776"/>
      <c r="J1332" s="776"/>
      <c r="K1332" s="776"/>
      <c r="L1332" s="776"/>
      <c r="M1332" s="776"/>
      <c r="O1332" s="776"/>
      <c r="P1332" s="776"/>
      <c r="Q1332" s="776"/>
      <c r="R1332" s="776"/>
      <c r="S1332" s="776"/>
      <c r="T1332" s="776"/>
      <c r="U1332" s="776"/>
      <c r="V1332" s="776"/>
      <c r="W1332" s="776"/>
      <c r="X1332" s="776"/>
      <c r="Y1332" s="776"/>
      <c r="Z1332" s="776"/>
      <c r="AA1332" s="13"/>
    </row>
    <row r="1333" spans="6:27">
      <c r="F1333" s="776"/>
      <c r="G1333" s="776"/>
      <c r="H1333" s="776"/>
      <c r="I1333" s="776"/>
      <c r="J1333" s="776"/>
      <c r="K1333" s="776"/>
      <c r="L1333" s="776"/>
      <c r="M1333" s="776"/>
      <c r="O1333" s="776"/>
      <c r="P1333" s="776"/>
      <c r="Q1333" s="776"/>
      <c r="R1333" s="776"/>
      <c r="S1333" s="776"/>
      <c r="T1333" s="776"/>
      <c r="U1333" s="776"/>
      <c r="V1333" s="776"/>
      <c r="W1333" s="776"/>
      <c r="X1333" s="776"/>
      <c r="Y1333" s="776"/>
      <c r="Z1333" s="776"/>
      <c r="AA1333" s="13"/>
    </row>
    <row r="1334" spans="6:27">
      <c r="F1334" s="776"/>
      <c r="G1334" s="776"/>
      <c r="H1334" s="776"/>
      <c r="I1334" s="776"/>
      <c r="J1334" s="776"/>
      <c r="K1334" s="776"/>
      <c r="L1334" s="776"/>
      <c r="M1334" s="776"/>
      <c r="O1334" s="776"/>
      <c r="P1334" s="776"/>
      <c r="Q1334" s="776"/>
      <c r="R1334" s="776"/>
      <c r="S1334" s="776"/>
      <c r="T1334" s="776"/>
      <c r="U1334" s="776"/>
      <c r="V1334" s="776"/>
      <c r="W1334" s="776"/>
      <c r="X1334" s="776"/>
      <c r="Y1334" s="776"/>
      <c r="Z1334" s="776"/>
      <c r="AA1334" s="13"/>
    </row>
    <row r="1335" spans="6:27">
      <c r="F1335" s="776"/>
      <c r="G1335" s="776"/>
      <c r="H1335" s="776"/>
      <c r="I1335" s="776"/>
      <c r="J1335" s="776"/>
      <c r="K1335" s="776"/>
      <c r="L1335" s="776"/>
      <c r="M1335" s="776"/>
      <c r="O1335" s="776"/>
      <c r="P1335" s="776"/>
      <c r="Q1335" s="776"/>
      <c r="R1335" s="776"/>
      <c r="S1335" s="776"/>
      <c r="T1335" s="776"/>
      <c r="U1335" s="776"/>
      <c r="V1335" s="776"/>
      <c r="W1335" s="776"/>
      <c r="X1335" s="776"/>
      <c r="Y1335" s="776"/>
      <c r="Z1335" s="776"/>
      <c r="AA1335" s="13"/>
    </row>
    <row r="1336" spans="6:27">
      <c r="F1336" s="776"/>
      <c r="G1336" s="776"/>
      <c r="H1336" s="776"/>
      <c r="I1336" s="776"/>
      <c r="J1336" s="776"/>
      <c r="K1336" s="776"/>
      <c r="L1336" s="776"/>
      <c r="M1336" s="776"/>
      <c r="O1336" s="776"/>
      <c r="P1336" s="776"/>
      <c r="Q1336" s="776"/>
      <c r="R1336" s="776"/>
      <c r="S1336" s="776"/>
      <c r="T1336" s="776"/>
      <c r="U1336" s="776"/>
      <c r="V1336" s="776"/>
      <c r="W1336" s="776"/>
      <c r="X1336" s="776"/>
      <c r="Y1336" s="776"/>
      <c r="Z1336" s="776"/>
      <c r="AA1336" s="13"/>
    </row>
    <row r="1337" spans="6:27">
      <c r="F1337" s="776"/>
      <c r="G1337" s="776"/>
      <c r="H1337" s="776"/>
      <c r="I1337" s="776"/>
      <c r="J1337" s="776"/>
      <c r="K1337" s="776"/>
      <c r="L1337" s="776"/>
      <c r="M1337" s="776"/>
      <c r="O1337" s="776"/>
      <c r="P1337" s="776"/>
      <c r="Q1337" s="776"/>
      <c r="R1337" s="776"/>
      <c r="S1337" s="776"/>
      <c r="T1337" s="776"/>
      <c r="U1337" s="776"/>
      <c r="V1337" s="776"/>
      <c r="W1337" s="776"/>
      <c r="X1337" s="776"/>
      <c r="Y1337" s="776"/>
      <c r="Z1337" s="776"/>
      <c r="AA1337" s="13"/>
    </row>
    <row r="1338" spans="6:27">
      <c r="F1338" s="776"/>
      <c r="G1338" s="776"/>
      <c r="H1338" s="776"/>
      <c r="I1338" s="776"/>
      <c r="J1338" s="776"/>
      <c r="K1338" s="776"/>
      <c r="L1338" s="776"/>
      <c r="M1338" s="776"/>
      <c r="O1338" s="776"/>
      <c r="P1338" s="776"/>
      <c r="Q1338" s="776"/>
      <c r="R1338" s="776"/>
      <c r="S1338" s="776"/>
      <c r="T1338" s="776"/>
      <c r="U1338" s="776"/>
      <c r="V1338" s="776"/>
      <c r="W1338" s="776"/>
      <c r="X1338" s="776"/>
      <c r="Y1338" s="776"/>
      <c r="Z1338" s="776"/>
      <c r="AA1338" s="13"/>
    </row>
    <row r="1339" spans="6:27">
      <c r="F1339" s="776"/>
      <c r="G1339" s="776"/>
      <c r="H1339" s="776"/>
      <c r="I1339" s="776"/>
      <c r="J1339" s="776"/>
      <c r="K1339" s="776"/>
      <c r="L1339" s="776"/>
      <c r="M1339" s="776"/>
      <c r="O1339" s="776"/>
      <c r="P1339" s="776"/>
      <c r="Q1339" s="776"/>
      <c r="R1339" s="776"/>
      <c r="S1339" s="776"/>
      <c r="T1339" s="776"/>
      <c r="U1339" s="776"/>
      <c r="V1339" s="776"/>
      <c r="W1339" s="776"/>
      <c r="X1339" s="776"/>
      <c r="Y1339" s="776"/>
      <c r="Z1339" s="776"/>
      <c r="AA1339" s="13"/>
    </row>
    <row r="1340" spans="6:27">
      <c r="F1340" s="776"/>
      <c r="G1340" s="776"/>
      <c r="H1340" s="776"/>
      <c r="I1340" s="776"/>
      <c r="J1340" s="776"/>
      <c r="K1340" s="776"/>
      <c r="L1340" s="776"/>
      <c r="M1340" s="776"/>
      <c r="O1340" s="776"/>
      <c r="P1340" s="776"/>
      <c r="Q1340" s="776"/>
      <c r="R1340" s="776"/>
      <c r="S1340" s="776"/>
      <c r="T1340" s="776"/>
      <c r="U1340" s="776"/>
      <c r="V1340" s="776"/>
      <c r="W1340" s="776"/>
      <c r="X1340" s="776"/>
      <c r="Y1340" s="776"/>
      <c r="Z1340" s="776"/>
      <c r="AA1340" s="13"/>
    </row>
    <row r="1341" spans="6:27">
      <c r="F1341" s="776"/>
      <c r="G1341" s="776"/>
      <c r="H1341" s="776"/>
      <c r="I1341" s="776"/>
      <c r="J1341" s="776"/>
      <c r="K1341" s="776"/>
      <c r="L1341" s="776"/>
      <c r="M1341" s="776"/>
      <c r="O1341" s="776"/>
      <c r="P1341" s="776"/>
      <c r="Q1341" s="776"/>
      <c r="R1341" s="776"/>
      <c r="S1341" s="776"/>
      <c r="T1341" s="776"/>
      <c r="U1341" s="776"/>
      <c r="V1341" s="776"/>
      <c r="W1341" s="776"/>
      <c r="X1341" s="776"/>
      <c r="Y1341" s="776"/>
      <c r="Z1341" s="776"/>
      <c r="AA1341" s="13"/>
    </row>
    <row r="1342" spans="6:27">
      <c r="F1342" s="776"/>
      <c r="G1342" s="776"/>
      <c r="H1342" s="776"/>
      <c r="I1342" s="776"/>
      <c r="J1342" s="776"/>
      <c r="K1342" s="776"/>
      <c r="L1342" s="776"/>
      <c r="M1342" s="776"/>
      <c r="O1342" s="776"/>
      <c r="P1342" s="776"/>
      <c r="Q1342" s="776"/>
      <c r="R1342" s="776"/>
      <c r="S1342" s="776"/>
      <c r="T1342" s="776"/>
      <c r="U1342" s="776"/>
      <c r="V1342" s="776"/>
      <c r="W1342" s="776"/>
      <c r="X1342" s="776"/>
      <c r="Y1342" s="776"/>
      <c r="Z1342" s="776"/>
      <c r="AA1342" s="13"/>
    </row>
    <row r="1343" spans="6:27">
      <c r="F1343" s="776"/>
      <c r="G1343" s="776"/>
      <c r="H1343" s="776"/>
      <c r="I1343" s="776"/>
      <c r="J1343" s="776"/>
      <c r="K1343" s="776"/>
      <c r="L1343" s="776"/>
      <c r="M1343" s="776"/>
      <c r="O1343" s="776"/>
      <c r="P1343" s="776"/>
      <c r="Q1343" s="776"/>
      <c r="R1343" s="776"/>
      <c r="S1343" s="776"/>
      <c r="T1343" s="776"/>
      <c r="U1343" s="776"/>
      <c r="V1343" s="776"/>
      <c r="W1343" s="776"/>
      <c r="X1343" s="776"/>
      <c r="Y1343" s="776"/>
      <c r="Z1343" s="776"/>
      <c r="AA1343" s="13"/>
    </row>
    <row r="1344" spans="6:27">
      <c r="F1344" s="776"/>
      <c r="G1344" s="776"/>
      <c r="H1344" s="776"/>
      <c r="I1344" s="776"/>
      <c r="J1344" s="776"/>
      <c r="K1344" s="776"/>
      <c r="L1344" s="776"/>
      <c r="M1344" s="776"/>
      <c r="O1344" s="776"/>
      <c r="P1344" s="776"/>
      <c r="Q1344" s="776"/>
      <c r="R1344" s="776"/>
      <c r="S1344" s="776"/>
      <c r="T1344" s="776"/>
      <c r="U1344" s="776"/>
      <c r="V1344" s="776"/>
      <c r="W1344" s="776"/>
      <c r="X1344" s="776"/>
      <c r="Y1344" s="776"/>
      <c r="Z1344" s="776"/>
      <c r="AA1344" s="13"/>
    </row>
    <row r="1345" spans="6:27">
      <c r="F1345" s="776"/>
      <c r="G1345" s="776"/>
      <c r="H1345" s="776"/>
      <c r="I1345" s="776"/>
      <c r="J1345" s="776"/>
      <c r="K1345" s="776"/>
      <c r="L1345" s="776"/>
      <c r="M1345" s="776"/>
      <c r="O1345" s="776"/>
      <c r="P1345" s="776"/>
      <c r="Q1345" s="776"/>
      <c r="R1345" s="776"/>
      <c r="S1345" s="776"/>
      <c r="T1345" s="776"/>
      <c r="U1345" s="776"/>
      <c r="V1345" s="776"/>
      <c r="W1345" s="776"/>
      <c r="X1345" s="776"/>
      <c r="Y1345" s="776"/>
      <c r="Z1345" s="776"/>
      <c r="AA1345" s="13"/>
    </row>
    <row r="1346" spans="6:27">
      <c r="F1346" s="776"/>
      <c r="G1346" s="776"/>
      <c r="H1346" s="776"/>
      <c r="I1346" s="776"/>
      <c r="J1346" s="776"/>
      <c r="K1346" s="776"/>
      <c r="L1346" s="776"/>
      <c r="M1346" s="776"/>
      <c r="O1346" s="776"/>
      <c r="P1346" s="776"/>
      <c r="Q1346" s="776"/>
      <c r="R1346" s="776"/>
      <c r="S1346" s="776"/>
      <c r="T1346" s="776"/>
      <c r="U1346" s="776"/>
      <c r="V1346" s="776"/>
      <c r="W1346" s="776"/>
      <c r="X1346" s="776"/>
      <c r="Y1346" s="776"/>
      <c r="Z1346" s="776"/>
      <c r="AA1346" s="13"/>
    </row>
    <row r="1347" spans="6:27">
      <c r="F1347" s="776"/>
      <c r="G1347" s="776"/>
      <c r="H1347" s="776"/>
      <c r="I1347" s="776"/>
      <c r="J1347" s="776"/>
      <c r="K1347" s="776"/>
      <c r="L1347" s="776"/>
      <c r="M1347" s="776"/>
      <c r="O1347" s="776"/>
      <c r="P1347" s="776"/>
      <c r="Q1347" s="776"/>
      <c r="R1347" s="776"/>
      <c r="S1347" s="776"/>
      <c r="T1347" s="776"/>
      <c r="U1347" s="776"/>
      <c r="V1347" s="776"/>
      <c r="W1347" s="776"/>
      <c r="X1347" s="776"/>
      <c r="Y1347" s="776"/>
      <c r="Z1347" s="776"/>
      <c r="AA1347" s="13"/>
    </row>
    <row r="1348" spans="6:27">
      <c r="F1348" s="776"/>
      <c r="G1348" s="776"/>
      <c r="H1348" s="776"/>
      <c r="I1348" s="776"/>
      <c r="J1348" s="776"/>
      <c r="K1348" s="776"/>
      <c r="L1348" s="776"/>
      <c r="M1348" s="776"/>
      <c r="O1348" s="776"/>
      <c r="P1348" s="776"/>
      <c r="Q1348" s="776"/>
      <c r="R1348" s="776"/>
      <c r="S1348" s="776"/>
      <c r="T1348" s="776"/>
      <c r="U1348" s="776"/>
      <c r="V1348" s="776"/>
      <c r="W1348" s="776"/>
      <c r="X1348" s="776"/>
      <c r="Y1348" s="776"/>
      <c r="Z1348" s="776"/>
      <c r="AA1348" s="13"/>
    </row>
    <row r="1349" spans="6:27">
      <c r="F1349" s="776"/>
      <c r="G1349" s="776"/>
      <c r="H1349" s="776"/>
      <c r="I1349" s="776"/>
      <c r="J1349" s="776"/>
      <c r="K1349" s="776"/>
      <c r="L1349" s="776"/>
      <c r="M1349" s="776"/>
      <c r="O1349" s="776"/>
      <c r="P1349" s="776"/>
      <c r="Q1349" s="776"/>
      <c r="R1349" s="776"/>
      <c r="S1349" s="776"/>
      <c r="T1349" s="776"/>
      <c r="U1349" s="776"/>
      <c r="V1349" s="776"/>
      <c r="W1349" s="776"/>
      <c r="X1349" s="776"/>
      <c r="Y1349" s="776"/>
      <c r="Z1349" s="776"/>
      <c r="AA1349" s="13"/>
    </row>
    <row r="1350" spans="6:27">
      <c r="F1350" s="776"/>
      <c r="G1350" s="776"/>
      <c r="H1350" s="776"/>
      <c r="I1350" s="776"/>
      <c r="J1350" s="776"/>
      <c r="K1350" s="776"/>
      <c r="L1350" s="776"/>
      <c r="M1350" s="776"/>
      <c r="O1350" s="776"/>
      <c r="P1350" s="776"/>
      <c r="Q1350" s="776"/>
      <c r="R1350" s="776"/>
      <c r="S1350" s="776"/>
      <c r="T1350" s="776"/>
      <c r="U1350" s="776"/>
      <c r="V1350" s="776"/>
      <c r="W1350" s="776"/>
      <c r="X1350" s="776"/>
      <c r="Y1350" s="776"/>
      <c r="Z1350" s="776"/>
      <c r="AA1350" s="13"/>
    </row>
    <row r="1351" spans="6:27">
      <c r="F1351" s="776"/>
      <c r="G1351" s="776"/>
      <c r="H1351" s="776"/>
      <c r="I1351" s="776"/>
      <c r="J1351" s="776"/>
      <c r="K1351" s="776"/>
      <c r="L1351" s="776"/>
      <c r="M1351" s="776"/>
      <c r="O1351" s="776"/>
      <c r="P1351" s="776"/>
      <c r="Q1351" s="776"/>
      <c r="R1351" s="776"/>
      <c r="S1351" s="776"/>
      <c r="T1351" s="776"/>
      <c r="U1351" s="776"/>
      <c r="V1351" s="776"/>
      <c r="W1351" s="776"/>
      <c r="X1351" s="776"/>
      <c r="Y1351" s="776"/>
      <c r="Z1351" s="776"/>
      <c r="AA1351" s="13"/>
    </row>
    <row r="1352" spans="6:27">
      <c r="F1352" s="776"/>
      <c r="G1352" s="776"/>
      <c r="H1352" s="776"/>
      <c r="I1352" s="776"/>
      <c r="J1352" s="776"/>
      <c r="K1352" s="776"/>
      <c r="L1352" s="776"/>
      <c r="M1352" s="776"/>
      <c r="O1352" s="776"/>
      <c r="P1352" s="776"/>
      <c r="Q1352" s="776"/>
      <c r="R1352" s="776"/>
      <c r="S1352" s="776"/>
      <c r="T1352" s="776"/>
      <c r="U1352" s="776"/>
      <c r="V1352" s="776"/>
      <c r="W1352" s="776"/>
      <c r="X1352" s="776"/>
      <c r="Y1352" s="776"/>
      <c r="Z1352" s="776"/>
      <c r="AA1352" s="13"/>
    </row>
    <row r="1353" spans="6:27">
      <c r="F1353" s="776"/>
      <c r="G1353" s="776"/>
      <c r="H1353" s="776"/>
      <c r="I1353" s="776"/>
      <c r="J1353" s="776"/>
      <c r="K1353" s="776"/>
      <c r="L1353" s="776"/>
      <c r="M1353" s="776"/>
      <c r="O1353" s="776"/>
      <c r="P1353" s="776"/>
      <c r="Q1353" s="776"/>
      <c r="R1353" s="776"/>
      <c r="S1353" s="776"/>
      <c r="T1353" s="776"/>
      <c r="U1353" s="776"/>
      <c r="V1353" s="776"/>
      <c r="W1353" s="776"/>
      <c r="X1353" s="776"/>
      <c r="Y1353" s="776"/>
      <c r="Z1353" s="776"/>
      <c r="AA1353" s="13"/>
    </row>
    <row r="1354" spans="6:27">
      <c r="F1354" s="776"/>
      <c r="G1354" s="776"/>
      <c r="H1354" s="776"/>
      <c r="I1354" s="776"/>
      <c r="J1354" s="776"/>
      <c r="K1354" s="776"/>
      <c r="L1354" s="776"/>
      <c r="M1354" s="776"/>
      <c r="O1354" s="776"/>
      <c r="P1354" s="776"/>
      <c r="Q1354" s="776"/>
      <c r="R1354" s="776"/>
      <c r="S1354" s="776"/>
      <c r="T1354" s="776"/>
      <c r="U1354" s="776"/>
      <c r="V1354" s="776"/>
      <c r="W1354" s="776"/>
      <c r="X1354" s="776"/>
      <c r="Y1354" s="776"/>
      <c r="Z1354" s="776"/>
      <c r="AA1354" s="13"/>
    </row>
    <row r="1355" spans="6:27">
      <c r="F1355" s="776"/>
      <c r="G1355" s="776"/>
      <c r="H1355" s="776"/>
      <c r="I1355" s="776"/>
      <c r="J1355" s="776"/>
      <c r="K1355" s="776"/>
      <c r="L1355" s="776"/>
      <c r="M1355" s="776"/>
      <c r="O1355" s="776"/>
      <c r="P1355" s="776"/>
      <c r="Q1355" s="776"/>
      <c r="R1355" s="776"/>
      <c r="S1355" s="776"/>
      <c r="T1355" s="776"/>
      <c r="U1355" s="776"/>
      <c r="V1355" s="776"/>
      <c r="W1355" s="776"/>
      <c r="X1355" s="776"/>
      <c r="Y1355" s="776"/>
      <c r="Z1355" s="776"/>
      <c r="AA1355" s="13"/>
    </row>
    <row r="1356" spans="6:27">
      <c r="F1356" s="776"/>
      <c r="G1356" s="776"/>
      <c r="H1356" s="776"/>
      <c r="I1356" s="776"/>
      <c r="J1356" s="776"/>
      <c r="K1356" s="776"/>
      <c r="L1356" s="776"/>
      <c r="M1356" s="776"/>
      <c r="O1356" s="776"/>
      <c r="P1356" s="776"/>
      <c r="Q1356" s="776"/>
      <c r="R1356" s="776"/>
      <c r="S1356" s="776"/>
      <c r="T1356" s="776"/>
      <c r="U1356" s="776"/>
      <c r="V1356" s="776"/>
      <c r="W1356" s="776"/>
      <c r="X1356" s="776"/>
      <c r="Y1356" s="776"/>
      <c r="Z1356" s="776"/>
      <c r="AA1356" s="13"/>
    </row>
    <row r="1357" spans="6:27">
      <c r="F1357" s="776"/>
      <c r="G1357" s="776"/>
      <c r="H1357" s="776"/>
      <c r="I1357" s="776"/>
      <c r="J1357" s="776"/>
      <c r="K1357" s="776"/>
      <c r="L1357" s="776"/>
      <c r="M1357" s="776"/>
      <c r="O1357" s="776"/>
      <c r="P1357" s="776"/>
      <c r="Q1357" s="776"/>
      <c r="R1357" s="776"/>
      <c r="S1357" s="776"/>
      <c r="T1357" s="776"/>
      <c r="U1357" s="776"/>
      <c r="V1357" s="776"/>
      <c r="W1357" s="776"/>
      <c r="X1357" s="776"/>
      <c r="Y1357" s="776"/>
      <c r="Z1357" s="776"/>
      <c r="AA1357" s="13"/>
    </row>
    <row r="1358" spans="6:27">
      <c r="F1358" s="776"/>
      <c r="G1358" s="776"/>
      <c r="H1358" s="776"/>
      <c r="I1358" s="776"/>
      <c r="J1358" s="776"/>
      <c r="K1358" s="776"/>
      <c r="L1358" s="776"/>
      <c r="M1358" s="776"/>
      <c r="O1358" s="776"/>
      <c r="P1358" s="776"/>
      <c r="Q1358" s="776"/>
      <c r="R1358" s="776"/>
      <c r="S1358" s="776"/>
      <c r="T1358" s="776"/>
      <c r="U1358" s="776"/>
      <c r="V1358" s="776"/>
      <c r="W1358" s="776"/>
      <c r="X1358" s="776"/>
      <c r="Y1358" s="776"/>
      <c r="Z1358" s="776"/>
      <c r="AA1358" s="13"/>
    </row>
    <row r="1359" spans="6:27">
      <c r="F1359" s="776"/>
      <c r="G1359" s="776"/>
      <c r="H1359" s="776"/>
      <c r="I1359" s="776"/>
      <c r="J1359" s="776"/>
      <c r="K1359" s="776"/>
      <c r="L1359" s="776"/>
      <c r="M1359" s="776"/>
      <c r="O1359" s="776"/>
      <c r="P1359" s="776"/>
      <c r="Q1359" s="776"/>
      <c r="R1359" s="776"/>
      <c r="S1359" s="776"/>
      <c r="T1359" s="776"/>
      <c r="U1359" s="776"/>
      <c r="V1359" s="776"/>
      <c r="W1359" s="776"/>
      <c r="X1359" s="776"/>
      <c r="Y1359" s="776"/>
      <c r="Z1359" s="776"/>
      <c r="AA1359" s="13"/>
    </row>
    <row r="1360" spans="6:27">
      <c r="F1360" s="776"/>
      <c r="G1360" s="776"/>
      <c r="H1360" s="776"/>
      <c r="I1360" s="776"/>
      <c r="J1360" s="776"/>
      <c r="K1360" s="776"/>
      <c r="L1360" s="776"/>
      <c r="M1360" s="776"/>
      <c r="O1360" s="776"/>
      <c r="P1360" s="776"/>
      <c r="Q1360" s="776"/>
      <c r="R1360" s="776"/>
      <c r="S1360" s="776"/>
      <c r="T1360" s="776"/>
      <c r="U1360" s="776"/>
      <c r="V1360" s="776"/>
      <c r="W1360" s="776"/>
      <c r="X1360" s="776"/>
      <c r="Y1360" s="776"/>
      <c r="Z1360" s="776"/>
      <c r="AA1360" s="13"/>
    </row>
    <row r="1361" spans="6:27">
      <c r="F1361" s="776"/>
      <c r="G1361" s="776"/>
      <c r="H1361" s="776"/>
      <c r="I1361" s="776"/>
      <c r="J1361" s="776"/>
      <c r="K1361" s="776"/>
      <c r="L1361" s="776"/>
      <c r="M1361" s="776"/>
      <c r="O1361" s="776"/>
      <c r="P1361" s="776"/>
      <c r="Q1361" s="776"/>
      <c r="R1361" s="776"/>
      <c r="S1361" s="776"/>
      <c r="T1361" s="776"/>
      <c r="U1361" s="776"/>
      <c r="V1361" s="776"/>
      <c r="W1361" s="776"/>
      <c r="X1361" s="776"/>
      <c r="Y1361" s="776"/>
      <c r="Z1361" s="776"/>
      <c r="AA1361" s="13"/>
    </row>
    <row r="1362" spans="6:27">
      <c r="F1362" s="776"/>
      <c r="G1362" s="776"/>
      <c r="H1362" s="776"/>
      <c r="I1362" s="776"/>
      <c r="J1362" s="776"/>
      <c r="K1362" s="776"/>
      <c r="L1362" s="776"/>
      <c r="M1362" s="776"/>
      <c r="O1362" s="776"/>
      <c r="P1362" s="776"/>
      <c r="Q1362" s="776"/>
      <c r="R1362" s="776"/>
      <c r="S1362" s="776"/>
      <c r="T1362" s="776"/>
      <c r="U1362" s="776"/>
      <c r="V1362" s="776"/>
      <c r="W1362" s="776"/>
      <c r="X1362" s="776"/>
      <c r="Y1362" s="776"/>
      <c r="Z1362" s="776"/>
      <c r="AA1362" s="13"/>
    </row>
    <row r="1363" spans="6:27">
      <c r="F1363" s="776"/>
      <c r="G1363" s="776"/>
      <c r="H1363" s="776"/>
      <c r="I1363" s="776"/>
      <c r="J1363" s="776"/>
      <c r="K1363" s="776"/>
      <c r="L1363" s="776"/>
      <c r="M1363" s="776"/>
      <c r="O1363" s="776"/>
      <c r="P1363" s="776"/>
      <c r="Q1363" s="776"/>
      <c r="R1363" s="776"/>
      <c r="S1363" s="776"/>
      <c r="T1363" s="776"/>
      <c r="U1363" s="776"/>
      <c r="V1363" s="776"/>
      <c r="W1363" s="776"/>
      <c r="X1363" s="776"/>
      <c r="Y1363" s="776"/>
      <c r="Z1363" s="776"/>
      <c r="AA1363" s="13"/>
    </row>
    <row r="1364" spans="6:27">
      <c r="F1364" s="776"/>
      <c r="G1364" s="776"/>
      <c r="H1364" s="776"/>
      <c r="I1364" s="776"/>
      <c r="J1364" s="776"/>
      <c r="K1364" s="776"/>
      <c r="L1364" s="776"/>
      <c r="M1364" s="776"/>
      <c r="O1364" s="776"/>
      <c r="P1364" s="776"/>
      <c r="Q1364" s="776"/>
      <c r="R1364" s="776"/>
      <c r="S1364" s="776"/>
      <c r="T1364" s="776"/>
      <c r="U1364" s="776"/>
      <c r="V1364" s="776"/>
      <c r="W1364" s="776"/>
      <c r="X1364" s="776"/>
      <c r="Y1364" s="776"/>
      <c r="Z1364" s="776"/>
      <c r="AA1364" s="13"/>
    </row>
    <row r="1365" spans="6:27">
      <c r="F1365" s="776"/>
      <c r="G1365" s="776"/>
      <c r="H1365" s="776"/>
      <c r="I1365" s="776"/>
      <c r="J1365" s="776"/>
      <c r="K1365" s="776"/>
      <c r="L1365" s="776"/>
      <c r="M1365" s="776"/>
      <c r="O1365" s="776"/>
      <c r="P1365" s="776"/>
      <c r="Q1365" s="776"/>
      <c r="R1365" s="776"/>
      <c r="S1365" s="776"/>
      <c r="T1365" s="776"/>
      <c r="U1365" s="776"/>
      <c r="V1365" s="776"/>
      <c r="W1365" s="776"/>
      <c r="X1365" s="776"/>
      <c r="Y1365" s="776"/>
      <c r="Z1365" s="776"/>
      <c r="AA1365" s="13"/>
    </row>
    <row r="1366" spans="6:27">
      <c r="F1366" s="776"/>
      <c r="G1366" s="776"/>
      <c r="H1366" s="776"/>
      <c r="I1366" s="776"/>
      <c r="J1366" s="776"/>
      <c r="K1366" s="776"/>
      <c r="L1366" s="776"/>
      <c r="M1366" s="776"/>
      <c r="O1366" s="776"/>
      <c r="P1366" s="776"/>
      <c r="Q1366" s="776"/>
      <c r="R1366" s="776"/>
      <c r="S1366" s="776"/>
      <c r="T1366" s="776"/>
      <c r="U1366" s="776"/>
      <c r="V1366" s="776"/>
      <c r="W1366" s="776"/>
      <c r="X1366" s="776"/>
      <c r="Y1366" s="776"/>
      <c r="Z1366" s="776"/>
      <c r="AA1366" s="13"/>
    </row>
    <row r="1367" spans="6:27">
      <c r="F1367" s="776"/>
      <c r="G1367" s="776"/>
      <c r="H1367" s="776"/>
      <c r="I1367" s="776"/>
      <c r="J1367" s="776"/>
      <c r="K1367" s="776"/>
      <c r="L1367" s="776"/>
      <c r="M1367" s="776"/>
      <c r="O1367" s="776"/>
      <c r="P1367" s="776"/>
      <c r="Q1367" s="776"/>
      <c r="R1367" s="776"/>
      <c r="S1367" s="776"/>
      <c r="T1367" s="776"/>
      <c r="U1367" s="776"/>
      <c r="V1367" s="776"/>
      <c r="W1367" s="776"/>
      <c r="X1367" s="776"/>
      <c r="Y1367" s="776"/>
      <c r="Z1367" s="776"/>
      <c r="AA1367" s="13"/>
    </row>
    <row r="1368" spans="6:27">
      <c r="F1368" s="776"/>
      <c r="G1368" s="776"/>
      <c r="H1368" s="776"/>
      <c r="I1368" s="776"/>
      <c r="J1368" s="776"/>
      <c r="K1368" s="776"/>
      <c r="L1368" s="776"/>
      <c r="M1368" s="776"/>
      <c r="O1368" s="776"/>
      <c r="P1368" s="776"/>
      <c r="Q1368" s="776"/>
      <c r="R1368" s="776"/>
      <c r="S1368" s="776"/>
      <c r="T1368" s="776"/>
      <c r="U1368" s="776"/>
      <c r="V1368" s="776"/>
      <c r="W1368" s="776"/>
      <c r="X1368" s="776"/>
      <c r="Y1368" s="776"/>
      <c r="Z1368" s="776"/>
      <c r="AA1368" s="13"/>
    </row>
    <row r="1369" spans="6:27">
      <c r="F1369" s="776"/>
      <c r="G1369" s="776"/>
      <c r="H1369" s="776"/>
      <c r="I1369" s="776"/>
      <c r="J1369" s="776"/>
      <c r="K1369" s="776"/>
      <c r="L1369" s="776"/>
      <c r="M1369" s="776"/>
      <c r="O1369" s="776"/>
      <c r="P1369" s="776"/>
      <c r="Q1369" s="776"/>
      <c r="R1369" s="776"/>
      <c r="S1369" s="776"/>
      <c r="T1369" s="776"/>
      <c r="U1369" s="776"/>
      <c r="V1369" s="776"/>
      <c r="W1369" s="776"/>
      <c r="X1369" s="776"/>
      <c r="Y1369" s="776"/>
      <c r="Z1369" s="776"/>
      <c r="AA1369" s="13"/>
    </row>
    <row r="1370" spans="6:27">
      <c r="F1370" s="776"/>
      <c r="G1370" s="776"/>
      <c r="H1370" s="776"/>
      <c r="I1370" s="776"/>
      <c r="J1370" s="776"/>
      <c r="K1370" s="776"/>
      <c r="L1370" s="776"/>
      <c r="M1370" s="776"/>
      <c r="O1370" s="776"/>
      <c r="P1370" s="776"/>
      <c r="Q1370" s="776"/>
      <c r="R1370" s="776"/>
      <c r="S1370" s="776"/>
      <c r="T1370" s="776"/>
      <c r="U1370" s="776"/>
      <c r="V1370" s="776"/>
      <c r="W1370" s="776"/>
      <c r="X1370" s="776"/>
      <c r="Y1370" s="776"/>
      <c r="Z1370" s="776"/>
      <c r="AA1370" s="13"/>
    </row>
    <row r="1371" spans="6:27">
      <c r="F1371" s="776"/>
      <c r="G1371" s="776"/>
      <c r="H1371" s="776"/>
      <c r="I1371" s="776"/>
      <c r="J1371" s="776"/>
      <c r="K1371" s="776"/>
      <c r="L1371" s="776"/>
      <c r="M1371" s="776"/>
      <c r="O1371" s="776"/>
      <c r="P1371" s="776"/>
      <c r="Q1371" s="776"/>
      <c r="R1371" s="776"/>
      <c r="S1371" s="776"/>
      <c r="T1371" s="776"/>
      <c r="U1371" s="776"/>
      <c r="V1371" s="776"/>
      <c r="W1371" s="776"/>
      <c r="X1371" s="776"/>
      <c r="Y1371" s="776"/>
      <c r="Z1371" s="776"/>
      <c r="AA1371" s="13"/>
    </row>
    <row r="1372" spans="6:27">
      <c r="F1372" s="776"/>
      <c r="G1372" s="776"/>
      <c r="H1372" s="776"/>
      <c r="I1372" s="776"/>
      <c r="J1372" s="776"/>
      <c r="K1372" s="776"/>
      <c r="L1372" s="776"/>
      <c r="M1372" s="776"/>
      <c r="O1372" s="776"/>
      <c r="P1372" s="776"/>
      <c r="Q1372" s="776"/>
      <c r="R1372" s="776"/>
      <c r="S1372" s="776"/>
      <c r="T1372" s="776"/>
      <c r="U1372" s="776"/>
      <c r="V1372" s="776"/>
      <c r="W1372" s="776"/>
      <c r="X1372" s="776"/>
      <c r="Y1372" s="776"/>
      <c r="Z1372" s="776"/>
      <c r="AA1372" s="13"/>
    </row>
    <row r="1373" spans="6:27">
      <c r="F1373" s="776"/>
      <c r="G1373" s="776"/>
      <c r="H1373" s="776"/>
      <c r="I1373" s="776"/>
      <c r="J1373" s="776"/>
      <c r="K1373" s="776"/>
      <c r="L1373" s="776"/>
      <c r="M1373" s="776"/>
      <c r="O1373" s="776"/>
      <c r="P1373" s="776"/>
      <c r="Q1373" s="776"/>
      <c r="R1373" s="776"/>
      <c r="S1373" s="776"/>
      <c r="T1373" s="776"/>
      <c r="U1373" s="776"/>
      <c r="V1373" s="776"/>
      <c r="W1373" s="776"/>
      <c r="X1373" s="776"/>
      <c r="Y1373" s="776"/>
      <c r="Z1373" s="776"/>
      <c r="AA1373" s="13"/>
    </row>
    <row r="1374" spans="6:27">
      <c r="F1374" s="776"/>
      <c r="G1374" s="776"/>
      <c r="H1374" s="776"/>
      <c r="I1374" s="776"/>
      <c r="J1374" s="776"/>
      <c r="K1374" s="776"/>
      <c r="L1374" s="776"/>
      <c r="M1374" s="776"/>
      <c r="O1374" s="776"/>
      <c r="P1374" s="776"/>
      <c r="Q1374" s="776"/>
      <c r="R1374" s="776"/>
      <c r="S1374" s="776"/>
      <c r="T1374" s="776"/>
      <c r="U1374" s="776"/>
      <c r="V1374" s="776"/>
      <c r="W1374" s="776"/>
      <c r="X1374" s="776"/>
      <c r="Y1374" s="776"/>
      <c r="Z1374" s="776"/>
      <c r="AA1374" s="13"/>
    </row>
    <row r="1375" spans="6:27">
      <c r="F1375" s="776"/>
      <c r="G1375" s="776"/>
      <c r="H1375" s="776"/>
      <c r="I1375" s="776"/>
      <c r="J1375" s="776"/>
      <c r="K1375" s="776"/>
      <c r="L1375" s="776"/>
      <c r="M1375" s="776"/>
      <c r="O1375" s="776"/>
      <c r="P1375" s="776"/>
      <c r="Q1375" s="776"/>
      <c r="R1375" s="776"/>
      <c r="S1375" s="776"/>
      <c r="T1375" s="776"/>
      <c r="U1375" s="776"/>
      <c r="V1375" s="776"/>
      <c r="W1375" s="776"/>
      <c r="X1375" s="776"/>
      <c r="Y1375" s="776"/>
      <c r="Z1375" s="776"/>
      <c r="AA1375" s="13"/>
    </row>
    <row r="1376" spans="6:27">
      <c r="F1376" s="776"/>
      <c r="G1376" s="776"/>
      <c r="H1376" s="776"/>
      <c r="I1376" s="776"/>
      <c r="J1376" s="776"/>
      <c r="K1376" s="776"/>
      <c r="L1376" s="776"/>
      <c r="M1376" s="776"/>
      <c r="O1376" s="776"/>
      <c r="P1376" s="776"/>
      <c r="Q1376" s="776"/>
      <c r="R1376" s="776"/>
      <c r="S1376" s="776"/>
      <c r="T1376" s="776"/>
      <c r="U1376" s="776"/>
      <c r="V1376" s="776"/>
      <c r="W1376" s="776"/>
      <c r="X1376" s="776"/>
      <c r="Y1376" s="776"/>
      <c r="Z1376" s="776"/>
      <c r="AA1376" s="13"/>
    </row>
    <row r="1377" spans="6:27">
      <c r="F1377" s="776"/>
      <c r="G1377" s="776"/>
      <c r="H1377" s="776"/>
      <c r="I1377" s="776"/>
      <c r="J1377" s="776"/>
      <c r="K1377" s="776"/>
      <c r="L1377" s="776"/>
      <c r="M1377" s="776"/>
      <c r="O1377" s="776"/>
      <c r="P1377" s="776"/>
      <c r="Q1377" s="776"/>
      <c r="R1377" s="776"/>
      <c r="S1377" s="776"/>
      <c r="T1377" s="776"/>
      <c r="U1377" s="776"/>
      <c r="V1377" s="776"/>
      <c r="W1377" s="776"/>
      <c r="X1377" s="776"/>
      <c r="Y1377" s="776"/>
      <c r="Z1377" s="776"/>
      <c r="AA1377" s="13"/>
    </row>
    <row r="1378" spans="6:27">
      <c r="F1378" s="776"/>
      <c r="G1378" s="776"/>
      <c r="H1378" s="776"/>
      <c r="I1378" s="776"/>
      <c r="J1378" s="776"/>
      <c r="K1378" s="776"/>
      <c r="L1378" s="776"/>
      <c r="M1378" s="776"/>
      <c r="O1378" s="776"/>
      <c r="P1378" s="776"/>
      <c r="Q1378" s="776"/>
      <c r="R1378" s="776"/>
      <c r="S1378" s="776"/>
      <c r="T1378" s="776"/>
      <c r="U1378" s="776"/>
      <c r="V1378" s="776"/>
      <c r="W1378" s="776"/>
      <c r="X1378" s="776"/>
      <c r="Y1378" s="776"/>
      <c r="Z1378" s="776"/>
      <c r="AA1378" s="13"/>
    </row>
    <row r="1379" spans="6:27">
      <c r="F1379" s="776"/>
      <c r="G1379" s="776"/>
      <c r="H1379" s="776"/>
      <c r="I1379" s="776"/>
      <c r="J1379" s="776"/>
      <c r="K1379" s="776"/>
      <c r="L1379" s="776"/>
      <c r="M1379" s="776"/>
      <c r="O1379" s="776"/>
      <c r="P1379" s="776"/>
      <c r="Q1379" s="776"/>
      <c r="R1379" s="776"/>
      <c r="S1379" s="776"/>
      <c r="T1379" s="776"/>
      <c r="U1379" s="776"/>
      <c r="V1379" s="776"/>
      <c r="W1379" s="776"/>
      <c r="X1379" s="776"/>
      <c r="Y1379" s="776"/>
      <c r="Z1379" s="776"/>
      <c r="AA1379" s="13"/>
    </row>
    <row r="1380" spans="6:27">
      <c r="F1380" s="776"/>
      <c r="G1380" s="776"/>
      <c r="H1380" s="776"/>
      <c r="I1380" s="776"/>
      <c r="J1380" s="776"/>
      <c r="K1380" s="776"/>
      <c r="L1380" s="776"/>
      <c r="M1380" s="776"/>
      <c r="O1380" s="776"/>
      <c r="P1380" s="776"/>
      <c r="Q1380" s="776"/>
      <c r="R1380" s="776"/>
      <c r="S1380" s="776"/>
      <c r="T1380" s="776"/>
      <c r="U1380" s="776"/>
      <c r="V1380" s="776"/>
      <c r="W1380" s="776"/>
      <c r="X1380" s="776"/>
      <c r="Y1380" s="776"/>
      <c r="Z1380" s="776"/>
      <c r="AA1380" s="13"/>
    </row>
    <row r="1381" spans="6:27">
      <c r="F1381" s="776"/>
      <c r="G1381" s="776"/>
      <c r="H1381" s="776"/>
      <c r="I1381" s="776"/>
      <c r="J1381" s="776"/>
      <c r="K1381" s="776"/>
      <c r="L1381" s="776"/>
      <c r="M1381" s="776"/>
      <c r="O1381" s="776"/>
      <c r="P1381" s="776"/>
      <c r="Q1381" s="776"/>
      <c r="R1381" s="776"/>
      <c r="S1381" s="776"/>
      <c r="T1381" s="776"/>
      <c r="U1381" s="776"/>
      <c r="V1381" s="776"/>
      <c r="W1381" s="776"/>
      <c r="X1381" s="776"/>
      <c r="Y1381" s="776"/>
      <c r="Z1381" s="776"/>
      <c r="AA1381" s="13"/>
    </row>
    <row r="1382" spans="6:27">
      <c r="F1382" s="776"/>
      <c r="G1382" s="776"/>
      <c r="H1382" s="776"/>
      <c r="I1382" s="776"/>
      <c r="J1382" s="776"/>
      <c r="K1382" s="776"/>
      <c r="L1382" s="776"/>
      <c r="M1382" s="776"/>
      <c r="O1382" s="776"/>
      <c r="P1382" s="776"/>
      <c r="Q1382" s="776"/>
      <c r="R1382" s="776"/>
      <c r="S1382" s="776"/>
      <c r="T1382" s="776"/>
      <c r="U1382" s="776"/>
      <c r="V1382" s="776"/>
      <c r="W1382" s="776"/>
      <c r="X1382" s="776"/>
      <c r="Y1382" s="776"/>
      <c r="Z1382" s="776"/>
      <c r="AA1382" s="13"/>
    </row>
    <row r="1383" spans="6:27">
      <c r="F1383" s="776"/>
      <c r="G1383" s="776"/>
      <c r="H1383" s="776"/>
      <c r="I1383" s="776"/>
      <c r="J1383" s="776"/>
      <c r="K1383" s="776"/>
      <c r="L1383" s="776"/>
      <c r="M1383" s="776"/>
      <c r="O1383" s="776"/>
      <c r="P1383" s="776"/>
      <c r="Q1383" s="776"/>
      <c r="R1383" s="776"/>
      <c r="S1383" s="776"/>
      <c r="T1383" s="776"/>
      <c r="U1383" s="776"/>
      <c r="V1383" s="776"/>
      <c r="W1383" s="776"/>
      <c r="X1383" s="776"/>
      <c r="Y1383" s="776"/>
      <c r="Z1383" s="776"/>
      <c r="AA1383" s="13"/>
    </row>
    <row r="1384" spans="6:27">
      <c r="F1384" s="776"/>
      <c r="G1384" s="776"/>
      <c r="H1384" s="776"/>
      <c r="I1384" s="776"/>
      <c r="J1384" s="776"/>
      <c r="K1384" s="776"/>
      <c r="L1384" s="776"/>
      <c r="M1384" s="776"/>
      <c r="O1384" s="776"/>
      <c r="P1384" s="776"/>
      <c r="Q1384" s="776"/>
      <c r="R1384" s="776"/>
      <c r="S1384" s="776"/>
      <c r="T1384" s="776"/>
      <c r="U1384" s="776"/>
      <c r="V1384" s="776"/>
      <c r="W1384" s="776"/>
      <c r="X1384" s="776"/>
      <c r="Y1384" s="776"/>
      <c r="Z1384" s="776"/>
      <c r="AA1384" s="13"/>
    </row>
    <row r="1385" spans="6:27">
      <c r="F1385" s="776"/>
      <c r="G1385" s="776"/>
      <c r="H1385" s="776"/>
      <c r="I1385" s="776"/>
      <c r="J1385" s="776"/>
      <c r="K1385" s="776"/>
      <c r="L1385" s="776"/>
      <c r="M1385" s="776"/>
      <c r="O1385" s="776"/>
      <c r="P1385" s="776"/>
      <c r="Q1385" s="776"/>
      <c r="R1385" s="776"/>
      <c r="S1385" s="776"/>
      <c r="T1385" s="776"/>
      <c r="U1385" s="776"/>
      <c r="V1385" s="776"/>
      <c r="W1385" s="776"/>
      <c r="X1385" s="776"/>
      <c r="Y1385" s="776"/>
      <c r="Z1385" s="776"/>
      <c r="AA1385" s="13"/>
    </row>
    <row r="1386" spans="6:27">
      <c r="F1386" s="776"/>
      <c r="G1386" s="776"/>
      <c r="H1386" s="776"/>
      <c r="I1386" s="776"/>
      <c r="J1386" s="776"/>
      <c r="K1386" s="776"/>
      <c r="L1386" s="776"/>
      <c r="M1386" s="776"/>
      <c r="O1386" s="776"/>
      <c r="P1386" s="776"/>
      <c r="Q1386" s="776"/>
      <c r="R1386" s="776"/>
      <c r="S1386" s="776"/>
      <c r="T1386" s="776"/>
      <c r="U1386" s="776"/>
      <c r="V1386" s="776"/>
      <c r="W1386" s="776"/>
      <c r="X1386" s="776"/>
      <c r="Y1386" s="776"/>
      <c r="Z1386" s="776"/>
      <c r="AA1386" s="13"/>
    </row>
    <row r="1387" spans="6:27">
      <c r="F1387" s="776"/>
      <c r="G1387" s="776"/>
      <c r="H1387" s="776"/>
      <c r="I1387" s="776"/>
      <c r="J1387" s="776"/>
      <c r="K1387" s="776"/>
      <c r="L1387" s="776"/>
      <c r="M1387" s="776"/>
      <c r="O1387" s="776"/>
      <c r="P1387" s="776"/>
      <c r="Q1387" s="776"/>
      <c r="R1387" s="776"/>
      <c r="S1387" s="776"/>
      <c r="T1387" s="776"/>
      <c r="U1387" s="776"/>
      <c r="V1387" s="776"/>
      <c r="W1387" s="776"/>
      <c r="X1387" s="776"/>
      <c r="Y1387" s="776"/>
      <c r="Z1387" s="776"/>
      <c r="AA1387" s="13"/>
    </row>
    <row r="1388" spans="6:27">
      <c r="F1388" s="776"/>
      <c r="G1388" s="776"/>
      <c r="H1388" s="776"/>
      <c r="I1388" s="776"/>
      <c r="J1388" s="776"/>
      <c r="K1388" s="776"/>
      <c r="L1388" s="776"/>
      <c r="M1388" s="776"/>
      <c r="O1388" s="776"/>
      <c r="P1388" s="776"/>
      <c r="Q1388" s="776"/>
      <c r="R1388" s="776"/>
      <c r="S1388" s="776"/>
      <c r="T1388" s="776"/>
      <c r="U1388" s="776"/>
      <c r="V1388" s="776"/>
      <c r="W1388" s="776"/>
      <c r="X1388" s="776"/>
      <c r="Y1388" s="776"/>
      <c r="Z1388" s="776"/>
      <c r="AA1388" s="13"/>
    </row>
    <row r="1389" spans="6:27">
      <c r="F1389" s="776"/>
      <c r="G1389" s="776"/>
      <c r="H1389" s="776"/>
      <c r="I1389" s="776"/>
      <c r="J1389" s="776"/>
      <c r="K1389" s="776"/>
      <c r="L1389" s="776"/>
      <c r="M1389" s="776"/>
      <c r="O1389" s="776"/>
      <c r="P1389" s="776"/>
      <c r="Q1389" s="776"/>
      <c r="R1389" s="776"/>
      <c r="S1389" s="776"/>
      <c r="T1389" s="776"/>
      <c r="U1389" s="776"/>
      <c r="V1389" s="776"/>
      <c r="W1389" s="776"/>
      <c r="X1389" s="776"/>
      <c r="Y1389" s="776"/>
      <c r="Z1389" s="776"/>
      <c r="AA1389" s="13"/>
    </row>
    <row r="1390" spans="6:27">
      <c r="F1390" s="776"/>
      <c r="G1390" s="776"/>
      <c r="H1390" s="776"/>
      <c r="I1390" s="776"/>
      <c r="J1390" s="776"/>
      <c r="K1390" s="776"/>
      <c r="L1390" s="776"/>
      <c r="M1390" s="776"/>
      <c r="O1390" s="776"/>
      <c r="P1390" s="776"/>
      <c r="Q1390" s="776"/>
      <c r="R1390" s="776"/>
      <c r="S1390" s="776"/>
      <c r="T1390" s="776"/>
      <c r="U1390" s="776"/>
      <c r="V1390" s="776"/>
      <c r="W1390" s="776"/>
      <c r="X1390" s="776"/>
      <c r="Y1390" s="776"/>
      <c r="Z1390" s="776"/>
      <c r="AA1390" s="13"/>
    </row>
    <row r="1391" spans="6:27">
      <c r="F1391" s="776"/>
      <c r="G1391" s="776"/>
      <c r="H1391" s="776"/>
      <c r="I1391" s="776"/>
      <c r="J1391" s="776"/>
      <c r="K1391" s="776"/>
      <c r="L1391" s="776"/>
      <c r="M1391" s="776"/>
      <c r="O1391" s="776"/>
      <c r="P1391" s="776"/>
      <c r="Q1391" s="776"/>
      <c r="R1391" s="776"/>
      <c r="S1391" s="776"/>
      <c r="T1391" s="776"/>
      <c r="U1391" s="776"/>
      <c r="V1391" s="776"/>
      <c r="W1391" s="776"/>
      <c r="X1391" s="776"/>
      <c r="Y1391" s="776"/>
      <c r="Z1391" s="776"/>
      <c r="AA1391" s="13"/>
    </row>
    <row r="1392" spans="6:27">
      <c r="F1392" s="776"/>
      <c r="G1392" s="776"/>
      <c r="H1392" s="776"/>
      <c r="I1392" s="776"/>
      <c r="J1392" s="776"/>
      <c r="K1392" s="776"/>
      <c r="L1392" s="776"/>
      <c r="M1392" s="776"/>
      <c r="O1392" s="776"/>
      <c r="P1392" s="776"/>
      <c r="Q1392" s="776"/>
      <c r="R1392" s="776"/>
      <c r="S1392" s="776"/>
      <c r="T1392" s="776"/>
      <c r="U1392" s="776"/>
      <c r="V1392" s="776"/>
      <c r="W1392" s="776"/>
      <c r="X1392" s="776"/>
      <c r="Y1392" s="776"/>
      <c r="Z1392" s="776"/>
      <c r="AA1392" s="13"/>
    </row>
    <row r="1393" spans="6:27">
      <c r="F1393" s="776"/>
      <c r="G1393" s="776"/>
      <c r="H1393" s="776"/>
      <c r="I1393" s="776"/>
      <c r="J1393" s="776"/>
      <c r="K1393" s="776"/>
      <c r="L1393" s="776"/>
      <c r="M1393" s="776"/>
      <c r="O1393" s="776"/>
      <c r="P1393" s="776"/>
      <c r="Q1393" s="776"/>
      <c r="R1393" s="776"/>
      <c r="S1393" s="776"/>
      <c r="T1393" s="776"/>
      <c r="U1393" s="776"/>
      <c r="V1393" s="776"/>
      <c r="W1393" s="776"/>
      <c r="X1393" s="776"/>
      <c r="Y1393" s="776"/>
      <c r="Z1393" s="776"/>
      <c r="AA1393" s="13"/>
    </row>
    <row r="1394" spans="6:27">
      <c r="F1394" s="776"/>
      <c r="G1394" s="776"/>
      <c r="H1394" s="776"/>
      <c r="I1394" s="776"/>
      <c r="J1394" s="776"/>
      <c r="K1394" s="776"/>
      <c r="L1394" s="776"/>
      <c r="M1394" s="776"/>
      <c r="O1394" s="776"/>
      <c r="P1394" s="776"/>
      <c r="Q1394" s="776"/>
      <c r="R1394" s="776"/>
      <c r="S1394" s="776"/>
      <c r="T1394" s="776"/>
      <c r="U1394" s="776"/>
      <c r="V1394" s="776"/>
      <c r="W1394" s="776"/>
      <c r="X1394" s="776"/>
      <c r="Y1394" s="776"/>
      <c r="Z1394" s="776"/>
      <c r="AA1394" s="13"/>
    </row>
    <row r="1395" spans="6:27">
      <c r="F1395" s="776"/>
      <c r="G1395" s="776"/>
      <c r="H1395" s="776"/>
      <c r="I1395" s="776"/>
      <c r="J1395" s="776"/>
      <c r="K1395" s="776"/>
      <c r="L1395" s="776"/>
      <c r="M1395" s="776"/>
      <c r="O1395" s="776"/>
      <c r="P1395" s="776"/>
      <c r="Q1395" s="776"/>
      <c r="R1395" s="776"/>
      <c r="S1395" s="776"/>
      <c r="T1395" s="776"/>
      <c r="U1395" s="776"/>
      <c r="V1395" s="776"/>
      <c r="W1395" s="776"/>
      <c r="X1395" s="776"/>
      <c r="Y1395" s="776"/>
      <c r="Z1395" s="776"/>
      <c r="AA1395" s="13"/>
    </row>
    <row r="1396" spans="6:27">
      <c r="F1396" s="776"/>
      <c r="G1396" s="776"/>
      <c r="H1396" s="776"/>
      <c r="I1396" s="776"/>
      <c r="J1396" s="776"/>
      <c r="K1396" s="776"/>
      <c r="L1396" s="776"/>
      <c r="M1396" s="776"/>
      <c r="O1396" s="776"/>
      <c r="P1396" s="776"/>
      <c r="Q1396" s="776"/>
      <c r="R1396" s="776"/>
      <c r="S1396" s="776"/>
      <c r="T1396" s="776"/>
      <c r="U1396" s="776"/>
      <c r="V1396" s="776"/>
      <c r="W1396" s="776"/>
      <c r="X1396" s="776"/>
      <c r="Y1396" s="776"/>
      <c r="Z1396" s="776"/>
      <c r="AA1396" s="13"/>
    </row>
    <row r="1397" spans="6:27">
      <c r="F1397" s="776"/>
      <c r="G1397" s="776"/>
      <c r="H1397" s="776"/>
      <c r="I1397" s="776"/>
      <c r="J1397" s="776"/>
      <c r="K1397" s="776"/>
      <c r="L1397" s="776"/>
      <c r="M1397" s="776"/>
      <c r="O1397" s="776"/>
      <c r="P1397" s="776"/>
      <c r="Q1397" s="776"/>
      <c r="R1397" s="776"/>
      <c r="S1397" s="776"/>
      <c r="T1397" s="776"/>
      <c r="U1397" s="776"/>
      <c r="V1397" s="776"/>
      <c r="W1397" s="776"/>
      <c r="X1397" s="776"/>
      <c r="Y1397" s="776"/>
      <c r="Z1397" s="776"/>
      <c r="AA1397" s="13"/>
    </row>
    <row r="1398" spans="6:27">
      <c r="F1398" s="776"/>
      <c r="G1398" s="776"/>
      <c r="H1398" s="776"/>
      <c r="I1398" s="776"/>
      <c r="J1398" s="776"/>
      <c r="K1398" s="776"/>
      <c r="L1398" s="776"/>
      <c r="M1398" s="776"/>
      <c r="O1398" s="776"/>
      <c r="P1398" s="776"/>
      <c r="Q1398" s="776"/>
      <c r="R1398" s="776"/>
      <c r="S1398" s="776"/>
      <c r="T1398" s="776"/>
      <c r="U1398" s="776"/>
      <c r="V1398" s="776"/>
      <c r="W1398" s="776"/>
      <c r="X1398" s="776"/>
      <c r="Y1398" s="776"/>
      <c r="Z1398" s="776"/>
      <c r="AA1398" s="13"/>
    </row>
    <row r="1399" spans="6:27">
      <c r="F1399" s="776"/>
      <c r="G1399" s="776"/>
      <c r="H1399" s="776"/>
      <c r="I1399" s="776"/>
      <c r="J1399" s="776"/>
      <c r="K1399" s="776"/>
      <c r="L1399" s="776"/>
      <c r="M1399" s="776"/>
      <c r="O1399" s="776"/>
      <c r="P1399" s="776"/>
      <c r="Q1399" s="776"/>
      <c r="R1399" s="776"/>
      <c r="S1399" s="776"/>
      <c r="T1399" s="776"/>
      <c r="U1399" s="776"/>
      <c r="V1399" s="776"/>
      <c r="W1399" s="776"/>
      <c r="X1399" s="776"/>
      <c r="Y1399" s="776"/>
      <c r="Z1399" s="776"/>
      <c r="AA1399" s="13"/>
    </row>
    <row r="1400" spans="6:27">
      <c r="F1400" s="776"/>
      <c r="G1400" s="776"/>
      <c r="H1400" s="776"/>
      <c r="I1400" s="776"/>
      <c r="J1400" s="776"/>
      <c r="K1400" s="776"/>
      <c r="L1400" s="776"/>
      <c r="M1400" s="776"/>
      <c r="O1400" s="776"/>
      <c r="P1400" s="776"/>
      <c r="Q1400" s="776"/>
      <c r="R1400" s="776"/>
      <c r="S1400" s="776"/>
      <c r="T1400" s="776"/>
      <c r="U1400" s="776"/>
      <c r="V1400" s="776"/>
      <c r="W1400" s="776"/>
      <c r="X1400" s="776"/>
      <c r="Y1400" s="776"/>
      <c r="Z1400" s="776"/>
      <c r="AA1400" s="13"/>
    </row>
    <row r="1401" spans="6:27">
      <c r="F1401" s="776"/>
      <c r="G1401" s="776"/>
      <c r="H1401" s="776"/>
      <c r="I1401" s="776"/>
      <c r="J1401" s="776"/>
      <c r="K1401" s="776"/>
      <c r="L1401" s="776"/>
      <c r="M1401" s="776"/>
      <c r="O1401" s="776"/>
      <c r="P1401" s="776"/>
      <c r="Q1401" s="776"/>
      <c r="R1401" s="776"/>
      <c r="S1401" s="776"/>
      <c r="T1401" s="776"/>
      <c r="U1401" s="776"/>
      <c r="V1401" s="776"/>
      <c r="W1401" s="776"/>
      <c r="X1401" s="776"/>
      <c r="Y1401" s="776"/>
      <c r="Z1401" s="776"/>
      <c r="AA1401" s="13"/>
    </row>
    <row r="1402" spans="6:27">
      <c r="F1402" s="776"/>
      <c r="G1402" s="776"/>
      <c r="H1402" s="776"/>
      <c r="I1402" s="776"/>
      <c r="J1402" s="776"/>
      <c r="K1402" s="776"/>
      <c r="L1402" s="776"/>
      <c r="M1402" s="776"/>
      <c r="O1402" s="776"/>
      <c r="P1402" s="776"/>
      <c r="Q1402" s="776"/>
      <c r="R1402" s="776"/>
      <c r="S1402" s="776"/>
      <c r="T1402" s="776"/>
      <c r="U1402" s="776"/>
      <c r="V1402" s="776"/>
      <c r="W1402" s="776"/>
      <c r="X1402" s="776"/>
      <c r="Y1402" s="776"/>
      <c r="Z1402" s="776"/>
      <c r="AA1402" s="13"/>
    </row>
    <row r="1403" spans="6:27">
      <c r="F1403" s="776"/>
      <c r="G1403" s="776"/>
      <c r="H1403" s="776"/>
      <c r="I1403" s="776"/>
      <c r="J1403" s="776"/>
      <c r="K1403" s="776"/>
      <c r="L1403" s="776"/>
      <c r="M1403" s="776"/>
      <c r="O1403" s="776"/>
      <c r="P1403" s="776"/>
      <c r="Q1403" s="776"/>
      <c r="R1403" s="776"/>
      <c r="S1403" s="776"/>
      <c r="T1403" s="776"/>
      <c r="U1403" s="776"/>
      <c r="V1403" s="776"/>
      <c r="W1403" s="776"/>
      <c r="X1403" s="776"/>
      <c r="Y1403" s="776"/>
      <c r="Z1403" s="776"/>
      <c r="AA1403" s="13"/>
    </row>
    <row r="1404" spans="6:27">
      <c r="F1404" s="776"/>
      <c r="G1404" s="776"/>
      <c r="H1404" s="776"/>
      <c r="I1404" s="776"/>
      <c r="J1404" s="776"/>
      <c r="K1404" s="776"/>
      <c r="L1404" s="776"/>
      <c r="M1404" s="776"/>
      <c r="O1404" s="776"/>
      <c r="P1404" s="776"/>
      <c r="Q1404" s="776"/>
      <c r="R1404" s="776"/>
      <c r="S1404" s="776"/>
      <c r="T1404" s="776"/>
      <c r="U1404" s="776"/>
      <c r="V1404" s="776"/>
      <c r="W1404" s="776"/>
      <c r="X1404" s="776"/>
      <c r="Y1404" s="776"/>
      <c r="Z1404" s="776"/>
      <c r="AA1404" s="13"/>
    </row>
    <row r="1405" spans="6:27">
      <c r="F1405" s="776"/>
      <c r="G1405" s="776"/>
      <c r="H1405" s="776"/>
      <c r="I1405" s="776"/>
      <c r="J1405" s="776"/>
      <c r="K1405" s="776"/>
      <c r="L1405" s="776"/>
      <c r="M1405" s="776"/>
      <c r="O1405" s="776"/>
      <c r="P1405" s="776"/>
      <c r="Q1405" s="776"/>
      <c r="R1405" s="776"/>
      <c r="S1405" s="776"/>
      <c r="T1405" s="776"/>
      <c r="U1405" s="776"/>
      <c r="V1405" s="776"/>
      <c r="W1405" s="776"/>
      <c r="X1405" s="776"/>
      <c r="Y1405" s="776"/>
      <c r="Z1405" s="776"/>
      <c r="AA1405" s="13"/>
    </row>
    <row r="1406" spans="6:27">
      <c r="F1406" s="776"/>
      <c r="G1406" s="776"/>
      <c r="H1406" s="776"/>
      <c r="I1406" s="776"/>
      <c r="J1406" s="776"/>
      <c r="K1406" s="776"/>
      <c r="L1406" s="776"/>
      <c r="M1406" s="776"/>
      <c r="O1406" s="776"/>
      <c r="P1406" s="776"/>
      <c r="Q1406" s="776"/>
      <c r="R1406" s="776"/>
      <c r="S1406" s="776"/>
      <c r="T1406" s="776"/>
      <c r="U1406" s="776"/>
      <c r="V1406" s="776"/>
      <c r="W1406" s="776"/>
      <c r="X1406" s="776"/>
      <c r="Y1406" s="776"/>
      <c r="Z1406" s="776"/>
      <c r="AA1406" s="13"/>
    </row>
    <row r="1407" spans="6:27">
      <c r="F1407" s="776"/>
      <c r="G1407" s="776"/>
      <c r="H1407" s="776"/>
      <c r="I1407" s="776"/>
      <c r="J1407" s="776"/>
      <c r="K1407" s="776"/>
      <c r="L1407" s="776"/>
      <c r="M1407" s="776"/>
      <c r="O1407" s="776"/>
      <c r="P1407" s="776"/>
      <c r="Q1407" s="776"/>
      <c r="R1407" s="776"/>
      <c r="S1407" s="776"/>
      <c r="T1407" s="776"/>
      <c r="U1407" s="776"/>
      <c r="V1407" s="776"/>
      <c r="W1407" s="776"/>
      <c r="X1407" s="776"/>
      <c r="Y1407" s="776"/>
      <c r="Z1407" s="776"/>
      <c r="AA1407" s="13"/>
    </row>
    <row r="1408" spans="6:27">
      <c r="F1408" s="776"/>
      <c r="G1408" s="776"/>
      <c r="H1408" s="776"/>
      <c r="I1408" s="776"/>
      <c r="J1408" s="776"/>
      <c r="K1408" s="776"/>
      <c r="L1408" s="776"/>
      <c r="M1408" s="776"/>
      <c r="O1408" s="776"/>
      <c r="P1408" s="776"/>
      <c r="Q1408" s="776"/>
      <c r="R1408" s="776"/>
      <c r="S1408" s="776"/>
      <c r="T1408" s="776"/>
      <c r="U1408" s="776"/>
      <c r="V1408" s="776"/>
      <c r="W1408" s="776"/>
      <c r="X1408" s="776"/>
      <c r="Y1408" s="776"/>
      <c r="Z1408" s="776"/>
      <c r="AA1408" s="13"/>
    </row>
    <row r="1409" spans="6:27">
      <c r="F1409" s="776"/>
      <c r="G1409" s="776"/>
      <c r="H1409" s="776"/>
      <c r="I1409" s="776"/>
      <c r="J1409" s="776"/>
      <c r="K1409" s="776"/>
      <c r="L1409" s="776"/>
      <c r="M1409" s="776"/>
      <c r="O1409" s="776"/>
      <c r="P1409" s="776"/>
      <c r="Q1409" s="776"/>
      <c r="R1409" s="776"/>
      <c r="S1409" s="776"/>
      <c r="T1409" s="776"/>
      <c r="U1409" s="776"/>
      <c r="V1409" s="776"/>
      <c r="W1409" s="776"/>
      <c r="X1409" s="776"/>
      <c r="Y1409" s="776"/>
      <c r="Z1409" s="776"/>
      <c r="AA1409" s="13"/>
    </row>
    <row r="1410" spans="6:27">
      <c r="F1410" s="776"/>
      <c r="G1410" s="776"/>
      <c r="H1410" s="776"/>
      <c r="I1410" s="776"/>
      <c r="J1410" s="776"/>
      <c r="K1410" s="776"/>
      <c r="L1410" s="776"/>
      <c r="M1410" s="776"/>
      <c r="O1410" s="776"/>
      <c r="P1410" s="776"/>
      <c r="Q1410" s="776"/>
      <c r="R1410" s="776"/>
      <c r="S1410" s="776"/>
      <c r="T1410" s="776"/>
      <c r="U1410" s="776"/>
      <c r="V1410" s="776"/>
      <c r="W1410" s="776"/>
      <c r="X1410" s="776"/>
      <c r="Y1410" s="776"/>
      <c r="Z1410" s="776"/>
      <c r="AA1410" s="13"/>
    </row>
    <row r="1411" spans="6:27">
      <c r="F1411" s="776"/>
      <c r="G1411" s="776"/>
      <c r="H1411" s="776"/>
      <c r="I1411" s="776"/>
      <c r="J1411" s="776"/>
      <c r="K1411" s="776"/>
      <c r="L1411" s="776"/>
      <c r="M1411" s="776"/>
      <c r="O1411" s="776"/>
      <c r="P1411" s="776"/>
      <c r="Q1411" s="776"/>
      <c r="R1411" s="776"/>
      <c r="S1411" s="776"/>
      <c r="T1411" s="776"/>
      <c r="U1411" s="776"/>
      <c r="V1411" s="776"/>
      <c r="W1411" s="776"/>
      <c r="X1411" s="776"/>
      <c r="Y1411" s="776"/>
      <c r="Z1411" s="776"/>
      <c r="AA1411" s="13"/>
    </row>
    <row r="1412" spans="6:27">
      <c r="F1412" s="776"/>
      <c r="G1412" s="776"/>
      <c r="H1412" s="776"/>
      <c r="I1412" s="776"/>
      <c r="J1412" s="776"/>
      <c r="K1412" s="776"/>
      <c r="L1412" s="776"/>
      <c r="M1412" s="776"/>
      <c r="O1412" s="776"/>
      <c r="P1412" s="776"/>
      <c r="Q1412" s="776"/>
      <c r="R1412" s="776"/>
      <c r="S1412" s="776"/>
      <c r="T1412" s="776"/>
      <c r="U1412" s="776"/>
      <c r="V1412" s="776"/>
      <c r="W1412" s="776"/>
      <c r="X1412" s="776"/>
      <c r="Y1412" s="776"/>
      <c r="Z1412" s="776"/>
      <c r="AA1412" s="13"/>
    </row>
    <row r="1413" spans="6:27">
      <c r="F1413" s="776"/>
      <c r="G1413" s="776"/>
      <c r="H1413" s="776"/>
      <c r="I1413" s="776"/>
      <c r="J1413" s="776"/>
      <c r="K1413" s="776"/>
      <c r="L1413" s="776"/>
      <c r="M1413" s="776"/>
      <c r="O1413" s="776"/>
      <c r="P1413" s="776"/>
      <c r="Q1413" s="776"/>
      <c r="R1413" s="776"/>
      <c r="S1413" s="776"/>
      <c r="T1413" s="776"/>
      <c r="U1413" s="776"/>
      <c r="V1413" s="776"/>
      <c r="W1413" s="776"/>
      <c r="X1413" s="776"/>
      <c r="Y1413" s="776"/>
      <c r="Z1413" s="776"/>
      <c r="AA1413" s="13"/>
    </row>
    <row r="1414" spans="6:27">
      <c r="F1414" s="776"/>
      <c r="G1414" s="776"/>
      <c r="H1414" s="776"/>
      <c r="I1414" s="776"/>
      <c r="J1414" s="776"/>
      <c r="K1414" s="776"/>
      <c r="L1414" s="776"/>
      <c r="M1414" s="776"/>
      <c r="O1414" s="776"/>
      <c r="P1414" s="776"/>
      <c r="Q1414" s="776"/>
      <c r="R1414" s="776"/>
      <c r="S1414" s="776"/>
      <c r="T1414" s="776"/>
      <c r="U1414" s="776"/>
      <c r="V1414" s="776"/>
      <c r="W1414" s="776"/>
      <c r="X1414" s="776"/>
      <c r="Y1414" s="776"/>
      <c r="Z1414" s="776"/>
      <c r="AA1414" s="13"/>
    </row>
    <row r="1415" spans="6:27">
      <c r="F1415" s="776"/>
      <c r="G1415" s="776"/>
      <c r="H1415" s="776"/>
      <c r="I1415" s="776"/>
      <c r="J1415" s="776"/>
      <c r="K1415" s="776"/>
      <c r="L1415" s="776"/>
      <c r="M1415" s="776"/>
      <c r="O1415" s="776"/>
      <c r="P1415" s="776"/>
      <c r="Q1415" s="776"/>
      <c r="R1415" s="776"/>
      <c r="S1415" s="776"/>
      <c r="T1415" s="776"/>
      <c r="U1415" s="776"/>
      <c r="V1415" s="776"/>
      <c r="W1415" s="776"/>
      <c r="X1415" s="776"/>
      <c r="Y1415" s="776"/>
      <c r="Z1415" s="776"/>
      <c r="AA1415" s="13"/>
    </row>
    <row r="1416" spans="6:27">
      <c r="F1416" s="776"/>
      <c r="G1416" s="776"/>
      <c r="H1416" s="776"/>
      <c r="I1416" s="776"/>
      <c r="J1416" s="776"/>
      <c r="K1416" s="776"/>
      <c r="L1416" s="776"/>
      <c r="M1416" s="776"/>
      <c r="O1416" s="776"/>
      <c r="P1416" s="776"/>
      <c r="Q1416" s="776"/>
      <c r="R1416" s="776"/>
      <c r="S1416" s="776"/>
      <c r="T1416" s="776"/>
      <c r="U1416" s="776"/>
      <c r="V1416" s="776"/>
      <c r="W1416" s="776"/>
      <c r="X1416" s="776"/>
      <c r="Y1416" s="776"/>
      <c r="Z1416" s="776"/>
      <c r="AA1416" s="13"/>
    </row>
    <row r="1417" spans="6:27">
      <c r="F1417" s="776"/>
      <c r="G1417" s="776"/>
      <c r="H1417" s="776"/>
      <c r="I1417" s="776"/>
      <c r="J1417" s="776"/>
      <c r="K1417" s="776"/>
      <c r="L1417" s="776"/>
      <c r="M1417" s="776"/>
      <c r="O1417" s="776"/>
      <c r="P1417" s="776"/>
      <c r="Q1417" s="776"/>
      <c r="R1417" s="776"/>
      <c r="S1417" s="776"/>
      <c r="T1417" s="776"/>
      <c r="U1417" s="776"/>
      <c r="V1417" s="776"/>
      <c r="W1417" s="776"/>
      <c r="X1417" s="776"/>
      <c r="Y1417" s="776"/>
      <c r="Z1417" s="776"/>
      <c r="AA1417" s="13"/>
    </row>
    <row r="1418" spans="6:27">
      <c r="F1418" s="776"/>
      <c r="G1418" s="776"/>
      <c r="H1418" s="776"/>
      <c r="I1418" s="776"/>
      <c r="J1418" s="776"/>
      <c r="K1418" s="776"/>
      <c r="L1418" s="776"/>
      <c r="M1418" s="776"/>
      <c r="O1418" s="776"/>
      <c r="P1418" s="776"/>
      <c r="Q1418" s="776"/>
      <c r="R1418" s="776"/>
      <c r="S1418" s="776"/>
      <c r="T1418" s="776"/>
      <c r="U1418" s="776"/>
      <c r="V1418" s="776"/>
      <c r="W1418" s="776"/>
      <c r="X1418" s="776"/>
      <c r="Y1418" s="776"/>
      <c r="Z1418" s="776"/>
      <c r="AA1418" s="13"/>
    </row>
    <row r="1419" spans="6:27">
      <c r="F1419" s="776"/>
      <c r="G1419" s="776"/>
      <c r="H1419" s="776"/>
      <c r="I1419" s="776"/>
      <c r="J1419" s="776"/>
      <c r="K1419" s="776"/>
      <c r="L1419" s="776"/>
      <c r="M1419" s="776"/>
      <c r="O1419" s="776"/>
      <c r="P1419" s="776"/>
      <c r="Q1419" s="776"/>
      <c r="R1419" s="776"/>
      <c r="S1419" s="776"/>
      <c r="T1419" s="776"/>
      <c r="U1419" s="776"/>
      <c r="V1419" s="776"/>
      <c r="W1419" s="776"/>
      <c r="X1419" s="776"/>
      <c r="Y1419" s="776"/>
      <c r="Z1419" s="776"/>
      <c r="AA1419" s="13"/>
    </row>
    <row r="1420" spans="6:27">
      <c r="F1420" s="776"/>
      <c r="G1420" s="776"/>
      <c r="H1420" s="776"/>
      <c r="I1420" s="776"/>
      <c r="J1420" s="776"/>
      <c r="K1420" s="776"/>
      <c r="L1420" s="776"/>
      <c r="M1420" s="776"/>
      <c r="O1420" s="776"/>
      <c r="P1420" s="776"/>
      <c r="Q1420" s="776"/>
      <c r="R1420" s="776"/>
      <c r="S1420" s="776"/>
      <c r="T1420" s="776"/>
      <c r="U1420" s="776"/>
      <c r="V1420" s="776"/>
      <c r="W1420" s="776"/>
      <c r="X1420" s="776"/>
      <c r="Y1420" s="776"/>
      <c r="Z1420" s="776"/>
      <c r="AA1420" s="13"/>
    </row>
    <row r="1421" spans="6:27">
      <c r="F1421" s="776"/>
      <c r="G1421" s="776"/>
      <c r="H1421" s="776"/>
      <c r="I1421" s="776"/>
      <c r="J1421" s="776"/>
      <c r="K1421" s="776"/>
      <c r="L1421" s="776"/>
      <c r="M1421" s="776"/>
      <c r="O1421" s="776"/>
      <c r="P1421" s="776"/>
      <c r="Q1421" s="776"/>
      <c r="R1421" s="776"/>
      <c r="S1421" s="776"/>
      <c r="T1421" s="776"/>
      <c r="U1421" s="776"/>
      <c r="V1421" s="776"/>
      <c r="W1421" s="776"/>
      <c r="X1421" s="776"/>
      <c r="Y1421" s="776"/>
      <c r="Z1421" s="776"/>
      <c r="AA1421" s="13"/>
    </row>
    <row r="1422" spans="6:27">
      <c r="F1422" s="776"/>
      <c r="G1422" s="776"/>
      <c r="H1422" s="776"/>
      <c r="I1422" s="776"/>
      <c r="J1422" s="776"/>
      <c r="K1422" s="776"/>
      <c r="L1422" s="776"/>
      <c r="M1422" s="776"/>
      <c r="O1422" s="776"/>
      <c r="P1422" s="776"/>
      <c r="Q1422" s="776"/>
      <c r="R1422" s="776"/>
      <c r="S1422" s="776"/>
      <c r="T1422" s="776"/>
      <c r="U1422" s="776"/>
      <c r="V1422" s="776"/>
      <c r="W1422" s="776"/>
      <c r="X1422" s="776"/>
      <c r="Y1422" s="776"/>
      <c r="Z1422" s="776"/>
      <c r="AA1422" s="13"/>
    </row>
    <row r="1423" spans="6:27">
      <c r="F1423" s="776"/>
      <c r="G1423" s="776"/>
      <c r="H1423" s="776"/>
      <c r="I1423" s="776"/>
      <c r="J1423" s="776"/>
      <c r="K1423" s="776"/>
      <c r="L1423" s="776"/>
      <c r="M1423" s="776"/>
      <c r="O1423" s="776"/>
      <c r="P1423" s="776"/>
      <c r="Q1423" s="776"/>
      <c r="R1423" s="776"/>
      <c r="S1423" s="776"/>
      <c r="T1423" s="776"/>
      <c r="U1423" s="776"/>
      <c r="V1423" s="776"/>
      <c r="W1423" s="776"/>
      <c r="X1423" s="776"/>
      <c r="Y1423" s="776"/>
      <c r="Z1423" s="776"/>
      <c r="AA1423" s="13"/>
    </row>
    <row r="1424" spans="6:27">
      <c r="F1424" s="776"/>
      <c r="G1424" s="776"/>
      <c r="H1424" s="776"/>
      <c r="I1424" s="776"/>
      <c r="J1424" s="776"/>
      <c r="K1424" s="776"/>
      <c r="L1424" s="776"/>
      <c r="M1424" s="776"/>
      <c r="O1424" s="776"/>
      <c r="P1424" s="776"/>
      <c r="Q1424" s="776"/>
      <c r="R1424" s="776"/>
      <c r="S1424" s="776"/>
      <c r="T1424" s="776"/>
      <c r="U1424" s="776"/>
      <c r="V1424" s="776"/>
      <c r="W1424" s="776"/>
      <c r="X1424" s="776"/>
      <c r="Y1424" s="776"/>
      <c r="Z1424" s="776"/>
      <c r="AA1424" s="13"/>
    </row>
    <row r="1425" spans="6:27">
      <c r="F1425" s="776"/>
      <c r="G1425" s="776"/>
      <c r="H1425" s="776"/>
      <c r="I1425" s="776"/>
      <c r="J1425" s="776"/>
      <c r="K1425" s="776"/>
      <c r="L1425" s="776"/>
      <c r="M1425" s="776"/>
      <c r="O1425" s="776"/>
      <c r="P1425" s="776"/>
      <c r="Q1425" s="776"/>
      <c r="R1425" s="776"/>
      <c r="S1425" s="776"/>
      <c r="T1425" s="776"/>
      <c r="U1425" s="776"/>
      <c r="V1425" s="776"/>
      <c r="W1425" s="776"/>
      <c r="X1425" s="776"/>
      <c r="Y1425" s="776"/>
      <c r="Z1425" s="776"/>
      <c r="AA1425" s="13"/>
    </row>
    <row r="1426" spans="6:27">
      <c r="F1426" s="776"/>
      <c r="G1426" s="776"/>
      <c r="H1426" s="776"/>
      <c r="I1426" s="776"/>
      <c r="J1426" s="776"/>
      <c r="K1426" s="776"/>
      <c r="L1426" s="776"/>
      <c r="M1426" s="776"/>
      <c r="O1426" s="776"/>
      <c r="P1426" s="776"/>
      <c r="Q1426" s="776"/>
      <c r="R1426" s="776"/>
      <c r="S1426" s="776"/>
      <c r="T1426" s="776"/>
      <c r="U1426" s="776"/>
      <c r="V1426" s="776"/>
      <c r="W1426" s="776"/>
      <c r="X1426" s="776"/>
      <c r="Y1426" s="776"/>
      <c r="Z1426" s="776"/>
      <c r="AA1426" s="13"/>
    </row>
    <row r="1427" spans="6:27">
      <c r="F1427" s="776"/>
      <c r="G1427" s="776"/>
      <c r="H1427" s="776"/>
      <c r="I1427" s="776"/>
      <c r="J1427" s="776"/>
      <c r="K1427" s="776"/>
      <c r="L1427" s="776"/>
      <c r="M1427" s="776"/>
      <c r="O1427" s="776"/>
      <c r="P1427" s="776"/>
      <c r="Q1427" s="776"/>
      <c r="R1427" s="776"/>
      <c r="S1427" s="776"/>
      <c r="T1427" s="776"/>
      <c r="U1427" s="776"/>
      <c r="V1427" s="776"/>
      <c r="W1427" s="776"/>
      <c r="X1427" s="776"/>
      <c r="Y1427" s="776"/>
      <c r="Z1427" s="776"/>
      <c r="AA1427" s="13"/>
    </row>
    <row r="1428" spans="6:27">
      <c r="F1428" s="776"/>
      <c r="G1428" s="776"/>
      <c r="H1428" s="776"/>
      <c r="I1428" s="776"/>
      <c r="J1428" s="776"/>
      <c r="K1428" s="776"/>
      <c r="L1428" s="776"/>
      <c r="M1428" s="776"/>
      <c r="O1428" s="776"/>
      <c r="P1428" s="776"/>
      <c r="Q1428" s="776"/>
      <c r="R1428" s="776"/>
      <c r="S1428" s="776"/>
      <c r="T1428" s="776"/>
      <c r="U1428" s="776"/>
      <c r="V1428" s="776"/>
      <c r="W1428" s="776"/>
      <c r="X1428" s="776"/>
      <c r="Y1428" s="776"/>
      <c r="Z1428" s="776"/>
      <c r="AA1428" s="13"/>
    </row>
    <row r="1429" spans="6:27">
      <c r="F1429" s="776"/>
      <c r="G1429" s="776"/>
      <c r="H1429" s="776"/>
      <c r="I1429" s="776"/>
      <c r="J1429" s="776"/>
      <c r="K1429" s="776"/>
      <c r="L1429" s="776"/>
      <c r="M1429" s="776"/>
      <c r="O1429" s="776"/>
      <c r="P1429" s="776"/>
      <c r="Q1429" s="776"/>
      <c r="R1429" s="776"/>
      <c r="S1429" s="776"/>
      <c r="T1429" s="776"/>
      <c r="U1429" s="776"/>
      <c r="V1429" s="776"/>
      <c r="W1429" s="776"/>
      <c r="X1429" s="776"/>
      <c r="Y1429" s="776"/>
      <c r="Z1429" s="776"/>
      <c r="AA1429" s="13"/>
    </row>
    <row r="1430" spans="6:27">
      <c r="F1430" s="776"/>
      <c r="G1430" s="776"/>
      <c r="H1430" s="776"/>
      <c r="I1430" s="776"/>
      <c r="J1430" s="776"/>
      <c r="K1430" s="776"/>
      <c r="L1430" s="776"/>
      <c r="M1430" s="776"/>
      <c r="O1430" s="776"/>
      <c r="P1430" s="776"/>
      <c r="Q1430" s="776"/>
      <c r="R1430" s="776"/>
      <c r="S1430" s="776"/>
      <c r="T1430" s="776"/>
      <c r="U1430" s="776"/>
      <c r="V1430" s="776"/>
      <c r="W1430" s="776"/>
      <c r="X1430" s="776"/>
      <c r="Y1430" s="776"/>
      <c r="Z1430" s="776"/>
      <c r="AA1430" s="13"/>
    </row>
    <row r="1431" spans="6:27">
      <c r="F1431" s="776"/>
      <c r="G1431" s="776"/>
      <c r="H1431" s="776"/>
      <c r="I1431" s="776"/>
      <c r="J1431" s="776"/>
      <c r="K1431" s="776"/>
      <c r="L1431" s="776"/>
      <c r="M1431" s="776"/>
      <c r="O1431" s="776"/>
      <c r="P1431" s="776"/>
      <c r="Q1431" s="776"/>
      <c r="R1431" s="776"/>
      <c r="S1431" s="776"/>
      <c r="T1431" s="776"/>
      <c r="U1431" s="776"/>
      <c r="V1431" s="776"/>
      <c r="W1431" s="776"/>
      <c r="X1431" s="776"/>
      <c r="Y1431" s="776"/>
      <c r="Z1431" s="776"/>
      <c r="AA1431" s="13"/>
    </row>
    <row r="1432" spans="6:27">
      <c r="F1432" s="776"/>
      <c r="G1432" s="776"/>
      <c r="H1432" s="776"/>
      <c r="I1432" s="776"/>
      <c r="J1432" s="776"/>
      <c r="K1432" s="776"/>
      <c r="L1432" s="776"/>
      <c r="M1432" s="776"/>
      <c r="O1432" s="776"/>
      <c r="P1432" s="776"/>
      <c r="Q1432" s="776"/>
      <c r="R1432" s="776"/>
      <c r="S1432" s="776"/>
      <c r="T1432" s="776"/>
      <c r="U1432" s="776"/>
      <c r="V1432" s="776"/>
      <c r="W1432" s="776"/>
      <c r="X1432" s="776"/>
      <c r="Y1432" s="776"/>
      <c r="Z1432" s="776"/>
      <c r="AA1432" s="13"/>
    </row>
    <row r="1433" spans="6:27">
      <c r="F1433" s="776"/>
      <c r="G1433" s="776"/>
      <c r="H1433" s="776"/>
      <c r="I1433" s="776"/>
      <c r="J1433" s="776"/>
      <c r="K1433" s="776"/>
      <c r="L1433" s="776"/>
      <c r="M1433" s="776"/>
      <c r="O1433" s="776"/>
      <c r="P1433" s="776"/>
      <c r="Q1433" s="776"/>
      <c r="R1433" s="776"/>
      <c r="S1433" s="776"/>
      <c r="T1433" s="776"/>
      <c r="U1433" s="776"/>
      <c r="V1433" s="776"/>
      <c r="W1433" s="776"/>
      <c r="X1433" s="776"/>
      <c r="Y1433" s="776"/>
      <c r="Z1433" s="776"/>
      <c r="AA1433" s="13"/>
    </row>
    <row r="1434" spans="6:27">
      <c r="F1434" s="776"/>
      <c r="G1434" s="776"/>
      <c r="H1434" s="776"/>
      <c r="I1434" s="776"/>
      <c r="J1434" s="776"/>
      <c r="K1434" s="776"/>
      <c r="L1434" s="776"/>
      <c r="M1434" s="776"/>
      <c r="O1434" s="776"/>
      <c r="P1434" s="776"/>
      <c r="Q1434" s="776"/>
      <c r="R1434" s="776"/>
      <c r="S1434" s="776"/>
      <c r="T1434" s="776"/>
      <c r="U1434" s="776"/>
      <c r="V1434" s="776"/>
      <c r="W1434" s="776"/>
      <c r="X1434" s="776"/>
      <c r="Y1434" s="776"/>
      <c r="Z1434" s="776"/>
      <c r="AA1434" s="13"/>
    </row>
    <row r="1435" spans="6:27">
      <c r="F1435" s="776"/>
      <c r="G1435" s="776"/>
      <c r="H1435" s="776"/>
      <c r="I1435" s="776"/>
      <c r="J1435" s="776"/>
      <c r="K1435" s="776"/>
      <c r="L1435" s="776"/>
      <c r="M1435" s="776"/>
      <c r="O1435" s="776"/>
      <c r="P1435" s="776"/>
      <c r="Q1435" s="776"/>
      <c r="R1435" s="776"/>
      <c r="S1435" s="776"/>
      <c r="T1435" s="776"/>
      <c r="U1435" s="776"/>
      <c r="V1435" s="776"/>
      <c r="W1435" s="776"/>
      <c r="X1435" s="776"/>
      <c r="Y1435" s="776"/>
      <c r="Z1435" s="776"/>
      <c r="AA1435" s="13"/>
    </row>
    <row r="1436" spans="6:27">
      <c r="F1436" s="776"/>
      <c r="G1436" s="776"/>
      <c r="H1436" s="776"/>
      <c r="I1436" s="776"/>
      <c r="J1436" s="776"/>
      <c r="K1436" s="776"/>
      <c r="L1436" s="776"/>
      <c r="M1436" s="776"/>
      <c r="O1436" s="776"/>
      <c r="P1436" s="776"/>
      <c r="Q1436" s="776"/>
      <c r="R1436" s="776"/>
      <c r="S1436" s="776"/>
      <c r="T1436" s="776"/>
      <c r="U1436" s="776"/>
      <c r="V1436" s="776"/>
      <c r="W1436" s="776"/>
      <c r="X1436" s="776"/>
      <c r="Y1436" s="776"/>
      <c r="Z1436" s="776"/>
      <c r="AA1436" s="13"/>
    </row>
    <row r="1437" spans="6:27">
      <c r="F1437" s="776"/>
      <c r="G1437" s="776"/>
      <c r="H1437" s="776"/>
      <c r="I1437" s="776"/>
      <c r="J1437" s="776"/>
      <c r="K1437" s="776"/>
      <c r="L1437" s="776"/>
      <c r="M1437" s="776"/>
      <c r="O1437" s="776"/>
      <c r="P1437" s="776"/>
      <c r="Q1437" s="776"/>
      <c r="R1437" s="776"/>
      <c r="S1437" s="776"/>
      <c r="T1437" s="776"/>
      <c r="U1437" s="776"/>
      <c r="V1437" s="776"/>
      <c r="W1437" s="776"/>
      <c r="X1437" s="776"/>
      <c r="Y1437" s="776"/>
      <c r="Z1437" s="776"/>
      <c r="AA1437" s="13"/>
    </row>
    <row r="1438" spans="6:27">
      <c r="F1438" s="776"/>
      <c r="G1438" s="776"/>
      <c r="H1438" s="776"/>
      <c r="I1438" s="776"/>
      <c r="J1438" s="776"/>
      <c r="K1438" s="776"/>
      <c r="L1438" s="776"/>
      <c r="M1438" s="776"/>
      <c r="O1438" s="776"/>
      <c r="P1438" s="776"/>
      <c r="Q1438" s="776"/>
      <c r="R1438" s="776"/>
      <c r="S1438" s="776"/>
      <c r="T1438" s="776"/>
      <c r="U1438" s="776"/>
      <c r="V1438" s="776"/>
      <c r="W1438" s="776"/>
      <c r="X1438" s="776"/>
      <c r="Y1438" s="776"/>
      <c r="Z1438" s="776"/>
      <c r="AA1438" s="13"/>
    </row>
    <row r="1439" spans="6:27">
      <c r="F1439" s="776"/>
      <c r="G1439" s="776"/>
      <c r="H1439" s="776"/>
      <c r="I1439" s="776"/>
      <c r="J1439" s="776"/>
      <c r="K1439" s="776"/>
      <c r="L1439" s="776"/>
      <c r="M1439" s="776"/>
      <c r="O1439" s="776"/>
      <c r="P1439" s="776"/>
      <c r="Q1439" s="776"/>
      <c r="R1439" s="776"/>
      <c r="S1439" s="776"/>
      <c r="T1439" s="776"/>
      <c r="U1439" s="776"/>
      <c r="V1439" s="776"/>
      <c r="W1439" s="776"/>
      <c r="X1439" s="776"/>
      <c r="Y1439" s="776"/>
      <c r="Z1439" s="776"/>
      <c r="AA1439" s="13"/>
    </row>
    <row r="1440" spans="6:27">
      <c r="F1440" s="776"/>
      <c r="G1440" s="776"/>
      <c r="H1440" s="776"/>
      <c r="I1440" s="776"/>
      <c r="J1440" s="776"/>
      <c r="K1440" s="776"/>
      <c r="L1440" s="776"/>
      <c r="M1440" s="776"/>
      <c r="O1440" s="776"/>
      <c r="P1440" s="776"/>
      <c r="Q1440" s="776"/>
      <c r="R1440" s="776"/>
      <c r="S1440" s="776"/>
      <c r="T1440" s="776"/>
      <c r="U1440" s="776"/>
      <c r="V1440" s="776"/>
      <c r="W1440" s="776"/>
      <c r="X1440" s="776"/>
      <c r="Y1440" s="776"/>
      <c r="Z1440" s="776"/>
      <c r="AA1440" s="13"/>
    </row>
    <row r="1441" spans="6:27">
      <c r="F1441" s="776"/>
      <c r="G1441" s="776"/>
      <c r="H1441" s="776"/>
      <c r="I1441" s="776"/>
      <c r="J1441" s="776"/>
      <c r="K1441" s="776"/>
      <c r="L1441" s="776"/>
      <c r="M1441" s="776"/>
      <c r="O1441" s="776"/>
      <c r="P1441" s="776"/>
      <c r="Q1441" s="776"/>
      <c r="R1441" s="776"/>
      <c r="S1441" s="776"/>
      <c r="T1441" s="776"/>
      <c r="U1441" s="776"/>
      <c r="V1441" s="776"/>
      <c r="W1441" s="776"/>
      <c r="X1441" s="776"/>
      <c r="Y1441" s="776"/>
      <c r="Z1441" s="776"/>
      <c r="AA1441" s="13"/>
    </row>
    <row r="1442" spans="6:27">
      <c r="F1442" s="776"/>
      <c r="G1442" s="776"/>
      <c r="H1442" s="776"/>
      <c r="I1442" s="776"/>
      <c r="J1442" s="776"/>
      <c r="K1442" s="776"/>
      <c r="L1442" s="776"/>
      <c r="M1442" s="776"/>
      <c r="O1442" s="776"/>
      <c r="P1442" s="776"/>
      <c r="Q1442" s="776"/>
      <c r="R1442" s="776"/>
      <c r="S1442" s="776"/>
      <c r="T1442" s="776"/>
      <c r="U1442" s="776"/>
      <c r="V1442" s="776"/>
      <c r="W1442" s="776"/>
      <c r="X1442" s="776"/>
      <c r="Y1442" s="776"/>
      <c r="Z1442" s="776"/>
      <c r="AA1442" s="13"/>
    </row>
    <row r="1443" spans="6:27">
      <c r="F1443" s="776"/>
      <c r="G1443" s="776"/>
      <c r="H1443" s="776"/>
      <c r="I1443" s="776"/>
      <c r="J1443" s="776"/>
      <c r="K1443" s="776"/>
      <c r="L1443" s="776"/>
      <c r="M1443" s="776"/>
      <c r="O1443" s="776"/>
      <c r="P1443" s="776"/>
      <c r="Q1443" s="776"/>
      <c r="R1443" s="776"/>
      <c r="S1443" s="776"/>
      <c r="T1443" s="776"/>
      <c r="U1443" s="776"/>
      <c r="V1443" s="776"/>
      <c r="W1443" s="776"/>
      <c r="X1443" s="776"/>
      <c r="Y1443" s="776"/>
      <c r="Z1443" s="776"/>
      <c r="AA1443" s="13"/>
    </row>
    <row r="1444" spans="6:27">
      <c r="F1444" s="776"/>
      <c r="G1444" s="776"/>
      <c r="H1444" s="776"/>
      <c r="I1444" s="776"/>
      <c r="J1444" s="776"/>
      <c r="K1444" s="776"/>
      <c r="L1444" s="776"/>
      <c r="M1444" s="776"/>
      <c r="O1444" s="776"/>
      <c r="P1444" s="776"/>
      <c r="Q1444" s="776"/>
      <c r="R1444" s="776"/>
      <c r="S1444" s="776"/>
      <c r="T1444" s="776"/>
      <c r="U1444" s="776"/>
      <c r="V1444" s="776"/>
      <c r="W1444" s="776"/>
      <c r="X1444" s="776"/>
      <c r="Y1444" s="776"/>
      <c r="Z1444" s="776"/>
      <c r="AA1444" s="13"/>
    </row>
    <row r="1445" spans="6:27">
      <c r="F1445" s="776"/>
      <c r="G1445" s="776"/>
      <c r="H1445" s="776"/>
      <c r="I1445" s="776"/>
      <c r="J1445" s="776"/>
      <c r="K1445" s="776"/>
      <c r="L1445" s="776"/>
      <c r="M1445" s="776"/>
      <c r="O1445" s="776"/>
      <c r="P1445" s="776"/>
      <c r="Q1445" s="776"/>
      <c r="R1445" s="776"/>
      <c r="S1445" s="776"/>
      <c r="T1445" s="776"/>
      <c r="U1445" s="776"/>
      <c r="V1445" s="776"/>
      <c r="W1445" s="776"/>
      <c r="X1445" s="776"/>
      <c r="Y1445" s="776"/>
      <c r="Z1445" s="776"/>
      <c r="AA1445" s="13"/>
    </row>
    <row r="1446" spans="6:27">
      <c r="F1446" s="776"/>
      <c r="G1446" s="776"/>
      <c r="H1446" s="776"/>
      <c r="I1446" s="776"/>
      <c r="J1446" s="776"/>
      <c r="K1446" s="776"/>
      <c r="L1446" s="776"/>
      <c r="M1446" s="776"/>
      <c r="O1446" s="776"/>
      <c r="P1446" s="776"/>
      <c r="Q1446" s="776"/>
      <c r="R1446" s="776"/>
      <c r="S1446" s="776"/>
      <c r="T1446" s="776"/>
      <c r="U1446" s="776"/>
      <c r="V1446" s="776"/>
      <c r="W1446" s="776"/>
      <c r="X1446" s="776"/>
      <c r="Y1446" s="776"/>
      <c r="Z1446" s="776"/>
      <c r="AA1446" s="13"/>
    </row>
    <row r="1447" spans="6:27">
      <c r="F1447" s="776"/>
      <c r="G1447" s="776"/>
      <c r="H1447" s="776"/>
      <c r="I1447" s="776"/>
      <c r="J1447" s="776"/>
      <c r="K1447" s="776"/>
      <c r="L1447" s="776"/>
      <c r="M1447" s="776"/>
      <c r="O1447" s="776"/>
      <c r="P1447" s="776"/>
      <c r="Q1447" s="776"/>
      <c r="R1447" s="776"/>
      <c r="S1447" s="776"/>
      <c r="T1447" s="776"/>
      <c r="U1447" s="776"/>
      <c r="V1447" s="776"/>
      <c r="W1447" s="776"/>
      <c r="X1447" s="776"/>
      <c r="Y1447" s="776"/>
      <c r="Z1447" s="776"/>
      <c r="AA1447" s="13"/>
    </row>
    <row r="1448" spans="6:27">
      <c r="F1448" s="776"/>
      <c r="G1448" s="776"/>
      <c r="H1448" s="776"/>
      <c r="I1448" s="776"/>
      <c r="J1448" s="776"/>
      <c r="K1448" s="776"/>
      <c r="L1448" s="776"/>
      <c r="M1448" s="776"/>
      <c r="O1448" s="776"/>
      <c r="P1448" s="776"/>
      <c r="Q1448" s="776"/>
      <c r="R1448" s="776"/>
      <c r="S1448" s="776"/>
      <c r="T1448" s="776"/>
      <c r="U1448" s="776"/>
      <c r="V1448" s="776"/>
      <c r="W1448" s="776"/>
      <c r="X1448" s="776"/>
      <c r="Y1448" s="776"/>
      <c r="Z1448" s="776"/>
      <c r="AA1448" s="13"/>
    </row>
    <row r="1449" spans="6:27">
      <c r="F1449" s="776"/>
      <c r="G1449" s="776"/>
      <c r="H1449" s="776"/>
      <c r="I1449" s="776"/>
      <c r="J1449" s="776"/>
      <c r="K1449" s="776"/>
      <c r="L1449" s="776"/>
      <c r="M1449" s="776"/>
      <c r="O1449" s="776"/>
      <c r="P1449" s="776"/>
      <c r="Q1449" s="776"/>
      <c r="R1449" s="776"/>
      <c r="S1449" s="776"/>
      <c r="T1449" s="776"/>
      <c r="U1449" s="776"/>
      <c r="V1449" s="776"/>
      <c r="W1449" s="776"/>
      <c r="X1449" s="776"/>
      <c r="Y1449" s="776"/>
      <c r="Z1449" s="776"/>
      <c r="AA1449" s="13"/>
    </row>
    <row r="1450" spans="6:27">
      <c r="F1450" s="776"/>
      <c r="G1450" s="776"/>
      <c r="H1450" s="776"/>
      <c r="I1450" s="776"/>
      <c r="J1450" s="776"/>
      <c r="K1450" s="776"/>
      <c r="L1450" s="776"/>
      <c r="M1450" s="776"/>
      <c r="O1450" s="776"/>
      <c r="P1450" s="776"/>
      <c r="Q1450" s="776"/>
      <c r="R1450" s="776"/>
      <c r="S1450" s="776"/>
      <c r="T1450" s="776"/>
      <c r="U1450" s="776"/>
      <c r="V1450" s="776"/>
      <c r="W1450" s="776"/>
      <c r="X1450" s="776"/>
      <c r="Y1450" s="776"/>
      <c r="Z1450" s="776"/>
      <c r="AA1450" s="13"/>
    </row>
    <row r="1451" spans="6:27">
      <c r="F1451" s="776"/>
      <c r="G1451" s="776"/>
      <c r="H1451" s="776"/>
      <c r="I1451" s="776"/>
      <c r="J1451" s="776"/>
      <c r="K1451" s="776"/>
      <c r="L1451" s="776"/>
      <c r="M1451" s="776"/>
      <c r="O1451" s="776"/>
      <c r="P1451" s="776"/>
      <c r="Q1451" s="776"/>
      <c r="R1451" s="776"/>
      <c r="S1451" s="776"/>
      <c r="T1451" s="776"/>
      <c r="U1451" s="776"/>
      <c r="V1451" s="776"/>
      <c r="W1451" s="776"/>
      <c r="X1451" s="776"/>
      <c r="Y1451" s="776"/>
      <c r="Z1451" s="776"/>
      <c r="AA1451" s="13"/>
    </row>
    <row r="1452" spans="6:27">
      <c r="F1452" s="776"/>
      <c r="G1452" s="776"/>
      <c r="H1452" s="776"/>
      <c r="I1452" s="776"/>
      <c r="J1452" s="776"/>
      <c r="K1452" s="776"/>
      <c r="L1452" s="776"/>
      <c r="M1452" s="776"/>
      <c r="O1452" s="776"/>
      <c r="P1452" s="776"/>
      <c r="Q1452" s="776"/>
      <c r="R1452" s="776"/>
      <c r="S1452" s="776"/>
      <c r="T1452" s="776"/>
      <c r="U1452" s="776"/>
      <c r="V1452" s="776"/>
      <c r="W1452" s="776"/>
      <c r="X1452" s="776"/>
      <c r="Y1452" s="776"/>
      <c r="Z1452" s="776"/>
      <c r="AA1452" s="13"/>
    </row>
    <row r="1453" spans="6:27">
      <c r="F1453" s="776"/>
      <c r="G1453" s="776"/>
      <c r="H1453" s="776"/>
      <c r="I1453" s="776"/>
      <c r="J1453" s="776"/>
      <c r="K1453" s="776"/>
      <c r="L1453" s="776"/>
      <c r="M1453" s="776"/>
      <c r="O1453" s="776"/>
      <c r="P1453" s="776"/>
      <c r="Q1453" s="776"/>
      <c r="R1453" s="776"/>
      <c r="S1453" s="776"/>
      <c r="T1453" s="776"/>
      <c r="U1453" s="776"/>
      <c r="V1453" s="776"/>
      <c r="W1453" s="776"/>
      <c r="X1453" s="776"/>
      <c r="Y1453" s="776"/>
      <c r="Z1453" s="776"/>
      <c r="AA1453" s="13"/>
    </row>
  </sheetData>
  <customSheetViews>
    <customSheetView guid="{5826E3E6-173D-429F-ABE1-D868EE9E034B}" scale="95" fitToPage="1" hiddenColumns="1" topLeftCell="J31">
      <selection activeCell="R18" sqref="R18"/>
      <pageMargins left="0" right="0" top="0" bottom="0" header="0" footer="0"/>
      <pageSetup paperSize="9" scale="80" orientation="landscape" r:id="rId1"/>
      <headerFooter alignWithMargins="0"/>
    </customSheetView>
  </customSheetViews>
  <mergeCells count="50">
    <mergeCell ref="E125:H125"/>
    <mergeCell ref="E200:H200"/>
    <mergeCell ref="W479:AA479"/>
    <mergeCell ref="W505:AA505"/>
    <mergeCell ref="V88:AA88"/>
    <mergeCell ref="A463:F463"/>
    <mergeCell ref="I459:K459"/>
    <mergeCell ref="L459:N459"/>
    <mergeCell ref="R436:Z436"/>
    <mergeCell ref="W459:AA459"/>
    <mergeCell ref="E459:H459"/>
    <mergeCell ref="W340:AA340"/>
    <mergeCell ref="W391:AA391"/>
    <mergeCell ref="L478:N478"/>
    <mergeCell ref="L340:N340"/>
    <mergeCell ref="W200:AA200"/>
    <mergeCell ref="W250:AA250"/>
    <mergeCell ref="A4:D4"/>
    <mergeCell ref="W1:AA1"/>
    <mergeCell ref="W46:AA46"/>
    <mergeCell ref="W125:AA125"/>
    <mergeCell ref="F24:I24"/>
    <mergeCell ref="L46:N46"/>
    <mergeCell ref="I46:K46"/>
    <mergeCell ref="I125:K125"/>
    <mergeCell ref="I200:K200"/>
    <mergeCell ref="L200:N200"/>
    <mergeCell ref="L250:N250"/>
    <mergeCell ref="E1:H1"/>
    <mergeCell ref="E46:H46"/>
    <mergeCell ref="E88:H88"/>
    <mergeCell ref="B248:D248"/>
    <mergeCell ref="W293:AA293"/>
    <mergeCell ref="A251:E251"/>
    <mergeCell ref="A253:D253"/>
    <mergeCell ref="A294:E294"/>
    <mergeCell ref="L293:N293"/>
    <mergeCell ref="E250:H250"/>
    <mergeCell ref="E293:H293"/>
    <mergeCell ref="A479:D479"/>
    <mergeCell ref="E479:F479"/>
    <mergeCell ref="E505:H505"/>
    <mergeCell ref="E391:H391"/>
    <mergeCell ref="A296:D296"/>
    <mergeCell ref="V337:AA337"/>
    <mergeCell ref="V339:AA339"/>
    <mergeCell ref="A343:D343"/>
    <mergeCell ref="A341:E341"/>
    <mergeCell ref="I340:K340"/>
    <mergeCell ref="E340:H340"/>
  </mergeCells>
  <phoneticPr fontId="2" type="noConversion"/>
  <printOptions horizontalCentered="1" headings="1" gridLines="1"/>
  <pageMargins left="0.25" right="0.25" top="0.75" bottom="0.50749999999999995" header="0.3" footer="0.3"/>
  <pageSetup paperSize="9" scale="56" fitToHeight="0" orientation="landscape" cellComments="atEnd" r:id="rId2"/>
  <headerFooter>
    <oddFooter>&amp;L&amp;P&amp;C
&amp;RIreland, Wallace &amp; Associates Limited</oddFooter>
  </headerFooter>
  <rowBreaks count="12" manualBreakCount="12">
    <brk id="45" max="27" man="1"/>
    <brk id="87" max="27" man="1"/>
    <brk id="124" max="27" man="1"/>
    <brk id="175" max="27" man="1"/>
    <brk id="199" max="27" man="1"/>
    <brk id="249" max="27" man="1"/>
    <brk id="292" max="27" man="1"/>
    <brk id="339" max="27" man="1"/>
    <brk id="390" max="27" man="1"/>
    <brk id="417" max="27" man="1"/>
    <brk id="458" max="27" man="1"/>
    <brk id="504" max="27" man="1"/>
  </rowBreaks>
  <ignoredErrors>
    <ignoredError sqref="F36:AB36 P272 AA476" formula="1"/>
    <ignoredError sqref="U9:AA9 N265 R265 V265:X265 AA265 S9 N327:Z327"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417A8-8FA5-48E8-BE2E-DA4C9EC972C5}">
  <sheetPr>
    <pageSetUpPr fitToPage="1"/>
  </sheetPr>
  <dimension ref="A1:AF122"/>
  <sheetViews>
    <sheetView zoomScaleNormal="100" workbookViewId="0">
      <selection activeCell="B110" sqref="B110"/>
    </sheetView>
  </sheetViews>
  <sheetFormatPr defaultRowHeight="12.75"/>
  <cols>
    <col min="1" max="1" width="7.140625" customWidth="1"/>
    <col min="2" max="2" width="12.42578125" customWidth="1"/>
    <col min="4" max="4" width="10.7109375" customWidth="1"/>
    <col min="28" max="28" width="11" customWidth="1"/>
    <col min="29" max="29" width="15" customWidth="1"/>
    <col min="30" max="30" width="8" customWidth="1"/>
  </cols>
  <sheetData>
    <row r="1" spans="1:32" ht="18">
      <c r="A1" s="904" t="s">
        <v>14</v>
      </c>
      <c r="B1" s="904"/>
      <c r="C1" s="904"/>
      <c r="D1" s="904"/>
      <c r="E1" s="1439" t="s">
        <v>1407</v>
      </c>
      <c r="F1" s="1440"/>
      <c r="G1" s="1440"/>
      <c r="H1" s="1440"/>
      <c r="I1" s="38"/>
      <c r="J1" s="1337"/>
      <c r="K1" s="1337"/>
      <c r="L1" s="1337"/>
      <c r="M1" s="1338"/>
      <c r="N1" s="1339"/>
      <c r="O1" s="916"/>
      <c r="P1" s="1220"/>
      <c r="Q1" s="1168"/>
      <c r="R1" s="1168"/>
      <c r="S1" s="1393"/>
      <c r="T1" s="1393"/>
      <c r="U1" s="1393"/>
      <c r="V1" s="38"/>
      <c r="W1" s="1469" t="s">
        <v>1448</v>
      </c>
      <c r="X1" s="1469"/>
      <c r="Y1" s="1469"/>
      <c r="Z1" s="1469"/>
      <c r="AA1" s="1470"/>
      <c r="AB1" s="1381">
        <v>7</v>
      </c>
      <c r="AC1" s="1399"/>
      <c r="AD1" s="1400"/>
    </row>
    <row r="2" spans="1:32" ht="15">
      <c r="A2" s="1394"/>
      <c r="B2" s="1394"/>
      <c r="C2" s="1394"/>
      <c r="D2" s="1394"/>
      <c r="E2" s="1468" t="s">
        <v>1453</v>
      </c>
      <c r="F2" s="1468"/>
      <c r="G2" s="1468"/>
      <c r="H2" s="1468"/>
      <c r="I2" s="19"/>
      <c r="J2" s="19"/>
      <c r="K2" s="19"/>
      <c r="L2" s="19"/>
      <c r="M2" s="1395"/>
      <c r="N2" s="1395"/>
      <c r="O2" s="1396"/>
      <c r="P2" s="1397"/>
      <c r="Q2" s="19"/>
      <c r="R2" s="19"/>
      <c r="S2" s="19"/>
      <c r="T2" s="19"/>
      <c r="U2" s="19"/>
      <c r="V2" s="19"/>
      <c r="W2" s="19"/>
      <c r="X2" s="19"/>
      <c r="Y2" s="19"/>
      <c r="Z2" s="19"/>
      <c r="AA2" s="19"/>
      <c r="AB2" s="19"/>
      <c r="AC2" s="19"/>
      <c r="AD2" s="19"/>
      <c r="AE2" s="19"/>
    </row>
    <row r="3" spans="1:32" ht="15">
      <c r="A3" s="1394"/>
      <c r="B3" s="1394"/>
      <c r="C3" s="1394"/>
      <c r="D3" s="1394"/>
      <c r="E3" s="1398"/>
      <c r="F3" s="1398"/>
      <c r="G3" s="1398"/>
      <c r="H3" s="1398"/>
      <c r="I3" s="19"/>
      <c r="J3" s="19"/>
      <c r="K3" s="19"/>
      <c r="L3" s="19"/>
      <c r="M3" s="1395"/>
      <c r="N3" s="1395"/>
      <c r="O3" s="1396"/>
      <c r="P3" s="1397"/>
      <c r="Q3" s="19"/>
      <c r="R3" s="19"/>
      <c r="S3" s="19"/>
      <c r="T3" s="19"/>
      <c r="U3" s="19"/>
      <c r="V3" s="19"/>
      <c r="W3" s="19"/>
      <c r="X3" s="19"/>
      <c r="Y3" s="19"/>
      <c r="Z3" s="19"/>
      <c r="AA3" s="19"/>
      <c r="AB3" s="19"/>
      <c r="AC3" s="19"/>
      <c r="AD3" s="19"/>
      <c r="AE3" s="19"/>
    </row>
    <row r="4" spans="1:32" ht="15">
      <c r="A4" s="1384" t="s">
        <v>1345</v>
      </c>
      <c r="B4" s="19"/>
      <c r="C4" s="1385" t="s">
        <v>1396</v>
      </c>
      <c r="D4" s="1385"/>
      <c r="E4" s="1385"/>
      <c r="F4" s="1385"/>
      <c r="G4" s="1385"/>
      <c r="H4" s="1385"/>
      <c r="I4" s="1385"/>
      <c r="J4" s="1385"/>
      <c r="K4" s="1385"/>
      <c r="L4" s="1385"/>
      <c r="M4" s="1385"/>
      <c r="N4" s="1385"/>
      <c r="O4" s="1385"/>
      <c r="P4" s="1385"/>
      <c r="Q4" s="1385"/>
      <c r="R4" s="1385"/>
      <c r="S4" s="1385"/>
      <c r="T4" s="1385"/>
      <c r="U4" s="1385"/>
      <c r="V4" s="1385"/>
      <c r="W4" s="19"/>
      <c r="X4" s="19"/>
      <c r="Y4" s="19"/>
      <c r="Z4" s="19"/>
      <c r="AA4" s="19"/>
      <c r="AB4" s="19"/>
      <c r="AC4" s="19"/>
      <c r="AD4" s="19"/>
      <c r="AE4" s="19"/>
      <c r="AF4" s="967"/>
    </row>
    <row r="5" spans="1:32" ht="15">
      <c r="A5" s="1384"/>
      <c r="B5" s="19"/>
      <c r="C5" s="1385" t="s">
        <v>1352</v>
      </c>
      <c r="D5" s="1385"/>
      <c r="E5" s="1385"/>
      <c r="F5" s="1385"/>
      <c r="G5" s="1385"/>
      <c r="H5" s="1385"/>
      <c r="I5" s="1385"/>
      <c r="J5" s="1385"/>
      <c r="K5" s="1385"/>
      <c r="L5" s="1385"/>
      <c r="M5" s="1385"/>
      <c r="N5" s="1385"/>
      <c r="O5" s="1385"/>
      <c r="P5" s="1385"/>
      <c r="Q5" s="1385"/>
      <c r="R5" s="1385"/>
      <c r="S5" s="1385"/>
      <c r="T5" s="1385"/>
      <c r="U5" s="1385"/>
      <c r="V5" s="1385"/>
      <c r="W5" s="19"/>
      <c r="X5" s="19"/>
      <c r="Y5" s="19"/>
      <c r="Z5" s="19"/>
      <c r="AA5" s="19"/>
      <c r="AB5" s="19"/>
      <c r="AC5" s="19"/>
      <c r="AD5" s="19"/>
      <c r="AE5" s="19"/>
      <c r="AF5" s="967"/>
    </row>
    <row r="6" spans="1:32" ht="15">
      <c r="A6" s="1384"/>
      <c r="B6" s="19"/>
      <c r="C6" s="1385" t="s">
        <v>1353</v>
      </c>
      <c r="D6" s="1385"/>
      <c r="E6" s="1385"/>
      <c r="F6" s="1385"/>
      <c r="G6" s="1385"/>
      <c r="H6" s="1385"/>
      <c r="I6" s="1385"/>
      <c r="J6" s="1385"/>
      <c r="K6" s="1385"/>
      <c r="L6" s="1385"/>
      <c r="M6" s="1385"/>
      <c r="N6" s="1385"/>
      <c r="O6" s="1385"/>
      <c r="P6" s="1385"/>
      <c r="Q6" s="1385"/>
      <c r="R6" s="1385"/>
      <c r="S6" s="1385"/>
      <c r="T6" s="1385"/>
      <c r="U6" s="1385"/>
      <c r="V6" s="1385"/>
      <c r="W6" s="19"/>
      <c r="X6" s="19"/>
      <c r="Y6" s="19"/>
      <c r="Z6" s="19"/>
      <c r="AA6" s="19"/>
      <c r="AB6" s="19"/>
      <c r="AC6" s="19"/>
      <c r="AD6" s="19"/>
      <c r="AE6" s="19"/>
      <c r="AF6" s="967"/>
    </row>
    <row r="7" spans="1:32" ht="15">
      <c r="A7" s="1384"/>
      <c r="B7" s="19"/>
      <c r="C7" s="1385" t="s">
        <v>1459</v>
      </c>
      <c r="D7" s="1385"/>
      <c r="E7" s="1385"/>
      <c r="F7" s="1385"/>
      <c r="G7" s="1385"/>
      <c r="H7" s="1385"/>
      <c r="I7" s="1385"/>
      <c r="J7" s="1385"/>
      <c r="K7" s="1385"/>
      <c r="L7" s="1385"/>
      <c r="M7" s="1385"/>
      <c r="N7" s="1385"/>
      <c r="O7" s="1385"/>
      <c r="P7" s="1385"/>
      <c r="Q7" s="1385"/>
      <c r="R7" s="1385"/>
      <c r="S7" s="1385"/>
      <c r="T7" s="1385"/>
      <c r="U7" s="1385"/>
      <c r="V7" s="1385"/>
      <c r="W7" s="19"/>
      <c r="X7" s="19"/>
      <c r="Y7" s="19"/>
      <c r="Z7" s="19"/>
      <c r="AA7" s="19"/>
      <c r="AB7" s="19"/>
      <c r="AC7" s="19"/>
      <c r="AD7" s="19"/>
      <c r="AE7" s="19"/>
      <c r="AF7" s="967"/>
    </row>
    <row r="8" spans="1:32" ht="15">
      <c r="A8" s="1384"/>
      <c r="B8" s="19"/>
      <c r="C8" s="1385" t="s">
        <v>1460</v>
      </c>
      <c r="D8" s="1385"/>
      <c r="E8" s="1385"/>
      <c r="F8" s="1385"/>
      <c r="G8" s="1385"/>
      <c r="H8" s="1385"/>
      <c r="I8" s="1385"/>
      <c r="J8" s="1385"/>
      <c r="K8" s="1385"/>
      <c r="L8" s="1385"/>
      <c r="M8" s="1385"/>
      <c r="N8" s="1385"/>
      <c r="O8" s="1385"/>
      <c r="P8" s="1385"/>
      <c r="Q8" s="1385"/>
      <c r="R8" s="1385"/>
      <c r="S8" s="1385"/>
      <c r="T8" s="1385"/>
      <c r="U8" s="1385"/>
      <c r="V8" s="1385"/>
      <c r="W8" s="19"/>
      <c r="X8" s="19"/>
      <c r="Y8" s="19"/>
      <c r="Z8" s="19"/>
      <c r="AA8" s="19"/>
      <c r="AB8" s="19"/>
      <c r="AC8" s="19"/>
      <c r="AD8" s="19"/>
      <c r="AE8" s="19"/>
      <c r="AF8" s="967"/>
    </row>
    <row r="9" spans="1:32" ht="15">
      <c r="A9" s="1384"/>
      <c r="B9" s="1385"/>
      <c r="C9" s="1385"/>
      <c r="D9" s="1385"/>
      <c r="E9" s="1385"/>
      <c r="F9" s="1385"/>
      <c r="G9" s="1385"/>
      <c r="H9" s="1385"/>
      <c r="I9" s="1385"/>
      <c r="J9" s="1385"/>
      <c r="K9" s="1385"/>
      <c r="L9" s="1385"/>
      <c r="M9" s="1385"/>
      <c r="N9" s="1385"/>
      <c r="O9" s="1385"/>
      <c r="P9" s="1385"/>
      <c r="Q9" s="1385"/>
      <c r="R9" s="1385"/>
      <c r="S9" s="1385"/>
      <c r="T9" s="1385"/>
      <c r="U9" s="1385"/>
      <c r="V9" s="1385"/>
      <c r="W9" s="19"/>
      <c r="X9" s="19"/>
      <c r="Y9" s="19"/>
      <c r="Z9" s="19"/>
      <c r="AA9" s="19"/>
      <c r="AB9" s="19"/>
      <c r="AC9" s="19"/>
      <c r="AD9" s="19"/>
      <c r="AE9" s="19"/>
      <c r="AF9" s="967"/>
    </row>
    <row r="10" spans="1:32" ht="15">
      <c r="A10" s="1386" t="s">
        <v>1347</v>
      </c>
      <c r="B10" s="1387"/>
      <c r="C10" s="1387"/>
      <c r="D10" s="1387"/>
      <c r="E10" s="1387"/>
      <c r="F10" s="1387"/>
      <c r="G10" s="1387"/>
      <c r="H10" s="1387"/>
      <c r="I10" s="1387"/>
      <c r="J10" s="1351"/>
      <c r="K10" s="1387"/>
      <c r="L10" s="1387"/>
      <c r="M10" s="1387"/>
      <c r="N10" s="1387"/>
      <c r="O10" s="1387"/>
      <c r="P10" s="1387"/>
      <c r="Q10" s="1387"/>
      <c r="R10" s="1387"/>
      <c r="S10" s="1387"/>
      <c r="T10" s="1387"/>
      <c r="U10" s="1387"/>
      <c r="V10" s="1387"/>
      <c r="W10" s="1351"/>
      <c r="X10" s="1351"/>
      <c r="Y10" s="1351"/>
      <c r="Z10" s="1351"/>
      <c r="AA10" s="1351"/>
      <c r="AB10" s="1351"/>
      <c r="AC10" s="1351"/>
      <c r="AD10" s="1351"/>
      <c r="AE10" s="19"/>
      <c r="AF10" s="967"/>
    </row>
    <row r="11" spans="1:32" ht="15">
      <c r="A11" s="19" t="s">
        <v>1346</v>
      </c>
      <c r="B11" s="1385"/>
      <c r="C11" s="1385"/>
      <c r="D11" s="1385"/>
      <c r="E11" s="1385"/>
      <c r="F11" s="1385"/>
      <c r="G11" s="1385"/>
      <c r="H11" s="1385"/>
      <c r="I11" s="1385"/>
      <c r="J11" s="19"/>
      <c r="K11" s="1385"/>
      <c r="L11" s="1385"/>
      <c r="M11" s="1385"/>
      <c r="N11" s="1385"/>
      <c r="O11" s="1385"/>
      <c r="P11" s="1385"/>
      <c r="Q11" s="1385"/>
      <c r="R11" s="1385"/>
      <c r="S11" s="1385"/>
      <c r="T11" s="1385"/>
      <c r="U11" s="1385"/>
      <c r="V11" s="1385"/>
      <c r="W11" s="19"/>
      <c r="X11" s="19"/>
      <c r="Y11" s="19"/>
      <c r="Z11" s="19"/>
      <c r="AA11" s="19"/>
      <c r="AB11" s="19"/>
      <c r="AC11" s="19"/>
      <c r="AD11" s="19"/>
      <c r="AE11" s="19"/>
      <c r="AF11" s="967"/>
    </row>
    <row r="12" spans="1:32" ht="15.75">
      <c r="A12" s="1360"/>
      <c r="B12" s="1385"/>
      <c r="C12" s="1385"/>
      <c r="D12" s="1385"/>
      <c r="E12" s="1385"/>
      <c r="F12" s="1385"/>
      <c r="G12" s="1385"/>
      <c r="H12" s="1385"/>
      <c r="I12" s="1385"/>
      <c r="J12" s="1385"/>
      <c r="K12" s="1385"/>
      <c r="L12" s="1385"/>
      <c r="M12" s="1385"/>
      <c r="N12" s="1385"/>
      <c r="O12" s="1385"/>
      <c r="P12" s="1385"/>
      <c r="Q12" s="1385"/>
      <c r="R12" s="1385"/>
      <c r="S12" s="1385"/>
      <c r="T12" s="1385"/>
      <c r="U12" s="1385"/>
      <c r="V12" s="1385"/>
      <c r="W12" s="19"/>
      <c r="X12" s="19"/>
      <c r="Y12" s="19"/>
      <c r="Z12" s="19"/>
      <c r="AA12" s="19"/>
      <c r="AB12" s="19"/>
      <c r="AC12" s="19"/>
      <c r="AD12" s="19"/>
      <c r="AE12" s="19"/>
      <c r="AF12" s="967"/>
    </row>
    <row r="13" spans="1:32" ht="15.75">
      <c r="A13" s="1384">
        <v>3000</v>
      </c>
      <c r="B13" s="145" t="s">
        <v>1312</v>
      </c>
      <c r="C13" s="1385"/>
      <c r="D13" s="1385"/>
      <c r="E13" s="19" t="s">
        <v>1354</v>
      </c>
      <c r="F13" s="19"/>
      <c r="G13" s="1385"/>
      <c r="H13" s="1385"/>
      <c r="I13" s="1388"/>
      <c r="J13" s="1385"/>
      <c r="K13" s="1385"/>
      <c r="L13" s="1385"/>
      <c r="M13" s="1385"/>
      <c r="N13" s="1385"/>
      <c r="O13" s="1385"/>
      <c r="P13" s="1385"/>
      <c r="Q13" s="1385"/>
      <c r="R13" s="1385"/>
      <c r="S13" s="1385"/>
      <c r="T13" s="1385"/>
      <c r="U13" s="1385"/>
      <c r="V13" s="1385"/>
      <c r="W13" s="19"/>
      <c r="X13" s="19"/>
      <c r="Y13" s="19"/>
      <c r="Z13" s="19"/>
      <c r="AA13" s="19"/>
      <c r="AB13" s="19"/>
      <c r="AC13" s="19"/>
      <c r="AD13" s="19"/>
      <c r="AE13" s="19"/>
      <c r="AF13" s="967"/>
    </row>
    <row r="14" spans="1:32" ht="15.75">
      <c r="A14" s="1384"/>
      <c r="B14" s="145"/>
      <c r="C14" s="1385"/>
      <c r="D14" s="1385"/>
      <c r="E14" s="19" t="s">
        <v>1355</v>
      </c>
      <c r="F14" s="19"/>
      <c r="G14" s="1385"/>
      <c r="H14" s="1385"/>
      <c r="I14" s="1385"/>
      <c r="J14" s="1385"/>
      <c r="K14" s="1385"/>
      <c r="L14" s="1385"/>
      <c r="M14" s="1385"/>
      <c r="N14" s="1385"/>
      <c r="O14" s="1385"/>
      <c r="P14" s="1385"/>
      <c r="Q14" s="1385"/>
      <c r="R14" s="1385"/>
      <c r="S14" s="1385"/>
      <c r="T14" s="1385"/>
      <c r="U14" s="1385"/>
      <c r="V14" s="1385"/>
      <c r="W14" s="19"/>
      <c r="X14" s="19"/>
      <c r="Y14" s="19"/>
      <c r="Z14" s="19"/>
      <c r="AA14" s="19"/>
      <c r="AB14" s="19"/>
      <c r="AC14" s="19"/>
      <c r="AD14" s="19"/>
      <c r="AE14" s="19"/>
      <c r="AF14" s="967"/>
    </row>
    <row r="15" spans="1:32" ht="15">
      <c r="A15" s="1384"/>
      <c r="B15" s="1385"/>
      <c r="C15" s="1385"/>
      <c r="D15" s="1385"/>
      <c r="E15" s="1385" t="s">
        <v>1356</v>
      </c>
      <c r="F15" s="19"/>
      <c r="G15" s="1385"/>
      <c r="H15" s="1385"/>
      <c r="I15" s="1385"/>
      <c r="J15" s="1385"/>
      <c r="K15" s="1385"/>
      <c r="L15" s="1385"/>
      <c r="M15" s="1385"/>
      <c r="N15" s="1385"/>
      <c r="O15" s="1385"/>
      <c r="P15" s="1385"/>
      <c r="Q15" s="1385"/>
      <c r="R15" s="1385"/>
      <c r="S15" s="1385"/>
      <c r="T15" s="1385"/>
      <c r="U15" s="1385"/>
      <c r="V15" s="1385"/>
      <c r="W15" s="19"/>
      <c r="X15" s="19"/>
      <c r="Y15" s="19"/>
      <c r="Z15" s="19"/>
      <c r="AA15" s="19"/>
      <c r="AB15" s="19"/>
      <c r="AC15" s="19"/>
      <c r="AD15" s="19"/>
      <c r="AE15" s="19"/>
      <c r="AF15" s="967"/>
    </row>
    <row r="16" spans="1:32" ht="15">
      <c r="A16" s="1384"/>
      <c r="B16" s="1385"/>
      <c r="C16" s="1385"/>
      <c r="D16" s="1385"/>
      <c r="E16" s="1385" t="s">
        <v>1445</v>
      </c>
      <c r="F16" s="19"/>
      <c r="G16" s="1385"/>
      <c r="H16" s="1385"/>
      <c r="I16" s="1385"/>
      <c r="J16" s="1385"/>
      <c r="K16" s="1385"/>
      <c r="L16" s="1385"/>
      <c r="M16" s="1385"/>
      <c r="N16" s="1385"/>
      <c r="O16" s="1385"/>
      <c r="P16" s="1385"/>
      <c r="Q16" s="1385"/>
      <c r="R16" s="1385"/>
      <c r="S16" s="1385"/>
      <c r="T16" s="1385"/>
      <c r="U16" s="1385"/>
      <c r="V16" s="1385"/>
      <c r="W16" s="19"/>
      <c r="X16" s="19"/>
      <c r="Y16" s="19"/>
      <c r="Z16" s="19"/>
      <c r="AA16" s="19"/>
      <c r="AB16" s="19"/>
      <c r="AC16" s="19"/>
      <c r="AD16" s="19"/>
      <c r="AE16" s="19"/>
      <c r="AF16" s="967"/>
    </row>
    <row r="17" spans="1:32" ht="15">
      <c r="A17" s="1384"/>
      <c r="B17" s="1385"/>
      <c r="C17" s="1385"/>
      <c r="D17" s="1385"/>
      <c r="E17" s="1385" t="s">
        <v>1358</v>
      </c>
      <c r="F17" s="19"/>
      <c r="G17" s="1385"/>
      <c r="H17" s="1385"/>
      <c r="I17" s="1385"/>
      <c r="J17" s="1385"/>
      <c r="K17" s="1385"/>
      <c r="L17" s="1385"/>
      <c r="M17" s="1385"/>
      <c r="N17" s="1385"/>
      <c r="O17" s="1385"/>
      <c r="P17" s="1385"/>
      <c r="Q17" s="1385"/>
      <c r="R17" s="1385"/>
      <c r="S17" s="1385"/>
      <c r="T17" s="1385"/>
      <c r="U17" s="1385"/>
      <c r="V17" s="1385"/>
      <c r="W17" s="19"/>
      <c r="X17" s="19"/>
      <c r="Y17" s="19"/>
      <c r="Z17" s="19"/>
      <c r="AA17" s="19"/>
      <c r="AB17" s="19"/>
      <c r="AC17" s="19"/>
      <c r="AD17" s="19"/>
      <c r="AE17" s="19"/>
      <c r="AF17" s="967"/>
    </row>
    <row r="18" spans="1:32" ht="15">
      <c r="A18" s="19"/>
      <c r="B18" s="1385"/>
      <c r="C18" s="1385"/>
      <c r="D18" s="1385"/>
      <c r="E18" s="1385"/>
      <c r="F18" s="19"/>
      <c r="G18" s="1385"/>
      <c r="H18" s="1385"/>
      <c r="I18" s="1385"/>
      <c r="J18" s="1385"/>
      <c r="K18" s="1385"/>
      <c r="L18" s="1385"/>
      <c r="M18" s="1385"/>
      <c r="N18" s="1385"/>
      <c r="O18" s="1385"/>
      <c r="P18" s="1385"/>
      <c r="Q18" s="1385"/>
      <c r="R18" s="1385"/>
      <c r="S18" s="1385"/>
      <c r="T18" s="1385"/>
      <c r="U18" s="1385"/>
      <c r="V18" s="1385"/>
      <c r="W18" s="19"/>
      <c r="X18" s="19"/>
      <c r="Y18" s="19"/>
      <c r="Z18" s="19"/>
      <c r="AA18" s="19"/>
      <c r="AB18" s="19"/>
      <c r="AC18" s="19"/>
      <c r="AD18" s="19"/>
      <c r="AE18" s="19"/>
      <c r="AF18" s="967"/>
    </row>
    <row r="19" spans="1:32" ht="15.75">
      <c r="A19" s="1384">
        <v>3010</v>
      </c>
      <c r="B19" s="145" t="s">
        <v>609</v>
      </c>
      <c r="C19" s="1385"/>
      <c r="D19" s="1385"/>
      <c r="E19" s="19" t="s">
        <v>1359</v>
      </c>
      <c r="F19" s="19"/>
      <c r="G19" s="1385"/>
      <c r="H19" s="1385"/>
      <c r="I19" s="1385"/>
      <c r="J19" s="1385"/>
      <c r="K19" s="1385"/>
      <c r="L19" s="1385"/>
      <c r="M19" s="1385"/>
      <c r="N19" s="1385"/>
      <c r="O19" s="1385"/>
      <c r="P19" s="1385"/>
      <c r="Q19" s="1385"/>
      <c r="R19" s="1385"/>
      <c r="S19" s="1385"/>
      <c r="T19" s="1385"/>
      <c r="U19" s="1385"/>
      <c r="V19" s="1385"/>
      <c r="W19" s="19"/>
      <c r="X19" s="19"/>
      <c r="Y19" s="19"/>
      <c r="Z19" s="19"/>
      <c r="AA19" s="19"/>
      <c r="AB19" s="19"/>
      <c r="AC19" s="19"/>
      <c r="AD19" s="19"/>
      <c r="AE19" s="19"/>
      <c r="AF19" s="967"/>
    </row>
    <row r="20" spans="1:32" ht="15.75">
      <c r="A20" s="1384"/>
      <c r="B20" s="145"/>
      <c r="C20" s="1385"/>
      <c r="D20" s="1385"/>
      <c r="E20" s="19" t="s">
        <v>1355</v>
      </c>
      <c r="F20" s="19"/>
      <c r="G20" s="1385"/>
      <c r="H20" s="1385"/>
      <c r="I20" s="1385"/>
      <c r="J20" s="1385"/>
      <c r="K20" s="1385"/>
      <c r="L20" s="1385"/>
      <c r="M20" s="1385"/>
      <c r="N20" s="1385"/>
      <c r="O20" s="1385"/>
      <c r="P20" s="1385"/>
      <c r="Q20" s="1385"/>
      <c r="R20" s="1385"/>
      <c r="S20" s="1385"/>
      <c r="T20" s="1385"/>
      <c r="U20" s="1385"/>
      <c r="V20" s="1385"/>
      <c r="W20" s="19"/>
      <c r="X20" s="19"/>
      <c r="Y20" s="19"/>
      <c r="Z20" s="19"/>
      <c r="AA20" s="19"/>
      <c r="AB20" s="19"/>
      <c r="AC20" s="19"/>
      <c r="AD20" s="19"/>
      <c r="AE20" s="19"/>
      <c r="AF20" s="967"/>
    </row>
    <row r="21" spans="1:32" ht="15">
      <c r="A21" s="1384"/>
      <c r="B21" s="1385"/>
      <c r="C21" s="1385"/>
      <c r="D21" s="1385"/>
      <c r="E21" s="1385" t="s">
        <v>1360</v>
      </c>
      <c r="F21" s="19"/>
      <c r="G21" s="1385"/>
      <c r="H21" s="1385"/>
      <c r="I21" s="1385"/>
      <c r="J21" s="1385"/>
      <c r="K21" s="1385"/>
      <c r="L21" s="1385"/>
      <c r="M21" s="1385"/>
      <c r="N21" s="1385"/>
      <c r="O21" s="1385"/>
      <c r="P21" s="1385"/>
      <c r="Q21" s="1385"/>
      <c r="R21" s="1385"/>
      <c r="S21" s="1385"/>
      <c r="T21" s="1385"/>
      <c r="U21" s="1385"/>
      <c r="V21" s="1385"/>
      <c r="W21" s="19"/>
      <c r="X21" s="19"/>
      <c r="Y21" s="19"/>
      <c r="Z21" s="19"/>
      <c r="AA21" s="19"/>
      <c r="AB21" s="19"/>
      <c r="AC21" s="19"/>
      <c r="AD21" s="19"/>
      <c r="AE21" s="19"/>
      <c r="AF21" s="967"/>
    </row>
    <row r="22" spans="1:32" ht="15">
      <c r="A22" s="1384"/>
      <c r="B22" s="1385"/>
      <c r="C22" s="1385"/>
      <c r="D22" s="1385"/>
      <c r="E22" s="1385" t="s">
        <v>1445</v>
      </c>
      <c r="F22" s="19"/>
      <c r="G22" s="1385"/>
      <c r="H22" s="1385"/>
      <c r="I22" s="1385"/>
      <c r="J22" s="1385"/>
      <c r="K22" s="1385"/>
      <c r="L22" s="1385"/>
      <c r="M22" s="1385"/>
      <c r="N22" s="1385"/>
      <c r="O22" s="1385"/>
      <c r="P22" s="1385"/>
      <c r="Q22" s="1385"/>
      <c r="R22" s="1385"/>
      <c r="S22" s="1385"/>
      <c r="T22" s="1385"/>
      <c r="U22" s="1385"/>
      <c r="V22" s="1385"/>
      <c r="W22" s="19"/>
      <c r="X22" s="19"/>
      <c r="Y22" s="19"/>
      <c r="Z22" s="19"/>
      <c r="AA22" s="19"/>
      <c r="AB22" s="19"/>
      <c r="AC22" s="19"/>
      <c r="AD22" s="19"/>
      <c r="AE22" s="19"/>
      <c r="AF22" s="967"/>
    </row>
    <row r="23" spans="1:32" ht="15">
      <c r="A23" s="1384"/>
      <c r="B23" s="1385"/>
      <c r="C23" s="1385"/>
      <c r="D23" s="1385"/>
      <c r="E23" s="1385" t="s">
        <v>1358</v>
      </c>
      <c r="F23" s="19"/>
      <c r="G23" s="1385"/>
      <c r="H23" s="1385"/>
      <c r="I23" s="1385"/>
      <c r="J23" s="1385"/>
      <c r="K23" s="1385"/>
      <c r="L23" s="1385"/>
      <c r="M23" s="1385"/>
      <c r="N23" s="1385"/>
      <c r="O23" s="1385"/>
      <c r="P23" s="1385"/>
      <c r="Q23" s="1385"/>
      <c r="R23" s="1385"/>
      <c r="S23" s="1385"/>
      <c r="T23" s="1385"/>
      <c r="U23" s="1385"/>
      <c r="V23" s="1385"/>
      <c r="W23" s="19"/>
      <c r="X23" s="19"/>
      <c r="Y23" s="19"/>
      <c r="Z23" s="19"/>
      <c r="AA23" s="19"/>
      <c r="AB23" s="19"/>
      <c r="AC23" s="19"/>
      <c r="AD23" s="19"/>
      <c r="AE23" s="19"/>
      <c r="AF23" s="967"/>
    </row>
    <row r="24" spans="1:32" ht="15">
      <c r="A24" s="1384"/>
      <c r="B24" s="1385"/>
      <c r="C24" s="1385"/>
      <c r="D24" s="1385"/>
      <c r="E24" s="1385"/>
      <c r="F24" s="19"/>
      <c r="G24" s="1385"/>
      <c r="H24" s="1385"/>
      <c r="I24" s="1385"/>
      <c r="J24" s="1385"/>
      <c r="K24" s="1385"/>
      <c r="L24" s="1385"/>
      <c r="M24" s="1385"/>
      <c r="N24" s="1385"/>
      <c r="O24" s="1385"/>
      <c r="P24" s="1385"/>
      <c r="Q24" s="1385"/>
      <c r="R24" s="1385"/>
      <c r="S24" s="1385"/>
      <c r="T24" s="1385"/>
      <c r="U24" s="1385"/>
      <c r="V24" s="1385"/>
      <c r="W24" s="19"/>
      <c r="X24" s="19"/>
      <c r="Y24" s="19"/>
      <c r="Z24" s="19"/>
      <c r="AA24" s="19"/>
      <c r="AB24" s="19"/>
      <c r="AC24" s="19"/>
      <c r="AD24" s="19"/>
      <c r="AE24" s="19"/>
      <c r="AF24" s="967"/>
    </row>
    <row r="25" spans="1:32" ht="15.75">
      <c r="A25" s="1384">
        <v>3050</v>
      </c>
      <c r="B25" s="145" t="s">
        <v>613</v>
      </c>
      <c r="C25" s="1385"/>
      <c r="D25" s="1385"/>
      <c r="E25" s="1385" t="s">
        <v>1369</v>
      </c>
      <c r="F25" s="19"/>
      <c r="G25" s="1385"/>
      <c r="H25" s="1385"/>
      <c r="I25" s="1385"/>
      <c r="J25" s="1385"/>
      <c r="K25" s="1385"/>
      <c r="L25" s="1385"/>
      <c r="M25" s="1385"/>
      <c r="N25" s="1385"/>
      <c r="O25" s="1385"/>
      <c r="P25" s="1385"/>
      <c r="Q25" s="1385"/>
      <c r="R25" s="1385"/>
      <c r="S25" s="1385"/>
      <c r="T25" s="1385"/>
      <c r="U25" s="1385"/>
      <c r="V25" s="1385"/>
      <c r="W25" s="19"/>
      <c r="X25" s="19"/>
      <c r="Y25" s="19"/>
      <c r="Z25" s="19"/>
      <c r="AA25" s="19"/>
      <c r="AB25" s="19"/>
      <c r="AC25" s="19"/>
      <c r="AD25" s="19"/>
      <c r="AE25" s="19"/>
      <c r="AF25" s="967"/>
    </row>
    <row r="26" spans="1:32" ht="15.75">
      <c r="A26" s="1384">
        <v>3060</v>
      </c>
      <c r="B26" s="145"/>
      <c r="C26" s="1385"/>
      <c r="D26" s="1385"/>
      <c r="E26" s="1385" t="s">
        <v>1370</v>
      </c>
      <c r="F26" s="19"/>
      <c r="G26" s="1385"/>
      <c r="H26" s="1385"/>
      <c r="I26" s="1385"/>
      <c r="J26" s="1385"/>
      <c r="K26" s="1385"/>
      <c r="L26" s="1385"/>
      <c r="M26" s="1385"/>
      <c r="N26" s="1385"/>
      <c r="O26" s="1385"/>
      <c r="P26" s="1385"/>
      <c r="Q26" s="1385"/>
      <c r="R26" s="1385"/>
      <c r="S26" s="1385"/>
      <c r="T26" s="1385"/>
      <c r="U26" s="1385"/>
      <c r="V26" s="1385"/>
      <c r="W26" s="19"/>
      <c r="X26" s="19"/>
      <c r="Y26" s="19"/>
      <c r="Z26" s="19"/>
      <c r="AA26" s="19"/>
      <c r="AB26" s="19"/>
      <c r="AC26" s="19"/>
      <c r="AD26" s="19"/>
      <c r="AE26" s="19"/>
      <c r="AF26" s="967"/>
    </row>
    <row r="27" spans="1:32" ht="15.75">
      <c r="A27" s="1384"/>
      <c r="B27" s="145"/>
      <c r="C27" s="1385"/>
      <c r="D27" s="1385"/>
      <c r="E27" s="1385" t="s">
        <v>1442</v>
      </c>
      <c r="F27" s="19"/>
      <c r="G27" s="1385"/>
      <c r="H27" s="1385"/>
      <c r="I27" s="1385"/>
      <c r="J27" s="1385"/>
      <c r="K27" s="1385"/>
      <c r="L27" s="1385"/>
      <c r="M27" s="1385"/>
      <c r="N27" s="1385"/>
      <c r="O27" s="1385"/>
      <c r="P27" s="1385"/>
      <c r="Q27" s="1385"/>
      <c r="R27" s="1385"/>
      <c r="S27" s="1385"/>
      <c r="T27" s="1385"/>
      <c r="U27" s="1385"/>
      <c r="V27" s="1385"/>
      <c r="W27" s="19"/>
      <c r="X27" s="19"/>
      <c r="Y27" s="19"/>
      <c r="Z27" s="19"/>
      <c r="AA27" s="19"/>
      <c r="AB27" s="19"/>
      <c r="AC27" s="19"/>
      <c r="AD27" s="19"/>
      <c r="AE27" s="19"/>
      <c r="AF27" s="967"/>
    </row>
    <row r="28" spans="1:32" ht="15.75">
      <c r="A28" s="1384"/>
      <c r="B28" s="145"/>
      <c r="C28" s="1385"/>
      <c r="D28" s="1385"/>
      <c r="E28" s="1385" t="s">
        <v>1441</v>
      </c>
      <c r="F28" s="19"/>
      <c r="G28" s="1385"/>
      <c r="H28" s="1385"/>
      <c r="I28" s="1385"/>
      <c r="J28" s="1385"/>
      <c r="K28" s="1385"/>
      <c r="L28" s="1385"/>
      <c r="M28" s="1385"/>
      <c r="N28" s="1385"/>
      <c r="O28" s="1385"/>
      <c r="P28" s="1385"/>
      <c r="Q28" s="1385"/>
      <c r="R28" s="1385"/>
      <c r="S28" s="1385"/>
      <c r="T28" s="1385"/>
      <c r="U28" s="1385"/>
      <c r="V28" s="1385"/>
      <c r="W28" s="19"/>
      <c r="X28" s="19"/>
      <c r="Y28" s="19"/>
      <c r="Z28" s="19"/>
      <c r="AA28" s="19"/>
      <c r="AB28" s="19"/>
      <c r="AC28" s="19"/>
      <c r="AD28" s="19"/>
      <c r="AE28" s="19"/>
      <c r="AF28" s="967"/>
    </row>
    <row r="29" spans="1:32" ht="15.75">
      <c r="A29" s="1384"/>
      <c r="B29" s="145"/>
      <c r="C29" s="1385"/>
      <c r="D29" s="1385"/>
      <c r="E29" s="1385" t="s">
        <v>1443</v>
      </c>
      <c r="F29" s="19"/>
      <c r="G29" s="1385"/>
      <c r="H29" s="1385"/>
      <c r="I29" s="1385"/>
      <c r="J29" s="1385"/>
      <c r="K29" s="1385"/>
      <c r="L29" s="1385"/>
      <c r="M29" s="1385"/>
      <c r="N29" s="1385"/>
      <c r="O29" s="1385"/>
      <c r="P29" s="1385"/>
      <c r="Q29" s="1385"/>
      <c r="R29" s="1385"/>
      <c r="S29" s="1385"/>
      <c r="T29" s="1385"/>
      <c r="U29" s="1385"/>
      <c r="V29" s="1385"/>
      <c r="W29" s="19"/>
      <c r="X29" s="19"/>
      <c r="Y29" s="19"/>
      <c r="Z29" s="19"/>
      <c r="AA29" s="19"/>
      <c r="AB29" s="19"/>
      <c r="AC29" s="19"/>
      <c r="AD29" s="19"/>
      <c r="AE29" s="19"/>
      <c r="AF29" s="967"/>
    </row>
    <row r="30" spans="1:32" ht="15">
      <c r="A30" s="19"/>
      <c r="B30" s="1385"/>
      <c r="C30" s="1385"/>
      <c r="D30" s="1385"/>
      <c r="E30" s="1385" t="s">
        <v>1371</v>
      </c>
      <c r="F30" s="19"/>
      <c r="G30" s="1385"/>
      <c r="H30" s="1385"/>
      <c r="I30" s="1385"/>
      <c r="J30" s="1385"/>
      <c r="K30" s="1385"/>
      <c r="L30" s="1385"/>
      <c r="M30" s="1385"/>
      <c r="N30" s="1385"/>
      <c r="O30" s="1385"/>
      <c r="P30" s="1385"/>
      <c r="Q30" s="1385"/>
      <c r="R30" s="1385"/>
      <c r="S30" s="1385"/>
      <c r="T30" s="1385"/>
      <c r="U30" s="1385"/>
      <c r="V30" s="1385"/>
      <c r="W30" s="19"/>
      <c r="X30" s="19"/>
      <c r="Y30" s="19"/>
      <c r="Z30" s="19"/>
      <c r="AA30" s="19"/>
      <c r="AB30" s="19"/>
      <c r="AC30" s="19"/>
      <c r="AD30" s="19"/>
      <c r="AE30" s="19"/>
      <c r="AF30" s="967"/>
    </row>
    <row r="31" spans="1:32" ht="15">
      <c r="A31" s="1384"/>
      <c r="B31" s="1385"/>
      <c r="C31" s="1385"/>
      <c r="D31" s="1385"/>
      <c r="E31" s="1385" t="s">
        <v>1400</v>
      </c>
      <c r="F31" s="19"/>
      <c r="G31" s="1385"/>
      <c r="H31" s="1385"/>
      <c r="I31" s="1385"/>
      <c r="J31" s="1385"/>
      <c r="K31" s="1385"/>
      <c r="L31" s="1385"/>
      <c r="M31" s="1385"/>
      <c r="N31" s="1385"/>
      <c r="O31" s="1385"/>
      <c r="P31" s="1385"/>
      <c r="Q31" s="1385"/>
      <c r="R31" s="1385"/>
      <c r="S31" s="1385"/>
      <c r="T31" s="1385"/>
      <c r="U31" s="1385"/>
      <c r="V31" s="1385"/>
      <c r="W31" s="19"/>
      <c r="X31" s="19"/>
      <c r="Y31" s="19"/>
      <c r="Z31" s="19"/>
      <c r="AA31" s="19"/>
      <c r="AB31" s="19"/>
      <c r="AC31" s="19"/>
      <c r="AD31" s="19"/>
      <c r="AE31" s="19"/>
      <c r="AF31" s="967"/>
    </row>
    <row r="32" spans="1:32" ht="15">
      <c r="A32" s="1384"/>
      <c r="B32" s="1385"/>
      <c r="C32" s="1385"/>
      <c r="D32" s="1385"/>
      <c r="E32" s="1385" t="s">
        <v>1444</v>
      </c>
      <c r="F32" s="19"/>
      <c r="G32" s="1385"/>
      <c r="H32" s="1385"/>
      <c r="I32" s="1385"/>
      <c r="J32" s="1385"/>
      <c r="K32" s="1385"/>
      <c r="L32" s="1385"/>
      <c r="M32" s="1385"/>
      <c r="N32" s="1385"/>
      <c r="O32" s="1385"/>
      <c r="P32" s="1385"/>
      <c r="Q32" s="1385"/>
      <c r="R32" s="1385"/>
      <c r="S32" s="1385"/>
      <c r="T32" s="1385"/>
      <c r="U32" s="1385"/>
      <c r="V32" s="1385"/>
      <c r="W32" s="19"/>
      <c r="X32" s="19"/>
      <c r="Y32" s="19"/>
      <c r="Z32" s="19"/>
      <c r="AA32" s="19"/>
      <c r="AB32" s="19"/>
      <c r="AC32" s="19"/>
      <c r="AD32" s="19"/>
      <c r="AE32" s="19"/>
      <c r="AF32" s="967"/>
    </row>
    <row r="33" spans="1:32" ht="15">
      <c r="A33" s="1384"/>
      <c r="B33" s="1385"/>
      <c r="C33" s="1385"/>
      <c r="D33" s="1385"/>
      <c r="E33" s="1385" t="s">
        <v>1372</v>
      </c>
      <c r="F33" s="19"/>
      <c r="G33" s="1385"/>
      <c r="H33" s="1385"/>
      <c r="I33" s="1385"/>
      <c r="J33" s="1385"/>
      <c r="K33" s="1385"/>
      <c r="L33" s="1385"/>
      <c r="M33" s="1385"/>
      <c r="N33" s="1385"/>
      <c r="O33" s="1385"/>
      <c r="P33" s="1385"/>
      <c r="Q33" s="1385"/>
      <c r="R33" s="1385"/>
      <c r="S33" s="1385"/>
      <c r="T33" s="1385"/>
      <c r="U33" s="1385"/>
      <c r="V33" s="1385"/>
      <c r="W33" s="19"/>
      <c r="X33" s="19"/>
      <c r="Y33" s="19"/>
      <c r="Z33" s="19"/>
      <c r="AA33" s="19"/>
      <c r="AB33" s="19"/>
      <c r="AC33" s="19"/>
      <c r="AD33" s="19"/>
      <c r="AE33" s="19"/>
      <c r="AF33" s="967"/>
    </row>
    <row r="34" spans="1:32" ht="15">
      <c r="A34" s="1384"/>
      <c r="B34" s="1385"/>
      <c r="C34" s="1385"/>
      <c r="D34" s="1385"/>
      <c r="E34" s="1385" t="s">
        <v>1368</v>
      </c>
      <c r="F34" s="19"/>
      <c r="G34" s="1385"/>
      <c r="H34" s="1385"/>
      <c r="I34" s="1385"/>
      <c r="J34" s="1385"/>
      <c r="K34" s="1385"/>
      <c r="L34" s="1385"/>
      <c r="M34" s="1385"/>
      <c r="N34" s="1385"/>
      <c r="O34" s="1385"/>
      <c r="P34" s="1385"/>
      <c r="Q34" s="1385"/>
      <c r="R34" s="1385"/>
      <c r="S34" s="1385"/>
      <c r="T34" s="1385"/>
      <c r="U34" s="1385"/>
      <c r="V34" s="1385"/>
      <c r="W34" s="19"/>
      <c r="X34" s="19"/>
      <c r="Y34" s="19"/>
      <c r="Z34" s="19"/>
      <c r="AA34" s="19"/>
      <c r="AB34" s="19"/>
      <c r="AC34" s="19"/>
      <c r="AD34" s="19"/>
      <c r="AE34" s="19"/>
      <c r="AF34" s="967"/>
    </row>
    <row r="35" spans="1:32" ht="15">
      <c r="A35" s="1384"/>
      <c r="B35" s="1385"/>
      <c r="C35" s="1385"/>
      <c r="D35" s="1385"/>
      <c r="E35" s="1385"/>
      <c r="F35" s="19"/>
      <c r="G35" s="1385"/>
      <c r="H35" s="1385"/>
      <c r="I35" s="1385"/>
      <c r="J35" s="1385"/>
      <c r="K35" s="1385"/>
      <c r="L35" s="1385"/>
      <c r="M35" s="1385"/>
      <c r="N35" s="1385"/>
      <c r="O35" s="1385"/>
      <c r="P35" s="1385"/>
      <c r="Q35" s="1385"/>
      <c r="R35" s="1385"/>
      <c r="S35" s="1385"/>
      <c r="T35" s="1385"/>
      <c r="U35" s="1385"/>
      <c r="V35" s="1385"/>
      <c r="W35" s="19"/>
      <c r="X35" s="19"/>
      <c r="Y35" s="19"/>
      <c r="Z35" s="19"/>
      <c r="AA35" s="19"/>
      <c r="AB35" s="19"/>
      <c r="AC35" s="19"/>
      <c r="AD35" s="19"/>
      <c r="AE35" s="19"/>
      <c r="AF35" s="967"/>
    </row>
    <row r="36" spans="1:32" ht="15.75">
      <c r="A36" s="1384">
        <v>3120</v>
      </c>
      <c r="B36" s="145" t="s">
        <v>1397</v>
      </c>
      <c r="C36" s="1385"/>
      <c r="D36" s="1385"/>
      <c r="E36" s="1385" t="s">
        <v>1361</v>
      </c>
      <c r="F36" s="19"/>
      <c r="G36" s="1385"/>
      <c r="H36" s="1385"/>
      <c r="I36" s="1385"/>
      <c r="J36" s="1385"/>
      <c r="K36" s="1385"/>
      <c r="L36" s="1385"/>
      <c r="M36" s="1385"/>
      <c r="N36" s="1385"/>
      <c r="O36" s="1385"/>
      <c r="P36" s="1385"/>
      <c r="Q36" s="1385"/>
      <c r="R36" s="1385"/>
      <c r="S36" s="1385"/>
      <c r="T36" s="1385"/>
      <c r="U36" s="1385"/>
      <c r="V36" s="1385"/>
      <c r="W36" s="19"/>
      <c r="X36" s="19"/>
      <c r="Y36" s="19"/>
      <c r="Z36" s="19"/>
      <c r="AA36" s="19"/>
      <c r="AB36" s="19"/>
      <c r="AC36" s="19"/>
      <c r="AD36" s="19"/>
      <c r="AE36" s="19"/>
      <c r="AF36" s="967"/>
    </row>
    <row r="37" spans="1:32" ht="15.75">
      <c r="A37" s="1384"/>
      <c r="B37" s="145" t="s">
        <v>1362</v>
      </c>
      <c r="C37" s="1385"/>
      <c r="D37" s="1385"/>
      <c r="E37" s="1385" t="s">
        <v>1363</v>
      </c>
      <c r="F37" s="19"/>
      <c r="G37" s="1385"/>
      <c r="H37" s="1385"/>
      <c r="I37" s="1385"/>
      <c r="J37" s="1385"/>
      <c r="K37" s="1385"/>
      <c r="L37" s="1385"/>
      <c r="M37" s="1385"/>
      <c r="N37" s="1385"/>
      <c r="O37" s="1385"/>
      <c r="P37" s="1385"/>
      <c r="Q37" s="1385"/>
      <c r="R37" s="1385"/>
      <c r="S37" s="1385"/>
      <c r="T37" s="1385"/>
      <c r="U37" s="1385"/>
      <c r="V37" s="1385"/>
      <c r="W37" s="19"/>
      <c r="X37" s="19"/>
      <c r="Y37" s="19"/>
      <c r="Z37" s="19"/>
      <c r="AA37" s="19"/>
      <c r="AB37" s="19"/>
      <c r="AC37" s="19"/>
      <c r="AD37" s="19"/>
      <c r="AE37" s="19"/>
      <c r="AF37" s="967"/>
    </row>
    <row r="38" spans="1:32" ht="15">
      <c r="A38" s="1384"/>
      <c r="B38" s="1385"/>
      <c r="C38" s="1385"/>
      <c r="D38" s="1385"/>
      <c r="E38" s="1385" t="s">
        <v>1364</v>
      </c>
      <c r="F38" s="19"/>
      <c r="G38" s="1385"/>
      <c r="H38" s="1385"/>
      <c r="I38" s="1385"/>
      <c r="J38" s="1385"/>
      <c r="K38" s="1385"/>
      <c r="L38" s="1385"/>
      <c r="M38" s="1385"/>
      <c r="N38" s="1385"/>
      <c r="O38" s="1385"/>
      <c r="P38" s="1385"/>
      <c r="Q38" s="1385"/>
      <c r="R38" s="1385"/>
      <c r="S38" s="1385"/>
      <c r="T38" s="1385"/>
      <c r="U38" s="1385"/>
      <c r="V38" s="1385"/>
      <c r="W38" s="19"/>
      <c r="X38" s="19"/>
      <c r="Y38" s="19"/>
      <c r="Z38" s="19"/>
      <c r="AA38" s="19"/>
      <c r="AB38" s="19"/>
      <c r="AC38" s="19"/>
      <c r="AD38" s="19"/>
      <c r="AE38" s="19"/>
      <c r="AF38" s="967"/>
    </row>
    <row r="39" spans="1:32" ht="15">
      <c r="A39" s="1384"/>
      <c r="B39" s="1385"/>
      <c r="C39" s="1385"/>
      <c r="D39" s="1385"/>
      <c r="E39" s="1385" t="s">
        <v>1365</v>
      </c>
      <c r="F39" s="19"/>
      <c r="G39" s="1385"/>
      <c r="H39" s="1385"/>
      <c r="I39" s="1385"/>
      <c r="J39" s="1385"/>
      <c r="K39" s="1385"/>
      <c r="L39" s="1385"/>
      <c r="M39" s="1385"/>
      <c r="N39" s="1385"/>
      <c r="O39" s="1385"/>
      <c r="P39" s="1385"/>
      <c r="Q39" s="1385"/>
      <c r="R39" s="1385"/>
      <c r="S39" s="1385"/>
      <c r="T39" s="1385"/>
      <c r="U39" s="1385"/>
      <c r="V39" s="1385"/>
      <c r="W39" s="19"/>
      <c r="X39" s="19"/>
      <c r="Y39" s="19"/>
      <c r="Z39" s="19"/>
      <c r="AA39" s="19"/>
      <c r="AB39" s="19"/>
      <c r="AC39" s="19"/>
      <c r="AD39" s="19"/>
      <c r="AE39" s="19"/>
      <c r="AF39" s="967"/>
    </row>
    <row r="40" spans="1:32" ht="15">
      <c r="A40" s="1384"/>
      <c r="B40" s="1385"/>
      <c r="C40" s="1385"/>
      <c r="D40" s="1385"/>
      <c r="E40" s="1385"/>
      <c r="F40" s="19"/>
      <c r="G40" s="1385"/>
      <c r="H40" s="1385"/>
      <c r="I40" s="1385"/>
      <c r="J40" s="1385"/>
      <c r="K40" s="1385"/>
      <c r="L40" s="1385"/>
      <c r="M40" s="1385"/>
      <c r="N40" s="1385"/>
      <c r="O40" s="1385"/>
      <c r="P40" s="1385"/>
      <c r="Q40" s="1385"/>
      <c r="R40" s="1385"/>
      <c r="S40" s="1385"/>
      <c r="T40" s="1385"/>
      <c r="U40" s="1385"/>
      <c r="V40" s="1385"/>
      <c r="W40" s="19"/>
      <c r="X40" s="19"/>
      <c r="Y40" s="19"/>
      <c r="Z40" s="19"/>
      <c r="AA40" s="19"/>
      <c r="AB40" s="19"/>
      <c r="AC40" s="19"/>
      <c r="AD40" s="19"/>
      <c r="AE40" s="19"/>
      <c r="AF40" s="967"/>
    </row>
    <row r="41" spans="1:32" ht="15.75">
      <c r="A41" s="1384">
        <v>3120</v>
      </c>
      <c r="B41" s="145" t="s">
        <v>1366</v>
      </c>
      <c r="C41" s="1385"/>
      <c r="D41" s="1385"/>
      <c r="E41" s="1385" t="s">
        <v>1398</v>
      </c>
      <c r="F41" s="19"/>
      <c r="G41" s="1385"/>
      <c r="H41" s="1385"/>
      <c r="I41" s="1385"/>
      <c r="J41" s="1385"/>
      <c r="K41" s="1385"/>
      <c r="L41" s="1385"/>
      <c r="M41" s="1385"/>
      <c r="N41" s="1385"/>
      <c r="O41" s="1385"/>
      <c r="P41" s="1385"/>
      <c r="Q41" s="1385"/>
      <c r="R41" s="1385"/>
      <c r="S41" s="1385"/>
      <c r="T41" s="1385"/>
      <c r="U41" s="1385"/>
      <c r="V41" s="1385"/>
      <c r="W41" s="19"/>
      <c r="X41" s="19"/>
      <c r="Y41" s="19"/>
      <c r="Z41" s="19"/>
      <c r="AA41" s="19"/>
      <c r="AB41" s="19"/>
      <c r="AC41" s="19"/>
      <c r="AD41" s="19"/>
      <c r="AE41" s="19"/>
      <c r="AF41" s="967"/>
    </row>
    <row r="42" spans="1:32" ht="15.75">
      <c r="A42" s="1384"/>
      <c r="B42" s="145" t="s">
        <v>1362</v>
      </c>
      <c r="C42" s="1385"/>
      <c r="D42" s="1385"/>
      <c r="E42" s="1385" t="s">
        <v>1399</v>
      </c>
      <c r="F42" s="19"/>
      <c r="G42" s="1385"/>
      <c r="H42" s="1385"/>
      <c r="I42" s="1385"/>
      <c r="J42" s="1385"/>
      <c r="K42" s="1385"/>
      <c r="L42" s="1385"/>
      <c r="M42" s="1385"/>
      <c r="N42" s="1385"/>
      <c r="O42" s="1385"/>
      <c r="P42" s="1385"/>
      <c r="Q42" s="1385"/>
      <c r="R42" s="1385"/>
      <c r="S42" s="1385"/>
      <c r="T42" s="1385"/>
      <c r="U42" s="1385"/>
      <c r="V42" s="1385"/>
      <c r="W42" s="19"/>
      <c r="X42" s="19"/>
      <c r="Y42" s="19"/>
      <c r="Z42" s="19"/>
      <c r="AA42" s="19"/>
      <c r="AB42" s="19"/>
      <c r="AC42" s="19"/>
      <c r="AD42" s="19"/>
      <c r="AE42" s="19"/>
      <c r="AF42" s="967"/>
    </row>
    <row r="43" spans="1:32" ht="15">
      <c r="A43" s="1384"/>
      <c r="B43" s="1385"/>
      <c r="C43" s="1385"/>
      <c r="D43" s="1385"/>
      <c r="E43" s="1385" t="s">
        <v>1367</v>
      </c>
      <c r="F43" s="19"/>
      <c r="G43" s="1385"/>
      <c r="H43" s="1385"/>
      <c r="I43" s="1385"/>
      <c r="J43" s="1385"/>
      <c r="K43" s="1385"/>
      <c r="L43" s="1385"/>
      <c r="M43" s="1385"/>
      <c r="N43" s="1385"/>
      <c r="O43" s="1385"/>
      <c r="P43" s="1385"/>
      <c r="Q43" s="1385"/>
      <c r="R43" s="1385"/>
      <c r="S43" s="1385"/>
      <c r="T43" s="1385"/>
      <c r="U43" s="1385"/>
      <c r="V43" s="1385"/>
      <c r="W43" s="19"/>
      <c r="X43" s="19"/>
      <c r="Y43" s="19"/>
      <c r="Z43" s="19"/>
      <c r="AA43" s="19"/>
      <c r="AB43" s="19"/>
      <c r="AC43" s="19"/>
      <c r="AD43" s="19"/>
      <c r="AE43" s="19"/>
      <c r="AF43" s="967"/>
    </row>
    <row r="44" spans="1:32" ht="15">
      <c r="A44" s="1384"/>
      <c r="B44" s="1385"/>
      <c r="C44" s="1385"/>
      <c r="D44" s="1385"/>
      <c r="E44" s="1385" t="s">
        <v>1368</v>
      </c>
      <c r="F44" s="19"/>
      <c r="G44" s="1385"/>
      <c r="H44" s="1385"/>
      <c r="I44" s="1385"/>
      <c r="J44" s="1385"/>
      <c r="K44" s="1385"/>
      <c r="L44" s="1385"/>
      <c r="M44" s="1385"/>
      <c r="N44" s="1385"/>
      <c r="O44" s="1385"/>
      <c r="P44" s="1385"/>
      <c r="Q44" s="1385"/>
      <c r="R44" s="1385"/>
      <c r="S44" s="1385"/>
      <c r="T44" s="1385"/>
      <c r="U44" s="1385"/>
      <c r="V44" s="1385"/>
      <c r="W44" s="19"/>
      <c r="X44" s="19"/>
      <c r="Y44" s="19"/>
      <c r="Z44" s="19"/>
      <c r="AA44" s="19"/>
      <c r="AB44" s="19"/>
      <c r="AC44" s="19"/>
      <c r="AD44" s="19"/>
      <c r="AE44" s="19"/>
      <c r="AF44" s="967"/>
    </row>
    <row r="45" spans="1:32" ht="15">
      <c r="A45" s="1384"/>
      <c r="B45" s="1385"/>
      <c r="C45" s="1385"/>
      <c r="D45" s="1385"/>
      <c r="E45" s="1385"/>
      <c r="F45" s="19"/>
      <c r="G45" s="1385"/>
      <c r="H45" s="1385"/>
      <c r="I45" s="1385"/>
      <c r="J45" s="1385"/>
      <c r="K45" s="1385"/>
      <c r="L45" s="1385"/>
      <c r="M45" s="1385"/>
      <c r="N45" s="1385"/>
      <c r="O45" s="1385"/>
      <c r="P45" s="1385"/>
      <c r="Q45" s="1385"/>
      <c r="R45" s="1385"/>
      <c r="S45" s="1385"/>
      <c r="T45" s="1385"/>
      <c r="U45" s="1385"/>
      <c r="V45" s="1385"/>
      <c r="W45" s="19"/>
      <c r="X45" s="19"/>
      <c r="Y45" s="19"/>
      <c r="Z45" s="19"/>
      <c r="AA45" s="19"/>
      <c r="AB45" s="19"/>
      <c r="AC45" s="19"/>
      <c r="AD45" s="19"/>
      <c r="AE45" s="19"/>
      <c r="AF45" s="967"/>
    </row>
    <row r="46" spans="1:32" ht="15.75">
      <c r="A46" s="1384">
        <v>3140</v>
      </c>
      <c r="B46" s="145" t="s">
        <v>1389</v>
      </c>
      <c r="C46" s="1360"/>
      <c r="D46" s="1360"/>
      <c r="E46" s="1385" t="s">
        <v>1384</v>
      </c>
      <c r="F46" s="19"/>
      <c r="G46" s="1385"/>
      <c r="H46" s="1385"/>
      <c r="I46" s="1385"/>
      <c r="J46" s="1385"/>
      <c r="K46" s="1385"/>
      <c r="L46" s="1385"/>
      <c r="M46" s="1385"/>
      <c r="N46" s="1385"/>
      <c r="O46" s="1385"/>
      <c r="P46" s="1385"/>
      <c r="Q46" s="1385"/>
      <c r="R46" s="1385"/>
      <c r="S46" s="1385"/>
      <c r="T46" s="1385"/>
      <c r="U46" s="1385"/>
      <c r="V46" s="1385"/>
      <c r="W46" s="19"/>
      <c r="X46" s="19"/>
      <c r="Y46" s="19"/>
      <c r="Z46" s="19"/>
      <c r="AA46" s="19"/>
      <c r="AB46" s="19"/>
      <c r="AC46" s="19"/>
      <c r="AD46" s="19"/>
      <c r="AE46" s="19"/>
      <c r="AF46" s="967"/>
    </row>
    <row r="47" spans="1:32" ht="15.75">
      <c r="A47" s="1384"/>
      <c r="B47" s="1360"/>
      <c r="C47" s="1360"/>
      <c r="D47" s="1360"/>
      <c r="E47" s="1385" t="s">
        <v>1401</v>
      </c>
      <c r="F47" s="19"/>
      <c r="G47" s="1385"/>
      <c r="H47" s="1385"/>
      <c r="I47" s="1385"/>
      <c r="J47" s="1385"/>
      <c r="K47" s="1385"/>
      <c r="L47" s="1385"/>
      <c r="M47" s="1385"/>
      <c r="N47" s="1385"/>
      <c r="O47" s="1385"/>
      <c r="P47" s="1385"/>
      <c r="Q47" s="1385"/>
      <c r="R47" s="1385"/>
      <c r="S47" s="1385"/>
      <c r="T47" s="1385"/>
      <c r="U47" s="1385"/>
      <c r="V47" s="1385"/>
      <c r="W47" s="19"/>
      <c r="X47" s="19"/>
      <c r="Y47" s="19"/>
      <c r="Z47" s="19"/>
      <c r="AA47" s="19"/>
      <c r="AB47" s="19"/>
      <c r="AC47" s="19"/>
      <c r="AD47" s="19"/>
      <c r="AE47" s="19"/>
      <c r="AF47" s="967"/>
    </row>
    <row r="48" spans="1:32" ht="15.75">
      <c r="A48" s="1384"/>
      <c r="B48" s="1360"/>
      <c r="C48" s="1360"/>
      <c r="D48" s="1360"/>
      <c r="E48" s="1385" t="s">
        <v>1385</v>
      </c>
      <c r="F48" s="19"/>
      <c r="G48" s="1385"/>
      <c r="H48" s="1385"/>
      <c r="I48" s="1385"/>
      <c r="J48" s="1385"/>
      <c r="K48" s="1385"/>
      <c r="L48" s="1385"/>
      <c r="M48" s="1385"/>
      <c r="N48" s="1385"/>
      <c r="O48" s="1385"/>
      <c r="P48" s="1385"/>
      <c r="Q48" s="1385"/>
      <c r="R48" s="1385"/>
      <c r="S48" s="1385"/>
      <c r="T48" s="1385"/>
      <c r="U48" s="1385"/>
      <c r="V48" s="1385"/>
      <c r="W48" s="19"/>
      <c r="X48" s="19"/>
      <c r="Y48" s="19"/>
      <c r="Z48" s="19"/>
      <c r="AA48" s="19"/>
      <c r="AB48" s="19"/>
      <c r="AC48" s="19"/>
      <c r="AD48" s="19"/>
      <c r="AE48" s="19"/>
      <c r="AF48" s="967"/>
    </row>
    <row r="49" spans="1:32" ht="15.75">
      <c r="A49" s="1384"/>
      <c r="B49" s="1360"/>
      <c r="C49" s="1385"/>
      <c r="D49" s="1385"/>
      <c r="E49" s="1385" t="s">
        <v>1445</v>
      </c>
      <c r="F49" s="19"/>
      <c r="G49" s="1389"/>
      <c r="H49" s="1389"/>
      <c r="I49" s="1389"/>
      <c r="J49" s="1389"/>
      <c r="K49" s="1389"/>
      <c r="L49" s="1389"/>
      <c r="M49" s="1389"/>
      <c r="N49" s="1389"/>
      <c r="O49" s="1389"/>
      <c r="P49" s="1389"/>
      <c r="Q49" s="1389"/>
      <c r="R49" s="1389"/>
      <c r="S49" s="1389"/>
      <c r="T49" s="1389"/>
      <c r="U49" s="1385"/>
      <c r="V49" s="1385"/>
      <c r="W49" s="19"/>
      <c r="X49" s="19"/>
      <c r="Y49" s="19"/>
      <c r="Z49" s="19"/>
      <c r="AA49" s="19"/>
      <c r="AB49" s="19"/>
      <c r="AC49" s="19"/>
      <c r="AD49" s="19"/>
      <c r="AE49" s="19"/>
      <c r="AF49" s="967"/>
    </row>
    <row r="50" spans="1:32" ht="15.75">
      <c r="A50" s="1384"/>
      <c r="B50" s="1360"/>
      <c r="C50" s="1385"/>
      <c r="D50" s="1385"/>
      <c r="E50" s="1385" t="s">
        <v>1375</v>
      </c>
      <c r="F50" s="19"/>
      <c r="G50" s="1389"/>
      <c r="H50" s="1389"/>
      <c r="I50" s="1389"/>
      <c r="J50" s="1389"/>
      <c r="K50" s="1389"/>
      <c r="L50" s="1389"/>
      <c r="M50" s="1389"/>
      <c r="N50" s="1389"/>
      <c r="O50" s="1385"/>
      <c r="P50" s="1389"/>
      <c r="Q50" s="1389"/>
      <c r="R50" s="1389"/>
      <c r="S50" s="1389"/>
      <c r="T50" s="1389"/>
      <c r="U50" s="1385"/>
      <c r="V50" s="1385"/>
      <c r="W50" s="19"/>
      <c r="X50" s="19"/>
      <c r="Y50" s="19"/>
      <c r="Z50" s="19"/>
      <c r="AA50" s="19"/>
      <c r="AB50" s="19"/>
      <c r="AC50" s="19"/>
      <c r="AD50" s="19"/>
      <c r="AE50" s="19"/>
      <c r="AF50" s="967"/>
    </row>
    <row r="51" spans="1:32" ht="15">
      <c r="A51" s="1384"/>
      <c r="B51" s="1385"/>
      <c r="C51" s="1385"/>
      <c r="D51" s="1385"/>
      <c r="E51" s="1385"/>
      <c r="F51" s="19"/>
      <c r="G51" s="1385"/>
      <c r="H51" s="1385"/>
      <c r="I51" s="1385"/>
      <c r="J51" s="1385"/>
      <c r="K51" s="1385"/>
      <c r="L51" s="1385"/>
      <c r="M51" s="1385"/>
      <c r="N51" s="1385"/>
      <c r="O51" s="1385"/>
      <c r="P51" s="1385"/>
      <c r="Q51" s="1385"/>
      <c r="R51" s="1385"/>
      <c r="S51" s="1385"/>
      <c r="T51" s="1385"/>
      <c r="U51" s="1385"/>
      <c r="V51" s="1385"/>
      <c r="W51" s="19"/>
      <c r="X51" s="19"/>
      <c r="Y51" s="19"/>
      <c r="Z51" s="19"/>
      <c r="AA51" s="19"/>
      <c r="AB51" s="19"/>
      <c r="AC51" s="19"/>
      <c r="AD51" s="19"/>
      <c r="AE51" s="19"/>
      <c r="AF51" s="967"/>
    </row>
    <row r="52" spans="1:32" ht="15.75">
      <c r="A52" s="1384">
        <v>3160</v>
      </c>
      <c r="B52" s="145" t="s">
        <v>1314</v>
      </c>
      <c r="C52" s="1385"/>
      <c r="D52" s="1385"/>
      <c r="E52" s="1385" t="s">
        <v>1373</v>
      </c>
      <c r="F52" s="19"/>
      <c r="G52" s="1385"/>
      <c r="H52" s="1385"/>
      <c r="I52" s="1385"/>
      <c r="J52" s="1385"/>
      <c r="K52" s="1385"/>
      <c r="L52" s="1385"/>
      <c r="M52" s="1385"/>
      <c r="N52" s="1385"/>
      <c r="O52" s="1385"/>
      <c r="P52" s="1385"/>
      <c r="Q52" s="1385"/>
      <c r="R52" s="1385"/>
      <c r="S52" s="1385"/>
      <c r="T52" s="1385"/>
      <c r="U52" s="1385"/>
      <c r="V52" s="1385"/>
      <c r="W52" s="19"/>
      <c r="X52" s="19"/>
      <c r="Y52" s="19"/>
      <c r="Z52" s="19"/>
      <c r="AA52" s="19"/>
      <c r="AB52" s="19"/>
      <c r="AC52" s="19"/>
      <c r="AD52" s="19"/>
      <c r="AE52" s="19"/>
      <c r="AF52" s="967"/>
    </row>
    <row r="53" spans="1:32" ht="15.75">
      <c r="A53" s="1384"/>
      <c r="B53" s="1360"/>
      <c r="C53" s="1385"/>
      <c r="D53" s="1385"/>
      <c r="E53" s="1385" t="s">
        <v>1374</v>
      </c>
      <c r="F53" s="19"/>
      <c r="G53" s="1385"/>
      <c r="H53" s="1385"/>
      <c r="I53" s="1385"/>
      <c r="J53" s="1385"/>
      <c r="K53" s="1385"/>
      <c r="L53" s="1385"/>
      <c r="M53" s="1385"/>
      <c r="N53" s="1385"/>
      <c r="O53" s="1385"/>
      <c r="P53" s="1385"/>
      <c r="Q53" s="1385"/>
      <c r="R53" s="1385"/>
      <c r="S53" s="1385"/>
      <c r="T53" s="1385"/>
      <c r="U53" s="1385"/>
      <c r="V53" s="1385"/>
      <c r="W53" s="19"/>
      <c r="X53" s="19"/>
      <c r="Y53" s="19"/>
      <c r="Z53" s="19"/>
      <c r="AA53" s="19"/>
      <c r="AB53" s="19"/>
      <c r="AC53" s="19"/>
      <c r="AD53" s="19"/>
      <c r="AE53" s="19"/>
      <c r="AF53" s="967"/>
    </row>
    <row r="54" spans="1:32" ht="15.75">
      <c r="A54" s="1384"/>
      <c r="B54" s="1360"/>
      <c r="C54" s="1385"/>
      <c r="D54" s="1385"/>
      <c r="E54" s="1385" t="s">
        <v>1357</v>
      </c>
      <c r="F54" s="19"/>
      <c r="G54" s="1385"/>
      <c r="H54" s="1385"/>
      <c r="I54" s="1385"/>
      <c r="J54" s="1385"/>
      <c r="K54" s="1385"/>
      <c r="L54" s="1385"/>
      <c r="M54" s="1385"/>
      <c r="N54" s="1385"/>
      <c r="O54" s="1385"/>
      <c r="P54" s="1385"/>
      <c r="Q54" s="1385"/>
      <c r="R54" s="1385"/>
      <c r="S54" s="1385"/>
      <c r="T54" s="1385"/>
      <c r="U54" s="1385"/>
      <c r="V54" s="1385"/>
      <c r="W54" s="19"/>
      <c r="X54" s="19"/>
      <c r="Y54" s="19"/>
      <c r="Z54" s="19"/>
      <c r="AA54" s="19"/>
      <c r="AB54" s="19"/>
      <c r="AC54" s="19"/>
      <c r="AD54" s="19"/>
      <c r="AE54" s="19"/>
      <c r="AF54" s="967"/>
    </row>
    <row r="55" spans="1:32" ht="15.75">
      <c r="A55" s="1384"/>
      <c r="B55" s="1360"/>
      <c r="C55" s="1385"/>
      <c r="D55" s="1385"/>
      <c r="E55" s="1385" t="s">
        <v>1375</v>
      </c>
      <c r="F55" s="19"/>
      <c r="G55" s="1385"/>
      <c r="H55" s="1385"/>
      <c r="I55" s="1385"/>
      <c r="J55" s="1385"/>
      <c r="K55" s="1385"/>
      <c r="L55" s="1385"/>
      <c r="M55" s="1385"/>
      <c r="N55" s="1385"/>
      <c r="O55" s="1385"/>
      <c r="P55" s="1385"/>
      <c r="Q55" s="1385"/>
      <c r="R55" s="1385"/>
      <c r="S55" s="1385"/>
      <c r="T55" s="1385"/>
      <c r="U55" s="1385"/>
      <c r="V55" s="1385"/>
      <c r="W55" s="19"/>
      <c r="X55" s="19"/>
      <c r="Y55" s="19"/>
      <c r="Z55" s="19"/>
      <c r="AA55" s="19"/>
      <c r="AB55" s="19"/>
      <c r="AC55" s="19"/>
      <c r="AD55" s="19"/>
      <c r="AE55" s="19"/>
      <c r="AF55" s="967"/>
    </row>
    <row r="56" spans="1:32" ht="15.75">
      <c r="A56" s="1384"/>
      <c r="B56" s="1360"/>
      <c r="C56" s="1385"/>
      <c r="D56" s="1385"/>
      <c r="E56" s="1385"/>
      <c r="F56" s="19"/>
      <c r="G56" s="1385"/>
      <c r="H56" s="1385"/>
      <c r="I56" s="1385"/>
      <c r="J56" s="1385"/>
      <c r="K56" s="1385"/>
      <c r="L56" s="1385"/>
      <c r="M56" s="1385"/>
      <c r="N56" s="1385"/>
      <c r="O56" s="1385"/>
      <c r="P56" s="1385"/>
      <c r="Q56" s="1385"/>
      <c r="R56" s="1385"/>
      <c r="S56" s="1385"/>
      <c r="T56" s="1385"/>
      <c r="U56" s="1385"/>
      <c r="V56" s="1385"/>
      <c r="W56" s="19"/>
      <c r="X56" s="19"/>
      <c r="Y56" s="19"/>
      <c r="Z56" s="19"/>
      <c r="AA56" s="19"/>
      <c r="AB56" s="19"/>
      <c r="AC56" s="19"/>
      <c r="AD56" s="19"/>
      <c r="AE56" s="19"/>
      <c r="AF56" s="967"/>
    </row>
    <row r="57" spans="1:32" ht="15.75">
      <c r="A57" s="1384">
        <v>3160</v>
      </c>
      <c r="B57" s="145" t="s">
        <v>1390</v>
      </c>
      <c r="C57" s="1385"/>
      <c r="D57" s="1385"/>
      <c r="E57" s="1385" t="s">
        <v>1462</v>
      </c>
      <c r="F57" s="19"/>
      <c r="G57" s="1385"/>
      <c r="H57" s="1385"/>
      <c r="I57" s="1385"/>
      <c r="J57" s="1385"/>
      <c r="K57" s="1385"/>
      <c r="L57" s="1385"/>
      <c r="M57" s="1385"/>
      <c r="N57" s="1385"/>
      <c r="O57" s="1385"/>
      <c r="P57" s="1385"/>
      <c r="Q57" s="1385"/>
      <c r="R57" s="1385"/>
      <c r="S57" s="1385"/>
      <c r="T57" s="1385"/>
      <c r="U57" s="1385"/>
      <c r="V57" s="1385"/>
      <c r="W57" s="19"/>
      <c r="X57" s="19"/>
      <c r="Y57" s="19"/>
      <c r="Z57" s="19"/>
      <c r="AA57" s="19"/>
      <c r="AB57" s="19"/>
      <c r="AC57" s="19"/>
      <c r="AD57" s="19"/>
      <c r="AE57" s="19"/>
      <c r="AF57" s="967"/>
    </row>
    <row r="58" spans="1:32" ht="15.75">
      <c r="A58" s="1384"/>
      <c r="B58" s="1360"/>
      <c r="C58" s="1385"/>
      <c r="D58" s="1385"/>
      <c r="E58" s="1385" t="s">
        <v>1461</v>
      </c>
      <c r="F58" s="19"/>
      <c r="G58" s="1385"/>
      <c r="H58" s="1385"/>
      <c r="I58" s="1385"/>
      <c r="J58" s="1385"/>
      <c r="K58" s="1385"/>
      <c r="L58" s="1385"/>
      <c r="M58" s="1385"/>
      <c r="N58" s="1385"/>
      <c r="O58" s="1385"/>
      <c r="P58" s="1385"/>
      <c r="Q58" s="1385"/>
      <c r="R58" s="1385"/>
      <c r="S58" s="1385"/>
      <c r="T58" s="1385"/>
      <c r="U58" s="1385"/>
      <c r="V58" s="1385"/>
      <c r="W58" s="19"/>
      <c r="X58" s="19"/>
      <c r="Y58" s="19"/>
      <c r="Z58" s="19"/>
      <c r="AA58" s="19"/>
      <c r="AB58" s="19"/>
      <c r="AC58" s="19"/>
      <c r="AD58" s="19"/>
      <c r="AE58" s="19"/>
      <c r="AF58" s="967"/>
    </row>
    <row r="59" spans="1:32" ht="15.75">
      <c r="A59" s="1384"/>
      <c r="B59" s="1360"/>
      <c r="C59" s="1385"/>
      <c r="D59" s="1385"/>
      <c r="E59" s="1385" t="s">
        <v>1445</v>
      </c>
      <c r="F59" s="19"/>
      <c r="G59" s="1385"/>
      <c r="H59" s="1385"/>
      <c r="I59" s="1385"/>
      <c r="J59" s="1385"/>
      <c r="K59" s="1385"/>
      <c r="L59" s="1385"/>
      <c r="M59" s="1385"/>
      <c r="N59" s="1385"/>
      <c r="O59" s="1385"/>
      <c r="P59" s="1385"/>
      <c r="Q59" s="1385"/>
      <c r="R59" s="1385"/>
      <c r="S59" s="1385"/>
      <c r="T59" s="1385"/>
      <c r="U59" s="1385"/>
      <c r="V59" s="1385"/>
      <c r="W59" s="19"/>
      <c r="X59" s="19"/>
      <c r="Y59" s="19"/>
      <c r="Z59" s="19"/>
      <c r="AA59" s="19"/>
      <c r="AB59" s="19"/>
      <c r="AC59" s="19"/>
      <c r="AD59" s="19"/>
      <c r="AE59" s="19"/>
      <c r="AF59" s="967"/>
    </row>
    <row r="60" spans="1:32" ht="15.75">
      <c r="A60" s="1384"/>
      <c r="B60" s="1360"/>
      <c r="C60" s="1385"/>
      <c r="D60" s="1385"/>
      <c r="E60" s="1385" t="s">
        <v>1375</v>
      </c>
      <c r="F60" s="19"/>
      <c r="G60" s="1385"/>
      <c r="H60" s="1385"/>
      <c r="I60" s="1385"/>
      <c r="J60" s="1385"/>
      <c r="K60" s="1385"/>
      <c r="L60" s="1385"/>
      <c r="M60" s="1385"/>
      <c r="N60" s="1385"/>
      <c r="O60" s="1385"/>
      <c r="P60" s="1385"/>
      <c r="Q60" s="1385"/>
      <c r="R60" s="1385"/>
      <c r="S60" s="1385"/>
      <c r="T60" s="1385"/>
      <c r="U60" s="1385"/>
      <c r="V60" s="1385"/>
      <c r="W60" s="19"/>
      <c r="X60" s="19"/>
      <c r="Y60" s="19"/>
      <c r="Z60" s="19"/>
      <c r="AA60" s="19"/>
      <c r="AB60" s="19"/>
      <c r="AC60" s="19"/>
      <c r="AD60" s="19"/>
      <c r="AE60" s="19"/>
      <c r="AF60" s="967"/>
    </row>
    <row r="61" spans="1:32" s="776" customFormat="1" ht="15.75">
      <c r="A61" s="1384"/>
      <c r="B61" s="1360"/>
      <c r="C61" s="1385"/>
      <c r="D61" s="1385"/>
      <c r="E61" s="1385"/>
      <c r="F61" s="19"/>
      <c r="G61" s="1385"/>
      <c r="H61" s="1385"/>
      <c r="I61" s="1385"/>
      <c r="J61" s="1385"/>
      <c r="K61" s="1385"/>
      <c r="L61" s="1385"/>
      <c r="M61" s="1385"/>
      <c r="N61" s="1385"/>
      <c r="O61" s="1385"/>
      <c r="P61" s="1385"/>
      <c r="Q61" s="1385"/>
      <c r="R61" s="1385"/>
      <c r="S61" s="1385"/>
      <c r="T61" s="1385"/>
      <c r="U61" s="1385"/>
      <c r="V61" s="1385"/>
      <c r="W61" s="19"/>
      <c r="X61" s="19"/>
      <c r="Y61" s="19"/>
      <c r="Z61" s="19"/>
      <c r="AA61" s="19"/>
      <c r="AB61" s="19"/>
      <c r="AC61" s="19"/>
      <c r="AD61" s="19"/>
      <c r="AE61" s="19"/>
      <c r="AF61" s="967"/>
    </row>
    <row r="62" spans="1:32" ht="15.75">
      <c r="A62" s="1384">
        <v>3160</v>
      </c>
      <c r="B62" s="145" t="s">
        <v>1351</v>
      </c>
      <c r="C62" s="1385"/>
      <c r="D62" s="1385"/>
      <c r="E62" s="1385" t="s">
        <v>1376</v>
      </c>
      <c r="F62" s="19"/>
      <c r="G62" s="1385"/>
      <c r="H62" s="1385"/>
      <c r="I62" s="1385"/>
      <c r="J62" s="1385"/>
      <c r="K62" s="1385"/>
      <c r="L62" s="1385"/>
      <c r="M62" s="1385"/>
      <c r="N62" s="1385"/>
      <c r="O62" s="1385"/>
      <c r="P62" s="1385"/>
      <c r="Q62" s="1385"/>
      <c r="R62" s="1385"/>
      <c r="S62" s="1385"/>
      <c r="T62" s="1385"/>
      <c r="U62" s="1385"/>
      <c r="V62" s="1385"/>
      <c r="W62" s="19"/>
      <c r="X62" s="19"/>
      <c r="Y62" s="19"/>
      <c r="Z62" s="19"/>
      <c r="AA62" s="19"/>
      <c r="AB62" s="19"/>
      <c r="AC62" s="19"/>
      <c r="AD62" s="19"/>
      <c r="AE62" s="19"/>
      <c r="AF62" s="967"/>
    </row>
    <row r="63" spans="1:32" ht="15.75">
      <c r="A63" s="1384"/>
      <c r="B63" s="1360"/>
      <c r="C63" s="1385"/>
      <c r="D63" s="1385"/>
      <c r="E63" s="1385" t="s">
        <v>1377</v>
      </c>
      <c r="F63" s="19"/>
      <c r="G63" s="1385"/>
      <c r="H63" s="1385"/>
      <c r="I63" s="1385"/>
      <c r="J63" s="1385"/>
      <c r="K63" s="1385"/>
      <c r="L63" s="1385"/>
      <c r="M63" s="1385"/>
      <c r="N63" s="1385"/>
      <c r="O63" s="1385"/>
      <c r="P63" s="1385"/>
      <c r="Q63" s="1385"/>
      <c r="R63" s="1385"/>
      <c r="S63" s="1385"/>
      <c r="T63" s="1385"/>
      <c r="U63" s="1385"/>
      <c r="V63" s="1385"/>
      <c r="W63" s="19"/>
      <c r="X63" s="19"/>
      <c r="Y63" s="19"/>
      <c r="Z63" s="19"/>
      <c r="AA63" s="19"/>
      <c r="AB63" s="19"/>
      <c r="AC63" s="19"/>
      <c r="AD63" s="19"/>
      <c r="AE63" s="19"/>
      <c r="AF63" s="967"/>
    </row>
    <row r="64" spans="1:32" ht="15.75">
      <c r="A64" s="1384"/>
      <c r="B64" s="1360"/>
      <c r="C64" s="1385"/>
      <c r="D64" s="1385"/>
      <c r="E64" s="1385" t="s">
        <v>1378</v>
      </c>
      <c r="F64" s="19"/>
      <c r="G64" s="1385"/>
      <c r="H64" s="1385"/>
      <c r="I64" s="1385"/>
      <c r="J64" s="1385"/>
      <c r="K64" s="1385"/>
      <c r="L64" s="1385"/>
      <c r="M64" s="1385"/>
      <c r="N64" s="1385"/>
      <c r="O64" s="1385"/>
      <c r="P64" s="1385"/>
      <c r="Q64" s="1385"/>
      <c r="R64" s="1385"/>
      <c r="S64" s="1385"/>
      <c r="T64" s="1385"/>
      <c r="U64" s="1385"/>
      <c r="V64" s="1385"/>
      <c r="W64" s="19"/>
      <c r="X64" s="19"/>
      <c r="Y64" s="19"/>
      <c r="Z64" s="19"/>
      <c r="AA64" s="19"/>
      <c r="AB64" s="19"/>
      <c r="AC64" s="19"/>
      <c r="AD64" s="19"/>
      <c r="AE64" s="19"/>
      <c r="AF64" s="967"/>
    </row>
    <row r="65" spans="1:32" ht="15.75">
      <c r="A65" s="1384"/>
      <c r="B65" s="1360"/>
      <c r="C65" s="1385"/>
      <c r="D65" s="1385"/>
      <c r="E65" s="1385" t="s">
        <v>1379</v>
      </c>
      <c r="F65" s="19"/>
      <c r="G65" s="1385"/>
      <c r="H65" s="1385"/>
      <c r="I65" s="1385"/>
      <c r="J65" s="1385"/>
      <c r="K65" s="1385"/>
      <c r="L65" s="1385"/>
      <c r="M65" s="1385"/>
      <c r="N65" s="1385"/>
      <c r="O65" s="1385"/>
      <c r="P65" s="1385"/>
      <c r="Q65" s="1385"/>
      <c r="R65" s="1385"/>
      <c r="S65" s="1385"/>
      <c r="T65" s="1385"/>
      <c r="U65" s="1385"/>
      <c r="V65" s="1385"/>
      <c r="W65" s="19"/>
      <c r="X65" s="19"/>
      <c r="Y65" s="19"/>
      <c r="Z65" s="19"/>
      <c r="AA65" s="19"/>
      <c r="AB65" s="19"/>
      <c r="AC65" s="19"/>
      <c r="AD65" s="19"/>
      <c r="AE65" s="19"/>
      <c r="AF65" s="967"/>
    </row>
    <row r="66" spans="1:32" ht="15.75">
      <c r="A66" s="1384"/>
      <c r="B66" s="1360"/>
      <c r="C66" s="1385"/>
      <c r="D66" s="1385"/>
      <c r="E66" s="1385" t="s">
        <v>1357</v>
      </c>
      <c r="F66" s="19"/>
      <c r="G66" s="1385"/>
      <c r="H66" s="1385"/>
      <c r="I66" s="1385"/>
      <c r="J66" s="1385"/>
      <c r="K66" s="1385"/>
      <c r="L66" s="1385"/>
      <c r="M66" s="1385"/>
      <c r="N66" s="1385"/>
      <c r="O66" s="1385"/>
      <c r="P66" s="1385"/>
      <c r="Q66" s="1385"/>
      <c r="R66" s="1385"/>
      <c r="S66" s="1385"/>
      <c r="T66" s="1385"/>
      <c r="U66" s="1385"/>
      <c r="V66" s="1385"/>
      <c r="W66" s="19"/>
      <c r="X66" s="19"/>
      <c r="Y66" s="19"/>
      <c r="Z66" s="19"/>
      <c r="AA66" s="19"/>
      <c r="AB66" s="19"/>
      <c r="AC66" s="19"/>
      <c r="AD66" s="19"/>
      <c r="AE66" s="19"/>
      <c r="AF66" s="967"/>
    </row>
    <row r="67" spans="1:32" ht="15.75">
      <c r="A67" s="1384"/>
      <c r="B67" s="1360"/>
      <c r="C67" s="1385"/>
      <c r="D67" s="1385"/>
      <c r="E67" s="1385" t="s">
        <v>1365</v>
      </c>
      <c r="F67" s="19"/>
      <c r="G67" s="1385"/>
      <c r="H67" s="1385"/>
      <c r="I67" s="1385"/>
      <c r="J67" s="1385"/>
      <c r="K67" s="1385"/>
      <c r="L67" s="1385"/>
      <c r="M67" s="1385"/>
      <c r="N67" s="1385"/>
      <c r="O67" s="1385"/>
      <c r="P67" s="1385"/>
      <c r="Q67" s="1385"/>
      <c r="R67" s="1385"/>
      <c r="S67" s="1385"/>
      <c r="T67" s="1385"/>
      <c r="U67" s="1385"/>
      <c r="V67" s="1385"/>
      <c r="W67" s="19"/>
      <c r="X67" s="19"/>
      <c r="Y67" s="19"/>
      <c r="Z67" s="19"/>
      <c r="AA67" s="19"/>
      <c r="AB67" s="19"/>
      <c r="AC67" s="19"/>
      <c r="AD67" s="19"/>
      <c r="AE67" s="19"/>
      <c r="AF67" s="967"/>
    </row>
    <row r="68" spans="1:32" ht="15.75">
      <c r="A68" s="1384"/>
      <c r="B68" s="1360"/>
      <c r="C68" s="1385"/>
      <c r="D68" s="1385"/>
      <c r="E68" s="1384"/>
      <c r="F68" s="19"/>
      <c r="G68" s="1385"/>
      <c r="H68" s="1385"/>
      <c r="I68" s="1385"/>
      <c r="J68" s="1385"/>
      <c r="K68" s="1385"/>
      <c r="L68" s="1385"/>
      <c r="M68" s="1385"/>
      <c r="N68" s="1385"/>
      <c r="O68" s="1385"/>
      <c r="P68" s="1385"/>
      <c r="Q68" s="1385"/>
      <c r="R68" s="1385"/>
      <c r="S68" s="1385"/>
      <c r="T68" s="1385"/>
      <c r="U68" s="1385"/>
      <c r="V68" s="1385"/>
      <c r="W68" s="19"/>
      <c r="X68" s="19"/>
      <c r="Y68" s="19"/>
      <c r="Z68" s="19"/>
      <c r="AA68" s="19"/>
      <c r="AB68" s="19"/>
      <c r="AC68" s="19"/>
      <c r="AD68" s="19"/>
      <c r="AE68" s="19"/>
      <c r="AF68" s="967"/>
    </row>
    <row r="69" spans="1:32" ht="15.75">
      <c r="A69" s="1384">
        <v>3170</v>
      </c>
      <c r="B69" s="145" t="s">
        <v>1391</v>
      </c>
      <c r="C69" s="1385"/>
      <c r="D69" s="1385"/>
      <c r="E69" s="1385" t="s">
        <v>1386</v>
      </c>
      <c r="F69" s="19"/>
      <c r="G69" s="1389"/>
      <c r="H69" s="1389"/>
      <c r="I69" s="1389"/>
      <c r="J69" s="1389"/>
      <c r="K69" s="1389"/>
      <c r="L69" s="1389"/>
      <c r="M69" s="1389"/>
      <c r="N69" s="1389"/>
      <c r="O69" s="1389"/>
      <c r="P69" s="1389"/>
      <c r="Q69" s="1389"/>
      <c r="R69" s="1389"/>
      <c r="S69" s="1389"/>
      <c r="T69" s="1389"/>
      <c r="U69" s="1389"/>
      <c r="V69" s="1389"/>
      <c r="W69" s="19"/>
      <c r="X69" s="19"/>
      <c r="Y69" s="19"/>
      <c r="Z69" s="19"/>
      <c r="AA69" s="19"/>
      <c r="AB69" s="19"/>
      <c r="AC69" s="19"/>
      <c r="AD69" s="19"/>
      <c r="AE69" s="19"/>
      <c r="AF69" s="967"/>
    </row>
    <row r="70" spans="1:32" ht="15.75">
      <c r="A70" s="1384"/>
      <c r="B70" s="1360"/>
      <c r="C70" s="1385"/>
      <c r="D70" s="1385"/>
      <c r="E70" s="1385" t="s">
        <v>1387</v>
      </c>
      <c r="F70" s="19"/>
      <c r="G70" s="1389"/>
      <c r="H70" s="1389"/>
      <c r="I70" s="1389"/>
      <c r="J70" s="1389"/>
      <c r="K70" s="1389"/>
      <c r="L70" s="1389"/>
      <c r="M70" s="1389"/>
      <c r="N70" s="1389"/>
      <c r="O70" s="1389"/>
      <c r="P70" s="1389"/>
      <c r="Q70" s="1389"/>
      <c r="R70" s="1389"/>
      <c r="S70" s="1389"/>
      <c r="T70" s="1389"/>
      <c r="U70" s="1389"/>
      <c r="V70" s="1389"/>
      <c r="W70" s="19"/>
      <c r="X70" s="19"/>
      <c r="Y70" s="19"/>
      <c r="Z70" s="19"/>
      <c r="AA70" s="19"/>
      <c r="AB70" s="19"/>
      <c r="AC70" s="19"/>
      <c r="AD70" s="19"/>
      <c r="AE70" s="19"/>
      <c r="AF70" s="967"/>
    </row>
    <row r="71" spans="1:32" ht="15.75">
      <c r="A71" s="1384"/>
      <c r="B71" s="1390"/>
      <c r="C71" s="1379"/>
      <c r="D71" s="1379"/>
      <c r="E71" s="1385" t="s">
        <v>1402</v>
      </c>
      <c r="F71" s="19"/>
      <c r="G71" s="19"/>
      <c r="H71" s="19"/>
      <c r="I71" s="1389"/>
      <c r="J71" s="1389"/>
      <c r="K71" s="1389"/>
      <c r="L71" s="1389"/>
      <c r="M71" s="1389"/>
      <c r="N71" s="1389"/>
      <c r="O71" s="1389"/>
      <c r="P71" s="1389"/>
      <c r="Q71" s="1389"/>
      <c r="R71" s="1389"/>
      <c r="S71" s="1389"/>
      <c r="T71" s="1389"/>
      <c r="U71" s="1389"/>
      <c r="V71" s="1389"/>
      <c r="W71" s="19"/>
      <c r="X71" s="19"/>
      <c r="Y71" s="19"/>
      <c r="Z71" s="19"/>
      <c r="AA71" s="19"/>
      <c r="AB71" s="19"/>
      <c r="AC71" s="19"/>
      <c r="AD71" s="19"/>
      <c r="AE71" s="19"/>
      <c r="AF71" s="967"/>
    </row>
    <row r="72" spans="1:32" ht="15.75">
      <c r="A72" s="1384"/>
      <c r="B72" s="1390"/>
      <c r="C72" s="1379"/>
      <c r="D72" s="1379"/>
      <c r="E72" s="19" t="s">
        <v>1463</v>
      </c>
      <c r="F72" s="19"/>
      <c r="G72" s="19"/>
      <c r="H72" s="19"/>
      <c r="I72" s="1389"/>
      <c r="J72" s="1389"/>
      <c r="K72" s="1389"/>
      <c r="L72" s="1389"/>
      <c r="M72" s="1389"/>
      <c r="N72" s="1389"/>
      <c r="O72" s="1389"/>
      <c r="P72" s="1389"/>
      <c r="Q72" s="1389"/>
      <c r="R72" s="1389"/>
      <c r="S72" s="1389"/>
      <c r="T72" s="1389"/>
      <c r="U72" s="1389"/>
      <c r="V72" s="1389"/>
      <c r="W72" s="19"/>
      <c r="X72" s="19"/>
      <c r="Y72" s="19"/>
      <c r="Z72" s="19"/>
      <c r="AA72" s="19"/>
      <c r="AB72" s="19"/>
      <c r="AC72" s="19"/>
      <c r="AD72" s="19"/>
      <c r="AE72" s="19"/>
      <c r="AF72" s="967"/>
    </row>
    <row r="73" spans="1:32" ht="15.75">
      <c r="A73" s="1384"/>
      <c r="B73" s="1360"/>
      <c r="C73" s="1385"/>
      <c r="D73" s="1385"/>
      <c r="E73" s="1385" t="s">
        <v>1446</v>
      </c>
      <c r="F73" s="19"/>
      <c r="G73" s="1389"/>
      <c r="H73" s="1389"/>
      <c r="I73" s="1389"/>
      <c r="J73" s="1389"/>
      <c r="K73" s="1389"/>
      <c r="L73" s="1389"/>
      <c r="M73" s="1389"/>
      <c r="N73" s="1389"/>
      <c r="O73" s="1389"/>
      <c r="P73" s="1389"/>
      <c r="Q73" s="1389"/>
      <c r="R73" s="1389"/>
      <c r="S73" s="1389"/>
      <c r="T73" s="1389"/>
      <c r="U73" s="1389"/>
      <c r="V73" s="1389"/>
      <c r="W73" s="19"/>
      <c r="X73" s="19"/>
      <c r="Y73" s="19"/>
      <c r="Z73" s="19"/>
      <c r="AA73" s="19"/>
      <c r="AB73" s="19"/>
      <c r="AC73" s="19"/>
      <c r="AD73" s="19"/>
      <c r="AE73" s="19"/>
      <c r="AF73" s="967"/>
    </row>
    <row r="74" spans="1:32" ht="15.75">
      <c r="A74" s="1384"/>
      <c r="B74" s="1360"/>
      <c r="C74" s="1385"/>
      <c r="D74" s="1385"/>
      <c r="E74" s="1385" t="s">
        <v>1365</v>
      </c>
      <c r="F74" s="19"/>
      <c r="G74" s="1389"/>
      <c r="H74" s="1389"/>
      <c r="I74" s="1389"/>
      <c r="J74" s="1389"/>
      <c r="K74" s="1389"/>
      <c r="L74" s="1389"/>
      <c r="M74" s="1389"/>
      <c r="N74" s="1389"/>
      <c r="O74" s="1389"/>
      <c r="P74" s="1389"/>
      <c r="Q74" s="1389"/>
      <c r="R74" s="1389"/>
      <c r="S74" s="1389"/>
      <c r="T74" s="1389"/>
      <c r="U74" s="1389"/>
      <c r="V74" s="1389"/>
      <c r="W74" s="19"/>
      <c r="X74" s="19"/>
      <c r="Y74" s="19"/>
      <c r="Z74" s="19"/>
      <c r="AA74" s="19"/>
      <c r="AB74" s="19"/>
      <c r="AC74" s="19"/>
      <c r="AD74" s="19"/>
      <c r="AE74" s="19"/>
      <c r="AF74" s="967"/>
    </row>
    <row r="75" spans="1:32" ht="15.75">
      <c r="A75" s="1384"/>
      <c r="B75" s="1360"/>
      <c r="C75" s="1385"/>
      <c r="D75" s="1385"/>
      <c r="E75" s="1385"/>
      <c r="F75" s="19"/>
      <c r="G75" s="1389"/>
      <c r="H75" s="1389"/>
      <c r="I75" s="1389"/>
      <c r="J75" s="1389"/>
      <c r="K75" s="1389"/>
      <c r="L75" s="1389"/>
      <c r="M75" s="1389"/>
      <c r="N75" s="1389"/>
      <c r="O75" s="1389"/>
      <c r="P75" s="1389"/>
      <c r="Q75" s="1389"/>
      <c r="R75" s="1389"/>
      <c r="S75" s="1389"/>
      <c r="T75" s="1389"/>
      <c r="U75" s="1389"/>
      <c r="V75" s="1389"/>
      <c r="W75" s="19"/>
      <c r="X75" s="19"/>
      <c r="Y75" s="19"/>
      <c r="Z75" s="19"/>
      <c r="AA75" s="19"/>
      <c r="AB75" s="19"/>
      <c r="AC75" s="19"/>
      <c r="AD75" s="19"/>
      <c r="AE75" s="19"/>
      <c r="AF75" s="967"/>
    </row>
    <row r="76" spans="1:32" ht="15.75">
      <c r="A76" s="1384">
        <v>3180</v>
      </c>
      <c r="B76" s="145" t="s">
        <v>1392</v>
      </c>
      <c r="C76" s="1385"/>
      <c r="D76" s="1385"/>
      <c r="E76" s="1385" t="s">
        <v>1380</v>
      </c>
      <c r="F76" s="19"/>
      <c r="G76" s="1385"/>
      <c r="H76" s="1385"/>
      <c r="I76" s="1385"/>
      <c r="J76" s="1385"/>
      <c r="K76" s="1385"/>
      <c r="L76" s="1385"/>
      <c r="M76" s="1385"/>
      <c r="N76" s="1385"/>
      <c r="O76" s="1385"/>
      <c r="P76" s="1385"/>
      <c r="Q76" s="1385"/>
      <c r="R76" s="1385"/>
      <c r="S76" s="1385"/>
      <c r="T76" s="1385"/>
      <c r="U76" s="1385"/>
      <c r="V76" s="1385"/>
      <c r="W76" s="19"/>
      <c r="X76" s="19"/>
      <c r="Y76" s="19"/>
      <c r="Z76" s="19"/>
      <c r="AA76" s="19"/>
      <c r="AB76" s="19"/>
      <c r="AC76" s="19"/>
      <c r="AD76" s="19"/>
      <c r="AE76" s="19"/>
      <c r="AF76" s="967"/>
    </row>
    <row r="77" spans="1:32" ht="15.75">
      <c r="A77" s="1384"/>
      <c r="B77" s="145" t="s">
        <v>168</v>
      </c>
      <c r="C77" s="1385"/>
      <c r="D77" s="1385"/>
      <c r="E77" s="1385" t="s">
        <v>1381</v>
      </c>
      <c r="F77" s="19"/>
      <c r="G77" s="1385"/>
      <c r="H77" s="1385"/>
      <c r="I77" s="1385"/>
      <c r="J77" s="1385"/>
      <c r="K77" s="1385"/>
      <c r="L77" s="1385"/>
      <c r="M77" s="1385"/>
      <c r="N77" s="1385"/>
      <c r="O77" s="1385"/>
      <c r="P77" s="1385"/>
      <c r="Q77" s="1385"/>
      <c r="R77" s="1385"/>
      <c r="S77" s="1385"/>
      <c r="T77" s="1385"/>
      <c r="U77" s="1385"/>
      <c r="V77" s="1385"/>
      <c r="W77" s="19"/>
      <c r="X77" s="19"/>
      <c r="Y77" s="19"/>
      <c r="Z77" s="19"/>
      <c r="AA77" s="19"/>
      <c r="AB77" s="19"/>
      <c r="AC77" s="19"/>
      <c r="AD77" s="19"/>
      <c r="AE77" s="19"/>
      <c r="AF77" s="967"/>
    </row>
    <row r="78" spans="1:32" ht="15.75">
      <c r="A78" s="1384"/>
      <c r="B78" s="1360"/>
      <c r="C78" s="1385"/>
      <c r="D78" s="1385"/>
      <c r="E78" s="1385" t="s">
        <v>1382</v>
      </c>
      <c r="F78" s="19"/>
      <c r="G78" s="1385"/>
      <c r="H78" s="1385"/>
      <c r="I78" s="1385"/>
      <c r="J78" s="1385"/>
      <c r="K78" s="1385"/>
      <c r="L78" s="1385"/>
      <c r="M78" s="1385"/>
      <c r="N78" s="1385"/>
      <c r="O78" s="1385"/>
      <c r="P78" s="1385"/>
      <c r="Q78" s="1385"/>
      <c r="R78" s="1385"/>
      <c r="S78" s="1385"/>
      <c r="T78" s="1385"/>
      <c r="U78" s="1385"/>
      <c r="V78" s="1385"/>
      <c r="W78" s="19"/>
      <c r="X78" s="19"/>
      <c r="Y78" s="19"/>
      <c r="Z78" s="19"/>
      <c r="AA78" s="19"/>
      <c r="AB78" s="19"/>
      <c r="AC78" s="19"/>
      <c r="AD78" s="19"/>
      <c r="AE78" s="19"/>
      <c r="AF78" s="967"/>
    </row>
    <row r="79" spans="1:32" ht="15.75">
      <c r="A79" s="1384"/>
      <c r="B79" s="1360"/>
      <c r="C79" s="1385"/>
      <c r="D79" s="1385"/>
      <c r="E79" s="1385" t="s">
        <v>1383</v>
      </c>
      <c r="F79" s="19"/>
      <c r="G79" s="1385"/>
      <c r="H79" s="1385"/>
      <c r="I79" s="1385"/>
      <c r="J79" s="1385"/>
      <c r="K79" s="1385"/>
      <c r="L79" s="1385"/>
      <c r="M79" s="1385"/>
      <c r="N79" s="1385"/>
      <c r="O79" s="1385"/>
      <c r="P79" s="1385"/>
      <c r="Q79" s="1385"/>
      <c r="R79" s="1385"/>
      <c r="S79" s="1385"/>
      <c r="T79" s="1385"/>
      <c r="U79" s="1385"/>
      <c r="V79" s="1385"/>
      <c r="W79" s="19"/>
      <c r="X79" s="19"/>
      <c r="Y79" s="19"/>
      <c r="Z79" s="19"/>
      <c r="AA79" s="19"/>
      <c r="AB79" s="19"/>
      <c r="AC79" s="19"/>
      <c r="AD79" s="19"/>
      <c r="AE79" s="19"/>
      <c r="AF79" s="967"/>
    </row>
    <row r="80" spans="1:32" ht="15.75">
      <c r="A80" s="1384"/>
      <c r="B80" s="1360"/>
      <c r="C80" s="1385"/>
      <c r="D80" s="1385"/>
      <c r="E80" s="1385" t="s">
        <v>1365</v>
      </c>
      <c r="F80" s="19"/>
      <c r="G80" s="1385"/>
      <c r="H80" s="1385"/>
      <c r="I80" s="1385"/>
      <c r="J80" s="1385"/>
      <c r="K80" s="1385"/>
      <c r="L80" s="1385"/>
      <c r="M80" s="1385"/>
      <c r="N80" s="1385"/>
      <c r="O80" s="1385"/>
      <c r="P80" s="1385"/>
      <c r="Q80" s="1385"/>
      <c r="R80" s="1385"/>
      <c r="S80" s="1385"/>
      <c r="T80" s="1385"/>
      <c r="U80" s="1385"/>
      <c r="V80" s="1385"/>
      <c r="W80" s="19"/>
      <c r="X80" s="19"/>
      <c r="Y80" s="19"/>
      <c r="Z80" s="19"/>
      <c r="AA80" s="19"/>
      <c r="AB80" s="19"/>
      <c r="AC80" s="19"/>
      <c r="AD80" s="19"/>
      <c r="AE80" s="19"/>
      <c r="AF80" s="967"/>
    </row>
    <row r="81" spans="1:32" ht="15.75">
      <c r="A81" s="1384"/>
      <c r="B81" s="1360"/>
      <c r="C81" s="1385"/>
      <c r="D81" s="1385"/>
      <c r="E81" s="1385"/>
      <c r="F81" s="19"/>
      <c r="G81" s="1389"/>
      <c r="H81" s="1389"/>
      <c r="I81" s="1389"/>
      <c r="J81" s="1389"/>
      <c r="K81" s="1389"/>
      <c r="L81" s="1389"/>
      <c r="M81" s="1389"/>
      <c r="N81" s="1389"/>
      <c r="O81" s="1389"/>
      <c r="P81" s="1389"/>
      <c r="Q81" s="1389"/>
      <c r="R81" s="1389"/>
      <c r="S81" s="1389"/>
      <c r="T81" s="1389"/>
      <c r="U81" s="1389"/>
      <c r="V81" s="1389"/>
      <c r="W81" s="19"/>
      <c r="X81" s="19"/>
      <c r="Y81" s="19"/>
      <c r="Z81" s="19"/>
      <c r="AA81" s="19"/>
      <c r="AB81" s="19"/>
      <c r="AC81" s="19"/>
      <c r="AD81" s="19"/>
      <c r="AE81" s="19"/>
      <c r="AF81" s="967"/>
    </row>
    <row r="82" spans="1:32" ht="15.75">
      <c r="A82" s="1391">
        <v>8760</v>
      </c>
      <c r="B82" s="145" t="s">
        <v>1395</v>
      </c>
      <c r="C82" s="19"/>
      <c r="D82" s="19"/>
      <c r="E82" s="1385" t="s">
        <v>1388</v>
      </c>
      <c r="F82" s="19"/>
      <c r="G82" s="1389"/>
      <c r="H82" s="1389"/>
      <c r="I82" s="1389"/>
      <c r="J82" s="1389"/>
      <c r="K82" s="1389"/>
      <c r="L82" s="1389"/>
      <c r="M82" s="1389"/>
      <c r="N82" s="1389"/>
      <c r="O82" s="1389"/>
      <c r="P82" s="1389"/>
      <c r="Q82" s="1389"/>
      <c r="R82" s="1389"/>
      <c r="S82" s="1389"/>
      <c r="T82" s="1389"/>
      <c r="U82" s="1389"/>
      <c r="V82" s="1389"/>
      <c r="W82" s="19"/>
      <c r="X82" s="19"/>
      <c r="Y82" s="19"/>
      <c r="Z82" s="19"/>
      <c r="AA82" s="19"/>
      <c r="AB82" s="19"/>
      <c r="AC82" s="19"/>
      <c r="AD82" s="19"/>
      <c r="AE82" s="19"/>
      <c r="AF82" s="967"/>
    </row>
    <row r="83" spans="1:32" ht="15.75">
      <c r="A83" s="1391"/>
      <c r="B83" s="145" t="s">
        <v>1393</v>
      </c>
      <c r="C83" s="19"/>
      <c r="D83" s="19"/>
      <c r="E83" s="1385" t="s">
        <v>1348</v>
      </c>
      <c r="F83" s="19"/>
      <c r="G83" s="1389"/>
      <c r="H83" s="1389"/>
      <c r="I83" s="1389"/>
      <c r="J83" s="1389"/>
      <c r="K83" s="1389"/>
      <c r="L83" s="1389"/>
      <c r="M83" s="1389"/>
      <c r="N83" s="1389"/>
      <c r="O83" s="19"/>
      <c r="P83" s="1389"/>
      <c r="Q83" s="1389"/>
      <c r="R83" s="1389"/>
      <c r="S83" s="1389"/>
      <c r="T83" s="1389"/>
      <c r="U83" s="1389"/>
      <c r="V83" s="1389"/>
      <c r="W83" s="19"/>
      <c r="X83" s="19"/>
      <c r="Y83" s="19"/>
      <c r="Z83" s="19"/>
      <c r="AA83" s="19"/>
      <c r="AB83" s="19"/>
      <c r="AC83" s="19"/>
      <c r="AD83" s="19"/>
      <c r="AE83" s="19"/>
      <c r="AF83" s="967"/>
    </row>
    <row r="84" spans="1:32" ht="15.75">
      <c r="A84" s="1391"/>
      <c r="B84" s="145" t="s">
        <v>1394</v>
      </c>
      <c r="C84" s="19"/>
      <c r="D84" s="19"/>
      <c r="E84" s="1385" t="s">
        <v>1403</v>
      </c>
      <c r="F84" s="19"/>
      <c r="G84" s="1389"/>
      <c r="H84" s="1389"/>
      <c r="I84" s="1389"/>
      <c r="J84" s="1389"/>
      <c r="K84" s="1389"/>
      <c r="L84" s="1389"/>
      <c r="M84" s="1389"/>
      <c r="N84" s="1389"/>
      <c r="O84" s="19"/>
      <c r="P84" s="1389"/>
      <c r="Q84" s="1389"/>
      <c r="R84" s="1389"/>
      <c r="S84" s="1389"/>
      <c r="T84" s="1389"/>
      <c r="U84" s="1389"/>
      <c r="V84" s="1389"/>
      <c r="W84" s="19"/>
      <c r="X84" s="19"/>
      <c r="Y84" s="19"/>
      <c r="Z84" s="19"/>
      <c r="AA84" s="19"/>
      <c r="AB84" s="19"/>
      <c r="AC84" s="19"/>
      <c r="AD84" s="19"/>
      <c r="AE84" s="19"/>
      <c r="AF84" s="967"/>
    </row>
    <row r="85" spans="1:32" ht="15.75">
      <c r="A85" s="1391"/>
      <c r="B85" s="145"/>
      <c r="C85" s="19"/>
      <c r="D85" s="19"/>
      <c r="E85" s="1385" t="s">
        <v>1420</v>
      </c>
      <c r="F85" s="19"/>
      <c r="G85" s="1389"/>
      <c r="H85" s="1389"/>
      <c r="I85" s="1389"/>
      <c r="J85" s="1389"/>
      <c r="K85" s="1389"/>
      <c r="L85" s="1389"/>
      <c r="M85" s="1389"/>
      <c r="N85" s="1389"/>
      <c r="O85" s="19"/>
      <c r="P85" s="1389"/>
      <c r="Q85" s="1389"/>
      <c r="R85" s="1389"/>
      <c r="S85" s="1389"/>
      <c r="T85" s="1389"/>
      <c r="U85" s="1389"/>
      <c r="V85" s="1389"/>
      <c r="W85" s="19"/>
      <c r="X85" s="19"/>
      <c r="Y85" s="19"/>
      <c r="Z85" s="19"/>
      <c r="AA85" s="19"/>
      <c r="AB85" s="19"/>
      <c r="AC85" s="19"/>
      <c r="AD85" s="19"/>
      <c r="AE85" s="19"/>
      <c r="AF85" s="967"/>
    </row>
    <row r="86" spans="1:32" ht="15.75">
      <c r="A86" s="1391"/>
      <c r="B86" s="145"/>
      <c r="C86" s="19"/>
      <c r="D86" s="19"/>
      <c r="E86" s="1385" t="s">
        <v>1464</v>
      </c>
      <c r="F86" s="19"/>
      <c r="G86" s="1389"/>
      <c r="H86" s="1389"/>
      <c r="I86" s="1389"/>
      <c r="J86" s="1389"/>
      <c r="K86" s="1389"/>
      <c r="L86" s="1389"/>
      <c r="M86" s="1389"/>
      <c r="N86" s="1389"/>
      <c r="O86" s="19"/>
      <c r="P86" s="1389"/>
      <c r="Q86" s="1389"/>
      <c r="R86" s="1389"/>
      <c r="S86" s="1389"/>
      <c r="T86" s="1389"/>
      <c r="U86" s="1389"/>
      <c r="V86" s="1389"/>
      <c r="W86" s="19"/>
      <c r="X86" s="19"/>
      <c r="Y86" s="19"/>
      <c r="Z86" s="19"/>
      <c r="AA86" s="19"/>
      <c r="AB86" s="19"/>
      <c r="AC86" s="19"/>
      <c r="AD86" s="19"/>
      <c r="AE86" s="19"/>
      <c r="AF86" s="967"/>
    </row>
    <row r="87" spans="1:32" s="776" customFormat="1" ht="15.75">
      <c r="A87" s="1391"/>
      <c r="B87" s="145"/>
      <c r="C87" s="19"/>
      <c r="D87" s="19"/>
      <c r="E87" s="1385" t="s">
        <v>1469</v>
      </c>
      <c r="F87" s="1385"/>
      <c r="G87" s="1412"/>
      <c r="H87" s="1412"/>
      <c r="I87" s="1412"/>
      <c r="J87" s="1389"/>
      <c r="K87" s="1389"/>
      <c r="L87" s="1389"/>
      <c r="M87" s="1389"/>
      <c r="N87" s="1389"/>
      <c r="O87" s="19"/>
      <c r="P87" s="1389"/>
      <c r="Q87" s="1389"/>
      <c r="R87" s="1389"/>
      <c r="S87" s="1389"/>
      <c r="T87" s="1389"/>
      <c r="U87" s="1389"/>
      <c r="V87" s="1389"/>
      <c r="W87" s="19"/>
      <c r="X87" s="19"/>
      <c r="Y87" s="19"/>
      <c r="Z87" s="19"/>
      <c r="AA87" s="19"/>
      <c r="AB87" s="19"/>
      <c r="AC87" s="19"/>
      <c r="AD87" s="19"/>
      <c r="AE87" s="19"/>
      <c r="AF87" s="967"/>
    </row>
    <row r="88" spans="1:32" s="776" customFormat="1" ht="15.75">
      <c r="A88" s="1391"/>
      <c r="B88" s="145"/>
      <c r="C88" s="19"/>
      <c r="D88" s="19"/>
      <c r="E88" s="1385" t="s">
        <v>1470</v>
      </c>
      <c r="F88" s="1385"/>
      <c r="G88" s="1412"/>
      <c r="H88" s="1412"/>
      <c r="I88" s="1412"/>
      <c r="J88" s="1389"/>
      <c r="K88" s="1389"/>
      <c r="L88" s="1389"/>
      <c r="M88" s="1389"/>
      <c r="N88" s="1389"/>
      <c r="O88" s="19"/>
      <c r="P88" s="1389"/>
      <c r="Q88" s="1389"/>
      <c r="R88" s="1389"/>
      <c r="S88" s="1389"/>
      <c r="T88" s="1389"/>
      <c r="U88" s="1389"/>
      <c r="V88" s="1389"/>
      <c r="W88" s="19"/>
      <c r="X88" s="19"/>
      <c r="Y88" s="19"/>
      <c r="Z88" s="19"/>
      <c r="AA88" s="19"/>
      <c r="AB88" s="19"/>
      <c r="AC88" s="19"/>
      <c r="AD88" s="19"/>
      <c r="AE88" s="19"/>
      <c r="AF88" s="967"/>
    </row>
    <row r="89" spans="1:32" ht="15.75">
      <c r="A89" s="1384"/>
      <c r="B89" s="1392"/>
      <c r="C89" s="1385"/>
      <c r="D89" s="1385"/>
      <c r="E89" s="1385" t="s">
        <v>1349</v>
      </c>
      <c r="F89" s="19"/>
      <c r="G89" s="1389"/>
      <c r="H89" s="1389"/>
      <c r="I89" s="1389"/>
      <c r="J89" s="1389"/>
      <c r="K89" s="1389"/>
      <c r="L89" s="1389"/>
      <c r="M89" s="1389"/>
      <c r="N89" s="1389"/>
      <c r="O89" s="1389"/>
      <c r="P89" s="1389"/>
      <c r="Q89" s="1389"/>
      <c r="R89" s="1389"/>
      <c r="S89" s="1389"/>
      <c r="T89" s="1389"/>
      <c r="U89" s="1389"/>
      <c r="V89" s="1389"/>
      <c r="W89" s="19"/>
      <c r="X89" s="19"/>
      <c r="Y89" s="19"/>
      <c r="Z89" s="19"/>
      <c r="AA89" s="19"/>
      <c r="AB89" s="19"/>
      <c r="AC89" s="19"/>
      <c r="AD89" s="19"/>
      <c r="AE89" s="19"/>
      <c r="AF89" s="967"/>
    </row>
    <row r="90" spans="1:32" ht="15.75">
      <c r="A90" s="1384"/>
      <c r="B90" s="1392"/>
      <c r="C90" s="1385"/>
      <c r="D90" s="1385"/>
      <c r="E90" s="1385" t="s">
        <v>1365</v>
      </c>
      <c r="F90" s="19"/>
      <c r="G90" s="1389"/>
      <c r="H90" s="1389"/>
      <c r="I90" s="1389"/>
      <c r="J90" s="1389"/>
      <c r="K90" s="1389"/>
      <c r="L90" s="1389"/>
      <c r="M90" s="1389"/>
      <c r="N90" s="1389"/>
      <c r="O90" s="1389"/>
      <c r="P90" s="1389"/>
      <c r="Q90" s="1389"/>
      <c r="R90" s="1389"/>
      <c r="S90" s="1389"/>
      <c r="T90" s="1389"/>
      <c r="U90" s="1389"/>
      <c r="V90" s="1389"/>
      <c r="W90" s="19"/>
      <c r="X90" s="19"/>
      <c r="Y90" s="19"/>
      <c r="Z90" s="19"/>
      <c r="AA90" s="19"/>
      <c r="AB90" s="19"/>
      <c r="AC90" s="19"/>
      <c r="AD90" s="19"/>
      <c r="AE90" s="19"/>
      <c r="AF90" s="967"/>
    </row>
    <row r="91" spans="1:32" ht="15">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c r="AA91" s="1351"/>
      <c r="AB91" s="1351"/>
      <c r="AC91" s="1351"/>
      <c r="AD91" s="1351"/>
      <c r="AE91" s="1351"/>
      <c r="AF91" s="967"/>
    </row>
    <row r="92" spans="1:32" ht="14.2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row>
    <row r="93" spans="1:32" ht="14.2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row>
    <row r="94" spans="1:32" ht="14.2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row>
    <row r="95" spans="1:32" ht="14.2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row>
    <row r="96" spans="1:32" ht="14.2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row>
    <row r="97" spans="1:28" ht="14.2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row>
    <row r="98" spans="1:28" ht="14.2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row>
    <row r="99" spans="1:28" ht="14.2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row>
    <row r="100" spans="1:28" ht="14.2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row>
    <row r="101" spans="1:28" ht="14.2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row>
    <row r="102" spans="1:28" ht="14.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row>
    <row r="103" spans="1:28" ht="14.2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row>
    <row r="104" spans="1:28" ht="14.2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row>
    <row r="105" spans="1:28" ht="14.2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row>
    <row r="106" spans="1:28" ht="14.2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row>
    <row r="107" spans="1:28" ht="14.2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row>
    <row r="108" spans="1:28" ht="14.2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row>
    <row r="109" spans="1:28" ht="14.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row>
    <row r="110" spans="1:28" ht="14.2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row>
    <row r="111" spans="1:28" ht="14.2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row>
    <row r="112" spans="1:28" ht="14.2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row>
    <row r="113" spans="1:28" ht="14.2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row>
    <row r="114" spans="1:28" ht="14.2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row>
    <row r="115" spans="1:28" ht="14.2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row>
    <row r="116" spans="1:28" ht="14.2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row>
    <row r="117" spans="1:28" ht="14.2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row>
    <row r="118" spans="1:28" ht="14.2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row>
    <row r="119" spans="1:28" ht="14.2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row>
    <row r="120" spans="1:28" ht="14.2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row>
    <row r="121" spans="1:28" ht="14.2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row>
    <row r="122" spans="1:28" ht="14.2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row>
  </sheetData>
  <mergeCells count="3">
    <mergeCell ref="E1:H1"/>
    <mergeCell ref="E2:H2"/>
    <mergeCell ref="W1:AA1"/>
  </mergeCells>
  <pageMargins left="0.7" right="0.7" top="0.75" bottom="0.75" header="0.3" footer="0.3"/>
  <pageSetup paperSize="9" scale="50" fitToHeight="0" orientation="landscape" r:id="rId1"/>
  <headerFooter>
    <oddFooter>&amp;L&amp;P&amp;RIreland, Wallace &amp; Associated Limited</oddFooter>
  </headerFooter>
  <rowBreaks count="1" manualBreakCount="1">
    <brk id="56" max="2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2E1D2-9F34-49C1-B04A-94F6F1DAFB83}">
  <sheetPr>
    <tabColor theme="0" tint="-0.34998626667073579"/>
    <pageSetUpPr fitToPage="1"/>
  </sheetPr>
  <dimension ref="A1:BE72"/>
  <sheetViews>
    <sheetView zoomScaleNormal="100" workbookViewId="0">
      <selection activeCell="V23" sqref="V23"/>
    </sheetView>
  </sheetViews>
  <sheetFormatPr defaultRowHeight="12.75"/>
  <cols>
    <col min="3" max="3" width="3" style="776" customWidth="1"/>
    <col min="4" max="5" width="5" customWidth="1"/>
    <col min="6" max="6" width="5.28515625" customWidth="1"/>
    <col min="7" max="27" width="8.140625" customWidth="1"/>
    <col min="28" max="28" width="8.140625" style="776" customWidth="1"/>
  </cols>
  <sheetData>
    <row r="1" spans="1:57" s="776" customFormat="1" ht="22.15" customHeight="1">
      <c r="A1" s="799" t="s">
        <v>0</v>
      </c>
      <c r="B1" s="904"/>
      <c r="C1" s="904"/>
      <c r="D1" s="904"/>
      <c r="E1" s="1439" t="s">
        <v>1407</v>
      </c>
      <c r="F1" s="1440"/>
      <c r="G1" s="1440"/>
      <c r="H1" s="1440"/>
      <c r="M1" s="1201"/>
      <c r="N1" s="1201"/>
      <c r="O1" s="914"/>
      <c r="P1" s="915"/>
      <c r="Q1" s="7"/>
      <c r="R1" s="644"/>
      <c r="S1" s="7"/>
      <c r="T1" s="7"/>
      <c r="U1" s="7"/>
      <c r="V1" s="7"/>
      <c r="W1" s="1473" t="s">
        <v>639</v>
      </c>
      <c r="X1" s="1474"/>
      <c r="Y1" s="1474"/>
      <c r="Z1" s="1474"/>
      <c r="AA1" s="1474"/>
      <c r="AB1" s="1381">
        <v>9</v>
      </c>
      <c r="AC1" s="967"/>
      <c r="AD1" s="967"/>
      <c r="AE1" s="967"/>
      <c r="AF1" s="967"/>
      <c r="AG1" s="967"/>
      <c r="AH1" s="967"/>
      <c r="AI1" s="967"/>
      <c r="AJ1" s="967"/>
      <c r="AK1" s="967"/>
      <c r="AL1" s="967"/>
      <c r="AM1" s="967"/>
      <c r="AN1" s="967"/>
      <c r="AO1" s="967"/>
      <c r="AP1" s="967"/>
      <c r="AQ1" s="967"/>
      <c r="AR1" s="967"/>
      <c r="AS1" s="967"/>
    </row>
    <row r="2" spans="1:57" s="776" customFormat="1">
      <c r="A2" s="806" t="s">
        <v>640</v>
      </c>
      <c r="B2" s="961"/>
      <c r="C2" s="962"/>
      <c r="D2" s="963"/>
      <c r="E2" s="242"/>
      <c r="F2" s="69">
        <v>0</v>
      </c>
      <c r="G2" s="69">
        <f t="shared" ref="G2:V3" si="0">F2+1</f>
        <v>1</v>
      </c>
      <c r="H2" s="69">
        <f t="shared" si="0"/>
        <v>2</v>
      </c>
      <c r="I2" s="69">
        <f t="shared" si="0"/>
        <v>3</v>
      </c>
      <c r="J2" s="73">
        <f t="shared" si="0"/>
        <v>4</v>
      </c>
      <c r="K2" s="69">
        <f t="shared" si="0"/>
        <v>5</v>
      </c>
      <c r="L2" s="69">
        <f t="shared" si="0"/>
        <v>6</v>
      </c>
      <c r="M2" s="69">
        <f t="shared" si="0"/>
        <v>7</v>
      </c>
      <c r="N2" s="69">
        <f t="shared" si="0"/>
        <v>8</v>
      </c>
      <c r="O2" s="69">
        <f t="shared" si="0"/>
        <v>9</v>
      </c>
      <c r="P2" s="69">
        <f t="shared" si="0"/>
        <v>10</v>
      </c>
      <c r="Q2" s="69">
        <f t="shared" si="0"/>
        <v>11</v>
      </c>
      <c r="R2" s="69">
        <f t="shared" si="0"/>
        <v>12</v>
      </c>
      <c r="S2" s="69">
        <f t="shared" si="0"/>
        <v>13</v>
      </c>
      <c r="T2" s="69">
        <f t="shared" si="0"/>
        <v>14</v>
      </c>
      <c r="U2" s="69">
        <f t="shared" si="0"/>
        <v>15</v>
      </c>
      <c r="V2" s="69">
        <f t="shared" si="0"/>
        <v>16</v>
      </c>
      <c r="W2" s="69">
        <f t="shared" ref="W2:AB3" si="1">V2+1</f>
        <v>17</v>
      </c>
      <c r="X2" s="69">
        <f t="shared" si="1"/>
        <v>18</v>
      </c>
      <c r="Y2" s="69">
        <f t="shared" si="1"/>
        <v>19</v>
      </c>
      <c r="Z2" s="69">
        <f t="shared" si="1"/>
        <v>20</v>
      </c>
      <c r="AA2" s="69">
        <f t="shared" si="1"/>
        <v>21</v>
      </c>
      <c r="AB2" s="69"/>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row>
    <row r="3" spans="1:57">
      <c r="A3" s="1177"/>
      <c r="B3" s="644"/>
      <c r="C3" s="1211"/>
      <c r="D3" s="1266" t="s">
        <v>32</v>
      </c>
      <c r="E3" s="1266" t="s">
        <v>3</v>
      </c>
      <c r="F3" s="1202">
        <v>1999</v>
      </c>
      <c r="G3" s="1202">
        <f t="shared" si="0"/>
        <v>2000</v>
      </c>
      <c r="H3" s="1202">
        <f t="shared" si="0"/>
        <v>2001</v>
      </c>
      <c r="I3" s="1202">
        <f t="shared" si="0"/>
        <v>2002</v>
      </c>
      <c r="J3" s="1202">
        <f t="shared" si="0"/>
        <v>2003</v>
      </c>
      <c r="K3" s="1202">
        <f t="shared" si="0"/>
        <v>2004</v>
      </c>
      <c r="L3" s="1202">
        <f t="shared" si="0"/>
        <v>2005</v>
      </c>
      <c r="M3" s="1202">
        <f t="shared" si="0"/>
        <v>2006</v>
      </c>
      <c r="N3" s="1202">
        <v>2007</v>
      </c>
      <c r="O3" s="1202">
        <f t="shared" si="0"/>
        <v>2008</v>
      </c>
      <c r="P3" s="1202">
        <f t="shared" si="0"/>
        <v>2009</v>
      </c>
      <c r="Q3" s="1202">
        <f t="shared" si="0"/>
        <v>2010</v>
      </c>
      <c r="R3" s="1202">
        <f t="shared" si="0"/>
        <v>2011</v>
      </c>
      <c r="S3" s="1202">
        <f t="shared" si="0"/>
        <v>2012</v>
      </c>
      <c r="T3" s="1202">
        <f t="shared" si="0"/>
        <v>2013</v>
      </c>
      <c r="U3" s="1202">
        <f t="shared" si="0"/>
        <v>2014</v>
      </c>
      <c r="V3" s="1202">
        <f t="shared" si="0"/>
        <v>2015</v>
      </c>
      <c r="W3" s="1202">
        <f t="shared" si="1"/>
        <v>2016</v>
      </c>
      <c r="X3" s="1202">
        <f t="shared" si="1"/>
        <v>2017</v>
      </c>
      <c r="Y3" s="1202">
        <f t="shared" si="1"/>
        <v>2018</v>
      </c>
      <c r="Z3" s="1202">
        <f t="shared" si="1"/>
        <v>2019</v>
      </c>
      <c r="AA3" s="1202">
        <f t="shared" si="1"/>
        <v>2020</v>
      </c>
      <c r="AB3" s="1202">
        <f t="shared" si="1"/>
        <v>2021</v>
      </c>
      <c r="AC3" s="52"/>
      <c r="AD3" s="52"/>
      <c r="AE3" s="52"/>
      <c r="AF3" s="52"/>
      <c r="AG3" s="52"/>
      <c r="AH3" s="52"/>
      <c r="AI3" s="1266"/>
      <c r="AJ3" s="52"/>
      <c r="AK3" s="52"/>
      <c r="AL3" s="52"/>
      <c r="AM3" s="52"/>
      <c r="AN3" s="52"/>
      <c r="AO3" s="52"/>
      <c r="AP3" s="52"/>
      <c r="AQ3" s="52"/>
      <c r="AR3" s="52"/>
      <c r="AS3" s="52"/>
      <c r="AT3" s="52"/>
      <c r="AU3" s="52"/>
      <c r="AV3" s="52"/>
      <c r="AW3" s="52"/>
      <c r="AX3" s="52"/>
      <c r="AY3" s="52"/>
      <c r="AZ3" s="52"/>
      <c r="BA3" s="52"/>
      <c r="BB3" s="52"/>
      <c r="BC3" s="52"/>
      <c r="BD3" s="52"/>
      <c r="BE3" s="52"/>
    </row>
    <row r="4" spans="1:57">
      <c r="A4" s="1471" t="s">
        <v>641</v>
      </c>
      <c r="B4" s="1471"/>
      <c r="C4" s="1471"/>
      <c r="D4" s="1471"/>
      <c r="E4" s="1471"/>
      <c r="F4" s="52"/>
      <c r="G4" s="52"/>
      <c r="H4" s="52"/>
      <c r="I4" s="52"/>
      <c r="J4" s="52"/>
      <c r="K4" s="52"/>
      <c r="L4" s="52"/>
      <c r="M4" s="52"/>
      <c r="N4" s="52"/>
      <c r="O4" s="52"/>
      <c r="P4" s="52"/>
      <c r="Q4" s="52"/>
      <c r="R4" s="52"/>
      <c r="S4" s="52"/>
      <c r="T4" s="52"/>
      <c r="U4" s="52"/>
      <c r="V4" s="52"/>
      <c r="W4" s="52"/>
      <c r="X4" s="52"/>
      <c r="Y4" s="52"/>
      <c r="Z4" s="52"/>
      <c r="AA4" s="52"/>
      <c r="AB4" s="52"/>
      <c r="AC4" s="52"/>
      <c r="AD4" s="70"/>
      <c r="AE4" s="70"/>
      <c r="AF4" s="70"/>
      <c r="AG4" s="70"/>
      <c r="AH4" s="70"/>
      <c r="AI4" s="70"/>
      <c r="AJ4" s="70"/>
      <c r="AK4" s="70"/>
      <c r="AL4" s="70"/>
      <c r="AM4" s="70"/>
      <c r="AN4" s="70"/>
      <c r="AO4" s="70"/>
      <c r="AP4" s="70"/>
      <c r="AQ4" s="70"/>
      <c r="AR4" s="70"/>
      <c r="AS4" s="52"/>
      <c r="AT4" s="52"/>
      <c r="AU4" s="52"/>
      <c r="AV4" s="52"/>
      <c r="AW4" s="52"/>
      <c r="AX4" s="52"/>
      <c r="AY4" s="52"/>
      <c r="AZ4" s="52"/>
      <c r="BA4" s="52"/>
      <c r="BB4" s="52"/>
      <c r="BC4" s="52"/>
      <c r="BD4" s="52"/>
      <c r="BE4" s="52"/>
    </row>
    <row r="5" spans="1:57">
      <c r="A5" s="1472" t="s">
        <v>636</v>
      </c>
      <c r="B5" s="1472"/>
      <c r="C5" s="1472"/>
      <c r="D5" s="1472"/>
      <c r="E5" s="1472"/>
      <c r="F5" s="74"/>
      <c r="G5" s="74"/>
      <c r="H5" s="74"/>
      <c r="I5" s="74"/>
      <c r="J5" s="74"/>
      <c r="K5" s="74"/>
      <c r="L5" s="74"/>
      <c r="M5" s="74"/>
      <c r="N5" s="74"/>
      <c r="O5" s="74"/>
      <c r="P5" s="74"/>
      <c r="Q5" s="74"/>
      <c r="R5" s="74"/>
      <c r="S5" s="74"/>
      <c r="T5" s="74"/>
      <c r="U5" s="74"/>
      <c r="V5" s="74"/>
      <c r="W5" s="74"/>
      <c r="X5" s="74"/>
      <c r="Y5" s="74"/>
      <c r="Z5" s="74"/>
      <c r="AA5" s="74"/>
      <c r="AB5" s="74"/>
      <c r="AC5" s="52"/>
      <c r="AD5" s="70"/>
      <c r="AE5" s="70"/>
      <c r="AF5" s="70"/>
      <c r="AG5" s="70"/>
      <c r="AH5" s="70"/>
      <c r="AI5" s="70"/>
      <c r="AJ5" s="70"/>
      <c r="AK5" s="70"/>
      <c r="AL5" s="70"/>
      <c r="AM5" s="70"/>
      <c r="AN5" s="70"/>
      <c r="AO5" s="70"/>
      <c r="AP5" s="70"/>
      <c r="AQ5" s="70"/>
      <c r="AR5" s="70"/>
      <c r="AS5" s="52"/>
      <c r="AT5" s="52"/>
      <c r="AU5" s="52"/>
      <c r="AV5" s="52"/>
      <c r="AW5" s="52"/>
      <c r="AX5" s="52"/>
      <c r="AY5" s="52"/>
      <c r="AZ5" s="52"/>
      <c r="BA5" s="52"/>
      <c r="BB5" s="52"/>
      <c r="BC5" s="52"/>
      <c r="BD5" s="52"/>
      <c r="BE5" s="52"/>
    </row>
    <row r="6" spans="1:57">
      <c r="A6" s="918" t="s">
        <v>642</v>
      </c>
      <c r="B6" s="918"/>
      <c r="C6" s="918"/>
      <c r="D6" s="918"/>
      <c r="E6" s="52"/>
      <c r="F6" s="593"/>
      <c r="G6" s="242"/>
      <c r="H6" s="242"/>
      <c r="I6" s="242"/>
      <c r="J6" s="242"/>
      <c r="K6" s="242"/>
      <c r="L6" s="242"/>
      <c r="M6" s="242"/>
      <c r="N6" s="242"/>
      <c r="O6" s="241"/>
      <c r="P6" s="241"/>
      <c r="Q6" s="241"/>
      <c r="R6" s="241"/>
      <c r="S6" s="241"/>
      <c r="T6" s="241"/>
      <c r="U6" s="241"/>
      <c r="V6" s="241"/>
      <c r="W6" s="1038"/>
      <c r="X6" s="241"/>
      <c r="Y6" s="241"/>
      <c r="Z6" s="241"/>
      <c r="AA6" s="241"/>
      <c r="AB6" s="241"/>
      <c r="AC6" s="52"/>
      <c r="AD6" s="70"/>
      <c r="AE6" s="70"/>
      <c r="AF6" s="70"/>
      <c r="AG6" s="70"/>
      <c r="AH6" s="70"/>
      <c r="AI6" s="70"/>
      <c r="AJ6" s="70"/>
      <c r="AK6" s="70"/>
      <c r="AL6" s="70"/>
      <c r="AM6" s="70"/>
      <c r="AN6" s="70"/>
      <c r="AO6" s="70"/>
      <c r="AP6" s="70"/>
      <c r="AQ6" s="70"/>
      <c r="AR6" s="70"/>
      <c r="AS6" s="52"/>
      <c r="AT6" s="52"/>
      <c r="AU6" s="52"/>
      <c r="AV6" s="52"/>
      <c r="AW6" s="52"/>
      <c r="AX6" s="52"/>
      <c r="AY6" s="52"/>
      <c r="AZ6" s="52"/>
      <c r="BA6" s="52"/>
      <c r="BB6" s="52"/>
      <c r="BC6" s="52"/>
      <c r="BD6" s="52"/>
      <c r="BE6" s="52"/>
    </row>
    <row r="7" spans="1:57">
      <c r="A7" s="52" t="s">
        <v>643</v>
      </c>
      <c r="B7" s="52"/>
      <c r="C7" s="52"/>
      <c r="D7" s="52">
        <v>1</v>
      </c>
      <c r="E7" s="70"/>
      <c r="F7" s="241">
        <v>0</v>
      </c>
      <c r="G7" s="241">
        <v>861</v>
      </c>
      <c r="H7" s="241">
        <v>1173</v>
      </c>
      <c r="I7" s="241">
        <v>1718</v>
      </c>
      <c r="J7" s="241">
        <v>3445</v>
      </c>
      <c r="K7" s="241">
        <v>3317</v>
      </c>
      <c r="L7" s="241">
        <v>2252</v>
      </c>
      <c r="M7" s="241">
        <v>1677</v>
      </c>
      <c r="N7" s="241">
        <v>2503</v>
      </c>
      <c r="O7" s="241">
        <v>6800</v>
      </c>
      <c r="P7" s="241">
        <v>4969</v>
      </c>
      <c r="Q7" s="241">
        <v>4971</v>
      </c>
      <c r="R7" s="241">
        <v>3987</v>
      </c>
      <c r="S7" s="241">
        <v>4800</v>
      </c>
      <c r="T7" s="241">
        <v>4600</v>
      </c>
      <c r="U7" s="241">
        <v>7000</v>
      </c>
      <c r="V7" s="241">
        <v>7000</v>
      </c>
      <c r="W7" s="241">
        <v>7000</v>
      </c>
      <c r="X7" s="241">
        <v>7000</v>
      </c>
      <c r="Y7" s="241">
        <v>7000</v>
      </c>
      <c r="Z7" s="241">
        <v>5000</v>
      </c>
      <c r="AA7" s="241">
        <v>10000</v>
      </c>
      <c r="AB7" s="241">
        <v>10000</v>
      </c>
      <c r="AC7" s="52"/>
      <c r="AD7" s="70"/>
      <c r="AE7" s="70"/>
      <c r="AF7" s="70"/>
      <c r="AG7" s="70"/>
      <c r="AH7" s="70"/>
      <c r="AI7" s="70"/>
      <c r="AJ7" s="70"/>
      <c r="AK7" s="70"/>
      <c r="AL7" s="70"/>
      <c r="AM7" s="70"/>
      <c r="AN7" s="70"/>
      <c r="AO7" s="70"/>
      <c r="AP7" s="70"/>
      <c r="AQ7" s="70"/>
      <c r="AR7" s="70"/>
      <c r="AS7" s="52"/>
      <c r="AT7" s="52"/>
      <c r="AU7" s="52"/>
      <c r="AV7" s="52"/>
      <c r="AW7" s="52"/>
      <c r="AX7" s="52"/>
      <c r="AY7" s="52"/>
      <c r="AZ7" s="52"/>
      <c r="BA7" s="52"/>
      <c r="BB7" s="52"/>
      <c r="BC7" s="52"/>
      <c r="BD7" s="52"/>
      <c r="BE7" s="52"/>
    </row>
    <row r="8" spans="1:57">
      <c r="A8" s="52" t="s">
        <v>644</v>
      </c>
      <c r="B8" s="52"/>
      <c r="C8" s="52"/>
      <c r="D8" s="52">
        <v>2</v>
      </c>
      <c r="E8" s="70"/>
      <c r="F8" s="241">
        <v>0</v>
      </c>
      <c r="G8" s="241">
        <v>861</v>
      </c>
      <c r="H8" s="241">
        <v>485</v>
      </c>
      <c r="I8" s="241">
        <v>1249</v>
      </c>
      <c r="J8" s="241">
        <v>2639</v>
      </c>
      <c r="K8" s="241">
        <v>3069</v>
      </c>
      <c r="L8" s="241">
        <v>1677</v>
      </c>
      <c r="M8" s="241">
        <v>1288</v>
      </c>
      <c r="N8" s="241">
        <v>1932</v>
      </c>
      <c r="O8" s="241"/>
      <c r="P8" s="241"/>
      <c r="Q8" s="241"/>
      <c r="R8" s="242"/>
      <c r="S8" s="241">
        <v>7200</v>
      </c>
      <c r="T8" s="241">
        <v>8600</v>
      </c>
      <c r="U8" s="241">
        <v>7000</v>
      </c>
      <c r="V8" s="241">
        <v>7000</v>
      </c>
      <c r="W8" s="241">
        <v>14000</v>
      </c>
      <c r="X8" s="241">
        <v>14000</v>
      </c>
      <c r="Y8" s="241">
        <v>14000</v>
      </c>
      <c r="Z8" s="241">
        <v>9000</v>
      </c>
      <c r="AA8" s="241">
        <v>20000</v>
      </c>
      <c r="AB8" s="241">
        <v>19000</v>
      </c>
      <c r="AC8" s="52"/>
      <c r="AD8" s="70"/>
      <c r="AE8" s="70"/>
      <c r="AF8" s="70"/>
      <c r="AG8" s="70"/>
      <c r="AH8" s="70"/>
      <c r="AI8" s="70"/>
      <c r="AJ8" s="70"/>
      <c r="AK8" s="70"/>
      <c r="AL8" s="70"/>
      <c r="AM8" s="70"/>
      <c r="AN8" s="70"/>
      <c r="AO8" s="70"/>
      <c r="AP8" s="70"/>
      <c r="AQ8" s="70"/>
      <c r="AR8" s="70"/>
      <c r="AS8" s="52"/>
      <c r="AT8" s="52"/>
      <c r="AU8" s="52"/>
      <c r="AV8" s="52"/>
      <c r="AW8" s="52"/>
      <c r="AX8" s="52"/>
      <c r="AY8" s="52"/>
      <c r="AZ8" s="52"/>
      <c r="BA8" s="52"/>
      <c r="BB8" s="52"/>
      <c r="BC8" s="52"/>
      <c r="BD8" s="52"/>
      <c r="BE8" s="52"/>
    </row>
    <row r="9" spans="1:57">
      <c r="A9" s="52" t="s">
        <v>645</v>
      </c>
      <c r="B9" s="52"/>
      <c r="C9" s="52"/>
      <c r="D9" s="52">
        <v>3</v>
      </c>
      <c r="E9" s="70"/>
      <c r="F9" s="241">
        <v>0</v>
      </c>
      <c r="G9" s="241">
        <v>1764</v>
      </c>
      <c r="H9" s="241">
        <v>1590</v>
      </c>
      <c r="I9" s="241">
        <v>1798</v>
      </c>
      <c r="J9" s="241">
        <v>6705</v>
      </c>
      <c r="K9" s="241">
        <v>4751</v>
      </c>
      <c r="L9" s="241">
        <v>2432</v>
      </c>
      <c r="M9" s="241">
        <v>1144</v>
      </c>
      <c r="N9" s="241">
        <v>1868</v>
      </c>
      <c r="O9" s="241">
        <v>12267</v>
      </c>
      <c r="P9" s="241">
        <v>10212</v>
      </c>
      <c r="Q9" s="241">
        <v>9192</v>
      </c>
      <c r="R9" s="241">
        <v>7623</v>
      </c>
      <c r="S9" s="241">
        <v>5500</v>
      </c>
      <c r="T9" s="241">
        <v>6900</v>
      </c>
      <c r="U9" s="241">
        <v>20000</v>
      </c>
      <c r="V9" s="241">
        <v>23000</v>
      </c>
      <c r="W9" s="241">
        <v>13000</v>
      </c>
      <c r="X9" s="241">
        <v>13000</v>
      </c>
      <c r="Y9" s="241">
        <v>13000</v>
      </c>
      <c r="Z9" s="241">
        <v>9000</v>
      </c>
      <c r="AA9" s="241">
        <v>19000</v>
      </c>
      <c r="AB9" s="241">
        <v>18000</v>
      </c>
      <c r="AC9" s="52"/>
      <c r="AD9" s="70"/>
      <c r="AE9" s="70"/>
      <c r="AF9" s="70"/>
      <c r="AG9" s="70"/>
      <c r="AH9" s="70"/>
      <c r="AI9" s="70"/>
      <c r="AJ9" s="70"/>
      <c r="AK9" s="70"/>
      <c r="AL9" s="70"/>
      <c r="AM9" s="70"/>
      <c r="AN9" s="70"/>
      <c r="AO9" s="70"/>
      <c r="AP9" s="70"/>
      <c r="AQ9" s="70"/>
      <c r="AR9" s="70"/>
      <c r="AS9" s="52"/>
      <c r="AT9" s="52"/>
      <c r="AU9" s="52"/>
      <c r="AV9" s="52"/>
      <c r="AW9" s="52"/>
      <c r="AX9" s="52"/>
      <c r="AY9" s="52"/>
      <c r="AZ9" s="52"/>
      <c r="BA9" s="52"/>
      <c r="BB9" s="52"/>
      <c r="BC9" s="52"/>
      <c r="BD9" s="52"/>
      <c r="BE9" s="52"/>
    </row>
    <row r="10" spans="1:57">
      <c r="A10" s="52" t="s">
        <v>646</v>
      </c>
      <c r="B10" s="52"/>
      <c r="C10" s="52"/>
      <c r="D10" s="52">
        <v>4</v>
      </c>
      <c r="E10" s="70"/>
      <c r="F10" s="241">
        <v>0</v>
      </c>
      <c r="G10" s="241">
        <v>530</v>
      </c>
      <c r="H10" s="241">
        <v>530</v>
      </c>
      <c r="I10" s="241">
        <v>1136</v>
      </c>
      <c r="J10" s="241">
        <v>8210</v>
      </c>
      <c r="K10" s="241">
        <v>4183</v>
      </c>
      <c r="L10" s="241">
        <v>0</v>
      </c>
      <c r="M10" s="241">
        <v>0</v>
      </c>
      <c r="N10" s="241">
        <v>320</v>
      </c>
      <c r="O10" s="241">
        <v>683</v>
      </c>
      <c r="P10" s="241">
        <v>0</v>
      </c>
      <c r="Q10" s="241">
        <v>0</v>
      </c>
      <c r="R10" s="241">
        <v>904</v>
      </c>
      <c r="S10" s="241">
        <v>6700</v>
      </c>
      <c r="T10" s="241">
        <v>3500</v>
      </c>
      <c r="U10" s="241">
        <v>121000</v>
      </c>
      <c r="V10" s="241">
        <v>120000</v>
      </c>
      <c r="W10" s="241">
        <v>105000</v>
      </c>
      <c r="X10" s="241">
        <v>91000</v>
      </c>
      <c r="Y10" s="241">
        <v>89000</v>
      </c>
      <c r="Z10" s="241">
        <v>56000</v>
      </c>
      <c r="AA10" s="241">
        <v>109000</v>
      </c>
      <c r="AB10" s="241">
        <v>99000</v>
      </c>
      <c r="AC10" s="52"/>
      <c r="AD10" s="52"/>
      <c r="AE10" s="70"/>
      <c r="AF10" s="70"/>
      <c r="AG10" s="70"/>
      <c r="AH10" s="70"/>
      <c r="AI10" s="70"/>
      <c r="AJ10" s="70"/>
      <c r="AK10" s="70"/>
      <c r="AL10" s="70"/>
      <c r="AM10" s="70"/>
      <c r="AN10" s="70"/>
      <c r="AO10" s="70"/>
      <c r="AP10" s="70"/>
      <c r="AQ10" s="70"/>
      <c r="AR10" s="70"/>
      <c r="AS10" s="52"/>
      <c r="AT10" s="52"/>
      <c r="AU10" s="52"/>
      <c r="AV10" s="52"/>
      <c r="AW10" s="52"/>
      <c r="AX10" s="52"/>
      <c r="AY10" s="52"/>
      <c r="AZ10" s="52"/>
      <c r="BA10" s="52"/>
      <c r="BB10" s="52"/>
      <c r="BC10" s="52"/>
      <c r="BD10" s="52"/>
      <c r="BE10" s="52"/>
    </row>
    <row r="11" spans="1:57" ht="13.5" thickBot="1">
      <c r="A11" s="52" t="s">
        <v>162</v>
      </c>
      <c r="B11" s="52"/>
      <c r="C11" s="52"/>
      <c r="D11" s="52"/>
      <c r="E11" s="70"/>
      <c r="F11" s="982">
        <f>SUM(F7:F10)</f>
        <v>0</v>
      </c>
      <c r="G11" s="982">
        <f t="shared" ref="G11:AB11" si="2">SUM(G7:G10)</f>
        <v>4016</v>
      </c>
      <c r="H11" s="982">
        <f t="shared" si="2"/>
        <v>3778</v>
      </c>
      <c r="I11" s="982">
        <f t="shared" si="2"/>
        <v>5901</v>
      </c>
      <c r="J11" s="982">
        <f t="shared" si="2"/>
        <v>20999</v>
      </c>
      <c r="K11" s="982">
        <f t="shared" si="2"/>
        <v>15320</v>
      </c>
      <c r="L11" s="982">
        <f t="shared" si="2"/>
        <v>6361</v>
      </c>
      <c r="M11" s="982">
        <f t="shared" si="2"/>
        <v>4109</v>
      </c>
      <c r="N11" s="982">
        <f t="shared" si="2"/>
        <v>6623</v>
      </c>
      <c r="O11" s="982">
        <f t="shared" si="2"/>
        <v>19750</v>
      </c>
      <c r="P11" s="982">
        <f t="shared" si="2"/>
        <v>15181</v>
      </c>
      <c r="Q11" s="982">
        <f t="shared" si="2"/>
        <v>14163</v>
      </c>
      <c r="R11" s="982">
        <f t="shared" si="2"/>
        <v>12514</v>
      </c>
      <c r="S11" s="982">
        <f t="shared" si="2"/>
        <v>24200</v>
      </c>
      <c r="T11" s="982">
        <f t="shared" si="2"/>
        <v>23600</v>
      </c>
      <c r="U11" s="981">
        <f t="shared" si="2"/>
        <v>155000</v>
      </c>
      <c r="V11" s="982">
        <f t="shared" si="2"/>
        <v>157000</v>
      </c>
      <c r="W11" s="982">
        <f t="shared" si="2"/>
        <v>139000</v>
      </c>
      <c r="X11" s="981">
        <f t="shared" si="2"/>
        <v>125000</v>
      </c>
      <c r="Y11" s="982">
        <f t="shared" si="2"/>
        <v>123000</v>
      </c>
      <c r="Z11" s="982">
        <f t="shared" si="2"/>
        <v>79000</v>
      </c>
      <c r="AA11" s="982">
        <f t="shared" si="2"/>
        <v>158000</v>
      </c>
      <c r="AB11" s="982">
        <f t="shared" si="2"/>
        <v>146000</v>
      </c>
      <c r="AC11" s="52"/>
      <c r="AD11" s="52"/>
      <c r="AE11" s="70"/>
      <c r="AF11" s="70"/>
      <c r="AG11" s="70"/>
      <c r="AH11" s="70"/>
      <c r="AI11" s="70"/>
      <c r="AJ11" s="70"/>
      <c r="AK11" s="70"/>
      <c r="AL11" s="70"/>
      <c r="AM11" s="70"/>
      <c r="AN11" s="70"/>
      <c r="AO11" s="70"/>
      <c r="AP11" s="70"/>
      <c r="AQ11" s="70"/>
      <c r="AR11" s="70"/>
      <c r="AS11" s="52"/>
      <c r="AT11" s="52"/>
      <c r="AU11" s="52"/>
      <c r="AV11" s="52"/>
      <c r="AW11" s="52"/>
      <c r="AX11" s="52"/>
      <c r="AY11" s="52"/>
      <c r="AZ11" s="52"/>
      <c r="BA11" s="52"/>
      <c r="BB11" s="52"/>
      <c r="BC11" s="52"/>
      <c r="BD11" s="52"/>
      <c r="BE11" s="52"/>
    </row>
    <row r="12" spans="1:57" s="776" customFormat="1" ht="13.5" thickTop="1">
      <c r="A12" s="52"/>
      <c r="B12" s="52"/>
      <c r="C12" s="52"/>
      <c r="D12" s="52"/>
      <c r="E12" s="70"/>
      <c r="F12" s="173"/>
      <c r="G12" s="173"/>
      <c r="H12" s="173"/>
      <c r="I12" s="173"/>
      <c r="J12" s="173"/>
      <c r="K12" s="173"/>
      <c r="L12" s="173"/>
      <c r="M12" s="173"/>
      <c r="N12" s="173"/>
      <c r="O12" s="173"/>
      <c r="P12" s="173"/>
      <c r="Q12" s="173"/>
      <c r="R12" s="173"/>
      <c r="S12" s="173"/>
      <c r="T12" s="173"/>
      <c r="U12" s="173"/>
      <c r="V12" s="173"/>
      <c r="W12" s="173"/>
      <c r="X12" s="173"/>
      <c r="Y12" s="173"/>
      <c r="Z12" s="173"/>
      <c r="AA12" s="173"/>
      <c r="AB12" s="173"/>
      <c r="AC12" s="52"/>
      <c r="AD12" s="52"/>
      <c r="AE12" s="70"/>
      <c r="AF12" s="70"/>
      <c r="AG12" s="70"/>
      <c r="AH12" s="70"/>
      <c r="AI12" s="70"/>
      <c r="AJ12" s="70"/>
      <c r="AK12" s="70"/>
      <c r="AL12" s="70"/>
      <c r="AM12" s="70"/>
      <c r="AN12" s="70"/>
      <c r="AO12" s="70"/>
      <c r="AP12" s="70"/>
      <c r="AQ12" s="70"/>
      <c r="AR12" s="70"/>
      <c r="AS12" s="52"/>
      <c r="AT12" s="52"/>
      <c r="AU12" s="52"/>
      <c r="AV12" s="52"/>
      <c r="AW12" s="52"/>
      <c r="AX12" s="52"/>
      <c r="AY12" s="52"/>
      <c r="AZ12" s="52"/>
      <c r="BA12" s="52"/>
      <c r="BB12" s="52"/>
      <c r="BC12" s="52"/>
      <c r="BD12" s="52"/>
      <c r="BE12" s="52"/>
    </row>
    <row r="13" spans="1:57" s="776" customFormat="1">
      <c r="A13" s="52" t="s">
        <v>647</v>
      </c>
      <c r="B13" s="52"/>
      <c r="C13" s="52"/>
      <c r="D13" s="52"/>
      <c r="E13" s="70"/>
      <c r="F13" s="173">
        <f>G13</f>
        <v>861</v>
      </c>
      <c r="G13" s="1039">
        <f t="shared" ref="G13:S13" si="3">G7</f>
        <v>861</v>
      </c>
      <c r="H13" s="1039">
        <f t="shared" si="3"/>
        <v>1173</v>
      </c>
      <c r="I13" s="1039">
        <f t="shared" si="3"/>
        <v>1718</v>
      </c>
      <c r="J13" s="1039">
        <f t="shared" si="3"/>
        <v>3445</v>
      </c>
      <c r="K13" s="1039">
        <f t="shared" si="3"/>
        <v>3317</v>
      </c>
      <c r="L13" s="1039">
        <f t="shared" si="3"/>
        <v>2252</v>
      </c>
      <c r="M13" s="1039">
        <f t="shared" si="3"/>
        <v>1677</v>
      </c>
      <c r="N13" s="1039">
        <f t="shared" si="3"/>
        <v>2503</v>
      </c>
      <c r="O13" s="1039">
        <f t="shared" si="3"/>
        <v>6800</v>
      </c>
      <c r="P13" s="1039">
        <f t="shared" si="3"/>
        <v>4969</v>
      </c>
      <c r="Q13" s="1039">
        <f t="shared" si="3"/>
        <v>4971</v>
      </c>
      <c r="R13" s="1039">
        <f t="shared" si="3"/>
        <v>3987</v>
      </c>
      <c r="S13" s="1039">
        <f t="shared" si="3"/>
        <v>4800</v>
      </c>
      <c r="T13" s="1039">
        <f>T7</f>
        <v>4600</v>
      </c>
      <c r="U13" s="1039">
        <f t="shared" ref="U13:AB13" si="4">U7</f>
        <v>7000</v>
      </c>
      <c r="V13" s="1039">
        <f t="shared" si="4"/>
        <v>7000</v>
      </c>
      <c r="W13" s="1039">
        <f t="shared" si="4"/>
        <v>7000</v>
      </c>
      <c r="X13" s="1039">
        <f t="shared" si="4"/>
        <v>7000</v>
      </c>
      <c r="Y13" s="1039">
        <f t="shared" si="4"/>
        <v>7000</v>
      </c>
      <c r="Z13" s="1039">
        <f t="shared" si="4"/>
        <v>5000</v>
      </c>
      <c r="AA13" s="1039">
        <f t="shared" si="4"/>
        <v>10000</v>
      </c>
      <c r="AB13" s="1039">
        <f t="shared" si="4"/>
        <v>10000</v>
      </c>
      <c r="AC13" s="52"/>
      <c r="AD13" s="52"/>
      <c r="AE13" s="70"/>
      <c r="AF13" s="70"/>
      <c r="AG13" s="70"/>
      <c r="AH13" s="70"/>
      <c r="AI13" s="70"/>
      <c r="AJ13" s="70"/>
      <c r="AK13" s="70"/>
      <c r="AL13" s="70"/>
      <c r="AM13" s="70"/>
      <c r="AN13" s="70"/>
      <c r="AO13" s="70"/>
      <c r="AP13" s="70"/>
      <c r="AQ13" s="70"/>
      <c r="AR13" s="70"/>
      <c r="AS13" s="52"/>
      <c r="AT13" s="52"/>
      <c r="AU13" s="52"/>
      <c r="AV13" s="52"/>
      <c r="AW13" s="52"/>
      <c r="AX13" s="52"/>
      <c r="AY13" s="52"/>
      <c r="AZ13" s="52"/>
      <c r="BA13" s="52"/>
      <c r="BB13" s="52"/>
      <c r="BC13" s="52"/>
      <c r="BD13" s="52"/>
      <c r="BE13" s="52"/>
    </row>
    <row r="14" spans="1:57" s="776" customFormat="1">
      <c r="A14" s="52"/>
      <c r="B14" s="52"/>
      <c r="C14" s="52"/>
      <c r="D14" s="52"/>
      <c r="E14" s="70"/>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52"/>
      <c r="AD14" s="52"/>
      <c r="AE14" s="70"/>
      <c r="AF14" s="70"/>
      <c r="AG14" s="70"/>
      <c r="AH14" s="70"/>
      <c r="AI14" s="70"/>
      <c r="AJ14" s="70"/>
      <c r="AK14" s="70"/>
      <c r="AL14" s="70"/>
      <c r="AM14" s="70"/>
      <c r="AN14" s="70"/>
      <c r="AO14" s="70"/>
      <c r="AP14" s="70"/>
      <c r="AQ14" s="70"/>
      <c r="AR14" s="70"/>
      <c r="AS14" s="52"/>
      <c r="AT14" s="52"/>
      <c r="AU14" s="52"/>
      <c r="AV14" s="52"/>
      <c r="AW14" s="52"/>
      <c r="AX14" s="52"/>
      <c r="AY14" s="52"/>
      <c r="AZ14" s="52"/>
      <c r="BA14" s="52"/>
      <c r="BB14" s="52"/>
      <c r="BC14" s="52"/>
      <c r="BD14" s="52"/>
      <c r="BE14" s="52"/>
    </row>
    <row r="15" spans="1:57">
      <c r="A15" s="52"/>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52"/>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52"/>
      <c r="B17" s="52"/>
      <c r="C17" s="52"/>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52"/>
      <c r="B18" s="52"/>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52"/>
      <c r="B19" s="52"/>
      <c r="C19" s="52"/>
      <c r="D19" s="52"/>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52"/>
      <c r="B20" s="52"/>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52"/>
      <c r="B21" s="52"/>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52"/>
      <c r="B22" s="52"/>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52"/>
      <c r="B23" s="52"/>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776"/>
      <c r="B25" s="776"/>
      <c r="D25" s="776"/>
      <c r="E25" s="776"/>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776"/>
      <c r="B26" s="776"/>
      <c r="D26" s="776"/>
      <c r="E26" s="776"/>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776"/>
      <c r="B27" s="776"/>
      <c r="D27" s="776"/>
      <c r="E27" s="776"/>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776"/>
      <c r="B28" s="776"/>
      <c r="D28" s="776"/>
      <c r="E28" s="776"/>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776"/>
      <c r="B29" s="776"/>
      <c r="D29" s="776"/>
      <c r="E29" s="776"/>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776"/>
      <c r="B30" s="776"/>
      <c r="D30" s="776"/>
      <c r="E30" s="776"/>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776"/>
      <c r="B31" s="776"/>
      <c r="D31" s="776"/>
      <c r="E31" s="776"/>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776"/>
      <c r="B32" s="776"/>
      <c r="D32" s="776"/>
      <c r="E32" s="776"/>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776"/>
      <c r="B33" s="776"/>
      <c r="D33" s="776"/>
      <c r="E33" s="776"/>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6:57">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6:57">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6:57">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6:57">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6:57">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6:57">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6:57">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6:57">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6:57">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6:57">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6:57">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6:57">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6:57">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6:57">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6:57">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6:57">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6:57">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6:57">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6:57">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6:57">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6:57">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6:57">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6:57">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6:57">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sheetData>
  <mergeCells count="4">
    <mergeCell ref="A4:E4"/>
    <mergeCell ref="A5:E5"/>
    <mergeCell ref="E1:H1"/>
    <mergeCell ref="W1:AA1"/>
  </mergeCells>
  <printOptions horizontalCentered="1" gridLines="1"/>
  <pageMargins left="0.70866141732283472" right="0.70866141732283472" top="0.74803149606299213" bottom="0.74803149606299213" header="0.31496062992125984" footer="0.31496062992125984"/>
  <pageSetup paperSize="9" scale="61" orientation="landscape" r:id="rId1"/>
  <headerFooter>
    <oddFooter>&amp;L&amp;P&amp;RIreland, Wallace &amp; Associates Limited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B6DE8-8F7F-485D-B222-88F8107D9A10}">
  <sheetPr>
    <pageSetUpPr fitToPage="1"/>
  </sheetPr>
  <dimension ref="A1:AB91"/>
  <sheetViews>
    <sheetView zoomScaleNormal="100" workbookViewId="0">
      <selection activeCell="K44" sqref="K44"/>
    </sheetView>
  </sheetViews>
  <sheetFormatPr defaultRowHeight="12.75"/>
  <cols>
    <col min="1" max="1" width="3.5703125" customWidth="1"/>
    <col min="5" max="5" width="5" customWidth="1"/>
  </cols>
  <sheetData>
    <row r="1" spans="1:28" ht="18">
      <c r="A1" s="799" t="s">
        <v>0</v>
      </c>
      <c r="B1" s="904"/>
      <c r="C1" s="904"/>
      <c r="D1" s="904"/>
      <c r="E1" s="1439" t="s">
        <v>1407</v>
      </c>
      <c r="F1" s="1440"/>
      <c r="G1" s="1440"/>
      <c r="H1" s="1440"/>
      <c r="I1" s="776"/>
      <c r="J1" s="776"/>
      <c r="K1" s="776"/>
      <c r="L1" s="776"/>
      <c r="M1" s="1201"/>
      <c r="N1" s="1201"/>
      <c r="O1" s="914"/>
      <c r="P1" s="915"/>
      <c r="Q1" s="7"/>
      <c r="R1" s="644"/>
      <c r="S1" s="7"/>
      <c r="T1" s="7"/>
      <c r="U1" s="7"/>
      <c r="V1" s="7"/>
      <c r="W1" s="1473" t="s">
        <v>559</v>
      </c>
      <c r="X1" s="1474"/>
      <c r="Y1" s="1474"/>
      <c r="Z1" s="1474"/>
      <c r="AA1" s="1474"/>
      <c r="AB1" s="1381">
        <v>14</v>
      </c>
    </row>
    <row r="2" spans="1:28">
      <c r="A2" s="806" t="s">
        <v>559</v>
      </c>
      <c r="B2" s="917"/>
      <c r="C2" s="917"/>
      <c r="D2" s="917"/>
      <c r="E2" s="242"/>
      <c r="F2" s="69">
        <v>0</v>
      </c>
      <c r="G2" s="69">
        <f t="shared" ref="G2:V3" si="0">F2+1</f>
        <v>1</v>
      </c>
      <c r="H2" s="69">
        <f t="shared" si="0"/>
        <v>2</v>
      </c>
      <c r="I2" s="69">
        <f t="shared" si="0"/>
        <v>3</v>
      </c>
      <c r="J2" s="73">
        <f t="shared" si="0"/>
        <v>4</v>
      </c>
      <c r="K2" s="69">
        <f t="shared" si="0"/>
        <v>5</v>
      </c>
      <c r="L2" s="69">
        <f t="shared" si="0"/>
        <v>6</v>
      </c>
      <c r="M2" s="69">
        <f t="shared" si="0"/>
        <v>7</v>
      </c>
      <c r="N2" s="69">
        <f t="shared" si="0"/>
        <v>8</v>
      </c>
      <c r="O2" s="69">
        <f t="shared" si="0"/>
        <v>9</v>
      </c>
      <c r="P2" s="69">
        <f t="shared" si="0"/>
        <v>10</v>
      </c>
      <c r="Q2" s="69">
        <f t="shared" si="0"/>
        <v>11</v>
      </c>
      <c r="R2" s="69">
        <f t="shared" si="0"/>
        <v>12</v>
      </c>
      <c r="S2" s="69">
        <f t="shared" si="0"/>
        <v>13</v>
      </c>
      <c r="T2" s="69">
        <f t="shared" si="0"/>
        <v>14</v>
      </c>
      <c r="U2" s="69">
        <f t="shared" si="0"/>
        <v>15</v>
      </c>
      <c r="V2" s="69">
        <f t="shared" si="0"/>
        <v>16</v>
      </c>
      <c r="W2" s="69">
        <f t="shared" ref="W2:AB3" si="1">V2+1</f>
        <v>17</v>
      </c>
      <c r="X2" s="69">
        <f t="shared" si="1"/>
        <v>18</v>
      </c>
      <c r="Y2" s="69">
        <f t="shared" si="1"/>
        <v>19</v>
      </c>
      <c r="Z2" s="69">
        <f t="shared" si="1"/>
        <v>20</v>
      </c>
      <c r="AA2" s="69">
        <f t="shared" si="1"/>
        <v>21</v>
      </c>
      <c r="AB2" s="69">
        <f t="shared" si="1"/>
        <v>22</v>
      </c>
    </row>
    <row r="3" spans="1:28">
      <c r="A3" s="69"/>
      <c r="B3" s="10"/>
      <c r="C3" s="10"/>
      <c r="D3" s="72" t="s">
        <v>32</v>
      </c>
      <c r="E3" s="1266" t="s">
        <v>3</v>
      </c>
      <c r="F3" s="1202">
        <v>1999</v>
      </c>
      <c r="G3" s="1202">
        <f t="shared" si="0"/>
        <v>2000</v>
      </c>
      <c r="H3" s="1202">
        <f t="shared" si="0"/>
        <v>2001</v>
      </c>
      <c r="I3" s="1202">
        <f t="shared" si="0"/>
        <v>2002</v>
      </c>
      <c r="J3" s="1202">
        <f t="shared" si="0"/>
        <v>2003</v>
      </c>
      <c r="K3" s="1202">
        <f t="shared" si="0"/>
        <v>2004</v>
      </c>
      <c r="L3" s="1202">
        <f t="shared" si="0"/>
        <v>2005</v>
      </c>
      <c r="M3" s="1202">
        <f t="shared" si="0"/>
        <v>2006</v>
      </c>
      <c r="N3" s="1202">
        <v>2007</v>
      </c>
      <c r="O3" s="1202">
        <f>N3+1</f>
        <v>2008</v>
      </c>
      <c r="P3" s="1202">
        <f t="shared" si="0"/>
        <v>2009</v>
      </c>
      <c r="Q3" s="1202">
        <f t="shared" si="0"/>
        <v>2010</v>
      </c>
      <c r="R3" s="1202">
        <f t="shared" si="0"/>
        <v>2011</v>
      </c>
      <c r="S3" s="1202">
        <f t="shared" si="0"/>
        <v>2012</v>
      </c>
      <c r="T3" s="1202">
        <f t="shared" si="0"/>
        <v>2013</v>
      </c>
      <c r="U3" s="1202">
        <f t="shared" si="0"/>
        <v>2014</v>
      </c>
      <c r="V3" s="1202">
        <f t="shared" si="0"/>
        <v>2015</v>
      </c>
      <c r="W3" s="1202">
        <f t="shared" si="1"/>
        <v>2016</v>
      </c>
      <c r="X3" s="1202">
        <f t="shared" si="1"/>
        <v>2017</v>
      </c>
      <c r="Y3" s="1202">
        <f t="shared" si="1"/>
        <v>2018</v>
      </c>
      <c r="Z3" s="1202">
        <f t="shared" si="1"/>
        <v>2019</v>
      </c>
      <c r="AA3" s="1202">
        <f t="shared" si="1"/>
        <v>2020</v>
      </c>
      <c r="AB3" s="1202">
        <f t="shared" si="1"/>
        <v>2021</v>
      </c>
    </row>
    <row r="4" spans="1:28">
      <c r="A4" s="26" t="s">
        <v>560</v>
      </c>
      <c r="B4" s="4"/>
      <c r="C4" s="22"/>
      <c r="D4" s="4"/>
      <c r="E4" s="776"/>
      <c r="F4" s="793"/>
      <c r="G4" s="793"/>
      <c r="H4" s="1023" t="s">
        <v>561</v>
      </c>
      <c r="I4" s="776"/>
      <c r="J4" s="776"/>
      <c r="K4" s="776"/>
      <c r="L4" s="776"/>
      <c r="M4" s="776"/>
      <c r="N4" s="776"/>
      <c r="O4" s="776"/>
      <c r="P4" s="776"/>
      <c r="Q4" s="776"/>
      <c r="R4" s="776"/>
      <c r="S4" s="776"/>
      <c r="T4" s="776"/>
      <c r="U4" s="776"/>
      <c r="V4" s="776"/>
      <c r="W4" s="776"/>
      <c r="X4" s="776"/>
      <c r="Y4" s="776"/>
      <c r="Z4" s="776"/>
      <c r="AA4" s="776"/>
      <c r="AB4" s="776"/>
    </row>
    <row r="5" spans="1:28">
      <c r="A5" s="776"/>
      <c r="B5" s="23" t="s">
        <v>562</v>
      </c>
      <c r="C5" s="23"/>
      <c r="D5" s="776"/>
      <c r="E5" s="776"/>
      <c r="F5" s="793"/>
      <c r="G5" s="793"/>
      <c r="H5" s="984">
        <v>1133</v>
      </c>
      <c r="I5" s="776"/>
      <c r="J5" s="776"/>
      <c r="K5" s="776"/>
      <c r="L5" s="776"/>
      <c r="M5" s="776"/>
      <c r="N5" s="776"/>
      <c r="O5" s="776"/>
      <c r="P5" s="776"/>
      <c r="Q5" s="776"/>
      <c r="R5" s="776"/>
      <c r="S5" s="776"/>
      <c r="T5" s="776"/>
      <c r="U5" s="776"/>
      <c r="V5" s="776"/>
      <c r="W5" s="776"/>
      <c r="X5" s="776"/>
      <c r="Y5" s="776"/>
      <c r="Z5" s="776"/>
      <c r="AA5" s="776"/>
      <c r="AB5" s="776"/>
    </row>
    <row r="6" spans="1:28">
      <c r="A6" s="776"/>
      <c r="B6" s="23" t="s">
        <v>563</v>
      </c>
      <c r="C6" s="23"/>
      <c r="D6" s="776"/>
      <c r="E6" s="776"/>
      <c r="F6" s="793"/>
      <c r="G6" s="793"/>
      <c r="H6" s="984">
        <v>412</v>
      </c>
      <c r="I6" s="776"/>
      <c r="J6" s="776"/>
      <c r="K6" s="776"/>
      <c r="L6" s="776"/>
      <c r="M6" s="776"/>
      <c r="N6" s="776"/>
      <c r="O6" s="776"/>
      <c r="P6" s="776"/>
      <c r="Q6" s="776"/>
      <c r="R6" s="776"/>
      <c r="S6" s="776"/>
      <c r="T6" s="776"/>
      <c r="U6" s="776"/>
      <c r="V6" s="776"/>
      <c r="W6" s="776"/>
      <c r="X6" s="776"/>
      <c r="Y6" s="776"/>
      <c r="Z6" s="776"/>
      <c r="AA6" s="776"/>
      <c r="AB6" s="776"/>
    </row>
    <row r="7" spans="1:28">
      <c r="A7" s="776"/>
      <c r="B7" s="23" t="s">
        <v>564</v>
      </c>
      <c r="C7" s="23"/>
      <c r="D7" s="776"/>
      <c r="E7" s="776"/>
      <c r="F7" s="793"/>
      <c r="G7" s="793"/>
      <c r="H7" s="984">
        <v>524</v>
      </c>
      <c r="I7" s="776"/>
      <c r="J7" s="776"/>
      <c r="K7" s="776"/>
      <c r="L7" s="776"/>
      <c r="M7" s="776"/>
      <c r="N7" s="776"/>
      <c r="O7" s="776"/>
      <c r="P7" s="776"/>
      <c r="Q7" s="776"/>
      <c r="R7" s="776"/>
      <c r="S7" s="776"/>
      <c r="T7" s="776"/>
      <c r="U7" s="776"/>
      <c r="V7" s="776"/>
      <c r="W7" s="776"/>
      <c r="X7" s="776"/>
      <c r="Y7" s="776"/>
      <c r="Z7" s="776"/>
      <c r="AA7" s="776"/>
      <c r="AB7" s="776"/>
    </row>
    <row r="8" spans="1:28">
      <c r="A8" s="776"/>
      <c r="B8" s="23" t="s">
        <v>460</v>
      </c>
      <c r="C8" s="23"/>
      <c r="D8" s="776"/>
      <c r="E8" s="776"/>
      <c r="F8" s="793"/>
      <c r="G8" s="793"/>
      <c r="H8" s="1021">
        <v>118460</v>
      </c>
      <c r="I8" s="776"/>
      <c r="J8" s="776"/>
      <c r="K8" s="776"/>
      <c r="L8" s="776"/>
      <c r="M8" s="776"/>
      <c r="N8" s="776"/>
      <c r="O8" s="776"/>
      <c r="P8" s="776"/>
      <c r="Q8" s="776"/>
      <c r="R8" s="776"/>
      <c r="S8" s="776"/>
      <c r="T8" s="776"/>
      <c r="U8" s="776"/>
      <c r="V8" s="776"/>
      <c r="W8" s="776"/>
      <c r="X8" s="776"/>
      <c r="Y8" s="776"/>
      <c r="Z8" s="776"/>
      <c r="AA8" s="776"/>
      <c r="AB8" s="776"/>
    </row>
    <row r="9" spans="1:28">
      <c r="A9" s="776"/>
      <c r="B9" s="23"/>
      <c r="C9" s="23"/>
      <c r="D9" s="776"/>
      <c r="E9" s="776"/>
      <c r="F9" s="793"/>
      <c r="G9" s="793"/>
      <c r="H9" s="984">
        <f>SUM(H5:H8)</f>
        <v>120529</v>
      </c>
      <c r="I9" s="776"/>
      <c r="J9" s="776"/>
      <c r="K9" s="776"/>
      <c r="L9" s="776"/>
      <c r="M9" s="776"/>
      <c r="N9" s="776"/>
      <c r="O9" s="776"/>
      <c r="P9" s="776"/>
      <c r="Q9" s="776"/>
      <c r="R9" s="776"/>
      <c r="S9" s="776"/>
      <c r="T9" s="776"/>
      <c r="U9" s="776"/>
      <c r="V9" s="776"/>
      <c r="W9" s="776"/>
      <c r="X9" s="776"/>
      <c r="Y9" s="776"/>
      <c r="Z9" s="776"/>
      <c r="AA9" s="776"/>
      <c r="AB9" s="776"/>
    </row>
    <row r="10" spans="1:28">
      <c r="A10" s="776"/>
      <c r="B10" s="23" t="s">
        <v>565</v>
      </c>
      <c r="C10" s="23"/>
      <c r="D10" s="776"/>
      <c r="E10" s="776"/>
      <c r="F10" s="793"/>
      <c r="G10" s="793"/>
      <c r="H10" s="984">
        <v>84</v>
      </c>
      <c r="I10" s="776"/>
      <c r="J10" s="776"/>
      <c r="K10" s="776"/>
      <c r="L10" s="776"/>
      <c r="M10" s="776"/>
      <c r="N10" s="776"/>
      <c r="O10" s="776"/>
      <c r="P10" s="776"/>
      <c r="Q10" s="776"/>
      <c r="R10" s="776"/>
      <c r="S10" s="776"/>
      <c r="T10" s="776"/>
      <c r="U10" s="776"/>
      <c r="V10" s="776"/>
      <c r="W10" s="776"/>
      <c r="X10" s="776"/>
      <c r="Y10" s="776"/>
      <c r="Z10" s="776"/>
      <c r="AA10" s="776"/>
      <c r="AB10" s="776"/>
    </row>
    <row r="11" spans="1:28">
      <c r="A11" s="776"/>
      <c r="B11" s="23" t="s">
        <v>341</v>
      </c>
      <c r="C11" s="23"/>
      <c r="D11" s="776"/>
      <c r="E11" s="776"/>
      <c r="F11" s="793"/>
      <c r="G11" s="793"/>
      <c r="H11" s="984">
        <v>1130</v>
      </c>
      <c r="I11" s="776"/>
      <c r="J11" s="776"/>
      <c r="K11" s="776"/>
      <c r="L11" s="776"/>
      <c r="M11" s="776"/>
      <c r="N11" s="776"/>
      <c r="O11" s="776"/>
      <c r="P11" s="776"/>
      <c r="Q11" s="776"/>
      <c r="R11" s="776"/>
      <c r="S11" s="776"/>
      <c r="T11" s="776"/>
      <c r="U11" s="776"/>
      <c r="V11" s="776"/>
      <c r="W11" s="776"/>
      <c r="X11" s="776"/>
      <c r="Y11" s="776"/>
      <c r="Z11" s="776"/>
      <c r="AA11" s="776"/>
      <c r="AB11" s="776"/>
    </row>
    <row r="12" spans="1:28">
      <c r="A12" s="776"/>
      <c r="B12" s="23" t="s">
        <v>10</v>
      </c>
      <c r="C12" s="23"/>
      <c r="D12" s="776"/>
      <c r="E12" s="776"/>
      <c r="F12" s="793"/>
      <c r="G12" s="793"/>
      <c r="H12" s="1021">
        <v>12188</v>
      </c>
      <c r="I12" s="776"/>
      <c r="J12" s="776"/>
      <c r="K12" s="776"/>
      <c r="L12" s="776"/>
      <c r="M12" s="776"/>
      <c r="N12" s="776"/>
      <c r="O12" s="776"/>
      <c r="P12" s="776"/>
      <c r="Q12" s="776"/>
      <c r="R12" s="776"/>
      <c r="S12" s="776"/>
      <c r="T12" s="776"/>
      <c r="U12" s="776"/>
      <c r="V12" s="776"/>
      <c r="W12" s="776"/>
      <c r="X12" s="776"/>
      <c r="Y12" s="776"/>
      <c r="Z12" s="776"/>
      <c r="AA12" s="776"/>
      <c r="AB12" s="776"/>
    </row>
    <row r="13" spans="1:28">
      <c r="A13" s="776"/>
      <c r="B13" s="23"/>
      <c r="C13" s="23"/>
      <c r="D13" s="776"/>
      <c r="E13" s="776"/>
      <c r="F13" s="793"/>
      <c r="G13" s="793"/>
      <c r="H13" s="984">
        <f>SUM(H10:H12)</f>
        <v>13402</v>
      </c>
      <c r="I13" s="776"/>
      <c r="J13" s="776"/>
      <c r="K13" s="776"/>
      <c r="L13" s="776"/>
      <c r="M13" s="776"/>
      <c r="N13" s="776"/>
      <c r="O13" s="776"/>
      <c r="P13" s="776"/>
      <c r="Q13" s="776"/>
      <c r="R13" s="776"/>
      <c r="S13" s="776"/>
      <c r="T13" s="776"/>
      <c r="U13" s="776"/>
      <c r="V13" s="776"/>
      <c r="W13" s="776"/>
      <c r="X13" s="776"/>
      <c r="Y13" s="776"/>
      <c r="Z13" s="776"/>
      <c r="AA13" s="776"/>
      <c r="AB13" s="776"/>
    </row>
    <row r="14" spans="1:28" ht="13.5" thickBot="1">
      <c r="A14" s="776"/>
      <c r="B14" s="23" t="s">
        <v>566</v>
      </c>
      <c r="C14" s="23"/>
      <c r="D14" s="776"/>
      <c r="E14" s="776"/>
      <c r="F14" s="793"/>
      <c r="G14" s="908" t="s">
        <v>5</v>
      </c>
      <c r="H14" s="1173">
        <f>H9-H13</f>
        <v>107127</v>
      </c>
      <c r="I14" s="776"/>
      <c r="J14" s="776"/>
      <c r="K14" s="776"/>
      <c r="L14" s="776"/>
      <c r="M14" s="776"/>
      <c r="N14" s="776"/>
      <c r="O14" s="776"/>
      <c r="P14" s="776"/>
      <c r="Q14" s="776"/>
      <c r="R14" s="776"/>
      <c r="S14" s="776"/>
      <c r="T14" s="776"/>
      <c r="U14" s="776"/>
      <c r="V14" s="776"/>
      <c r="W14" s="776"/>
      <c r="X14" s="776"/>
      <c r="Y14" s="776"/>
      <c r="Z14" s="776"/>
      <c r="AA14" s="776"/>
      <c r="AB14" s="776"/>
    </row>
    <row r="15" spans="1:28" ht="13.5" thickTop="1">
      <c r="A15" s="776"/>
      <c r="B15" s="776"/>
      <c r="C15" s="776"/>
      <c r="D15" s="776"/>
      <c r="E15" s="776"/>
      <c r="F15" s="776"/>
      <c r="G15" s="776"/>
      <c r="H15" s="776"/>
      <c r="I15" s="776"/>
      <c r="J15" s="776"/>
      <c r="K15" s="776"/>
      <c r="L15" s="776"/>
      <c r="M15" s="776"/>
      <c r="N15" s="776"/>
      <c r="O15" s="776"/>
      <c r="P15" s="776"/>
      <c r="Q15" s="776"/>
      <c r="R15" s="776"/>
      <c r="S15" s="776"/>
      <c r="T15" s="776"/>
      <c r="U15" s="776"/>
      <c r="V15" s="776"/>
      <c r="W15" s="776"/>
      <c r="X15" s="776"/>
      <c r="Y15" s="776"/>
      <c r="Z15" s="776"/>
      <c r="AA15" s="776"/>
      <c r="AB15" s="776"/>
    </row>
    <row r="16" spans="1:28">
      <c r="A16" s="26" t="s">
        <v>567</v>
      </c>
      <c r="B16" s="4"/>
      <c r="C16" s="22"/>
      <c r="D16" s="787"/>
      <c r="E16" s="776"/>
      <c r="F16" s="793"/>
      <c r="G16" s="793"/>
      <c r="H16" s="793"/>
      <c r="I16" s="793"/>
      <c r="J16" s="1330" t="s">
        <v>561</v>
      </c>
      <c r="K16" s="793"/>
      <c r="L16" s="242"/>
      <c r="M16" s="1330" t="s">
        <v>568</v>
      </c>
      <c r="N16" s="793"/>
      <c r="O16" s="793"/>
      <c r="P16" s="793"/>
      <c r="Q16" s="793"/>
      <c r="R16" s="793"/>
      <c r="S16" s="793"/>
      <c r="T16" s="793"/>
      <c r="U16" s="776"/>
      <c r="V16" s="776"/>
      <c r="W16" s="776"/>
      <c r="X16" s="776"/>
      <c r="Y16" s="776"/>
      <c r="Z16" s="776"/>
      <c r="AA16" s="776"/>
      <c r="AB16" s="776"/>
    </row>
    <row r="17" spans="2:20">
      <c r="B17" s="23" t="s">
        <v>569</v>
      </c>
      <c r="C17" s="23"/>
      <c r="D17" s="786"/>
      <c r="E17" s="776"/>
      <c r="F17" s="793"/>
      <c r="G17" s="793"/>
      <c r="H17" s="793"/>
      <c r="I17" s="793"/>
      <c r="J17" s="1331" t="s">
        <v>570</v>
      </c>
      <c r="K17" s="793"/>
      <c r="L17" s="793"/>
      <c r="M17" s="1331" t="s">
        <v>571</v>
      </c>
      <c r="N17" s="793"/>
      <c r="O17" s="793"/>
      <c r="P17" s="793"/>
      <c r="Q17" s="793"/>
      <c r="R17" s="793"/>
      <c r="S17" s="793"/>
      <c r="T17" s="793"/>
    </row>
    <row r="18" spans="2:20">
      <c r="B18" s="23" t="s">
        <v>562</v>
      </c>
      <c r="C18" s="23"/>
      <c r="D18" s="776"/>
      <c r="E18" s="776"/>
      <c r="F18" s="793"/>
      <c r="G18" s="793"/>
      <c r="H18" s="793"/>
      <c r="I18" s="793"/>
      <c r="J18" s="984">
        <v>35806</v>
      </c>
      <c r="K18" s="793"/>
      <c r="L18" s="793"/>
      <c r="M18" s="984">
        <v>11513</v>
      </c>
      <c r="N18" s="793"/>
      <c r="O18" s="793"/>
      <c r="P18" s="793"/>
      <c r="Q18" s="793"/>
      <c r="R18" s="793"/>
      <c r="S18" s="793"/>
      <c r="T18" s="793"/>
    </row>
    <row r="19" spans="2:20">
      <c r="B19" s="23" t="s">
        <v>572</v>
      </c>
      <c r="C19" s="23"/>
      <c r="D19" s="776"/>
      <c r="E19" s="776"/>
      <c r="F19" s="793"/>
      <c r="G19" s="793"/>
      <c r="H19" s="793"/>
      <c r="I19" s="793"/>
      <c r="J19" s="984">
        <v>22395</v>
      </c>
      <c r="K19" s="793"/>
      <c r="L19" s="793"/>
      <c r="M19" s="984">
        <v>60376</v>
      </c>
      <c r="N19" s="793"/>
      <c r="O19" s="793"/>
      <c r="P19" s="793"/>
      <c r="Q19" s="793"/>
      <c r="R19" s="793"/>
      <c r="S19" s="793"/>
      <c r="T19" s="793"/>
    </row>
    <row r="20" spans="2:20">
      <c r="B20" s="23" t="s">
        <v>573</v>
      </c>
      <c r="C20" s="23"/>
      <c r="D20" s="776"/>
      <c r="E20" s="776"/>
      <c r="F20" s="793"/>
      <c r="G20" s="793"/>
      <c r="H20" s="793"/>
      <c r="I20" s="793"/>
      <c r="J20" s="984">
        <v>11742</v>
      </c>
      <c r="K20" s="793"/>
      <c r="L20" s="793"/>
      <c r="M20" s="984">
        <v>218</v>
      </c>
      <c r="N20" s="793"/>
      <c r="O20" s="793"/>
      <c r="P20" s="793"/>
      <c r="Q20" s="793"/>
      <c r="R20" s="793"/>
      <c r="S20" s="793"/>
      <c r="T20" s="793"/>
    </row>
    <row r="21" spans="2:20">
      <c r="B21" s="23"/>
      <c r="C21" s="23"/>
      <c r="D21" s="776"/>
      <c r="E21" s="776"/>
      <c r="F21" s="793"/>
      <c r="G21" s="793"/>
      <c r="H21" s="793"/>
      <c r="I21" s="793"/>
      <c r="J21" s="984"/>
      <c r="K21" s="793"/>
      <c r="L21" s="793"/>
      <c r="M21" s="984"/>
      <c r="N21" s="793"/>
      <c r="O21" s="793"/>
      <c r="P21" s="793"/>
      <c r="Q21" s="793"/>
      <c r="R21" s="793"/>
      <c r="S21" s="793"/>
      <c r="T21" s="793"/>
    </row>
    <row r="22" spans="2:20">
      <c r="B22" s="23" t="s">
        <v>460</v>
      </c>
      <c r="C22" s="23"/>
      <c r="D22" s="776"/>
      <c r="E22" s="776"/>
      <c r="F22" s="793"/>
      <c r="G22" s="793"/>
      <c r="H22" s="793"/>
      <c r="I22" s="793"/>
      <c r="J22" s="984">
        <v>309252</v>
      </c>
      <c r="K22" s="793"/>
      <c r="L22" s="793"/>
      <c r="M22" s="984">
        <v>760440</v>
      </c>
      <c r="N22" s="793"/>
      <c r="O22" s="793"/>
      <c r="P22" s="793"/>
      <c r="Q22" s="793"/>
      <c r="R22" s="793"/>
      <c r="S22" s="793"/>
      <c r="T22" s="793"/>
    </row>
    <row r="23" spans="2:20">
      <c r="B23" s="23" t="s">
        <v>314</v>
      </c>
      <c r="C23" s="23"/>
      <c r="D23" s="776"/>
      <c r="E23" s="776"/>
      <c r="F23" s="793"/>
      <c r="G23" s="793"/>
      <c r="H23" s="793"/>
      <c r="I23" s="793"/>
      <c r="J23" s="984">
        <v>366829</v>
      </c>
      <c r="K23" s="793"/>
      <c r="L23" s="793"/>
      <c r="M23" s="984">
        <v>137893</v>
      </c>
      <c r="N23" s="793"/>
      <c r="O23" s="793"/>
      <c r="P23" s="793"/>
      <c r="Q23" s="793"/>
      <c r="R23" s="793"/>
      <c r="S23" s="793"/>
      <c r="T23" s="793"/>
    </row>
    <row r="24" spans="2:20">
      <c r="B24" s="23"/>
      <c r="C24" s="23"/>
      <c r="D24" s="776"/>
      <c r="E24" s="776"/>
      <c r="F24" s="793"/>
      <c r="G24" s="793"/>
      <c r="H24" s="793"/>
      <c r="I24" s="793"/>
      <c r="J24" s="984"/>
      <c r="K24" s="793"/>
      <c r="L24" s="793"/>
      <c r="M24" s="984"/>
      <c r="N24" s="793"/>
      <c r="O24" s="793"/>
      <c r="P24" s="793"/>
      <c r="Q24" s="793"/>
      <c r="R24" s="793"/>
      <c r="S24" s="793"/>
      <c r="T24" s="793"/>
    </row>
    <row r="25" spans="2:20">
      <c r="B25" s="23" t="s">
        <v>574</v>
      </c>
      <c r="C25" s="23"/>
      <c r="D25" s="776"/>
      <c r="E25" s="776"/>
      <c r="F25" s="793"/>
      <c r="G25" s="793"/>
      <c r="H25" s="793"/>
      <c r="I25" s="793"/>
      <c r="J25" s="984">
        <v>-55851</v>
      </c>
      <c r="K25" s="793"/>
      <c r="L25" s="793"/>
      <c r="M25" s="984">
        <v>-88609</v>
      </c>
      <c r="N25" s="793"/>
      <c r="O25" s="793"/>
      <c r="P25" s="793"/>
      <c r="Q25" s="793"/>
      <c r="R25" s="793"/>
      <c r="S25" s="793"/>
      <c r="T25" s="793"/>
    </row>
    <row r="26" spans="2:20">
      <c r="B26" s="23"/>
      <c r="C26" s="23"/>
      <c r="D26" s="776"/>
      <c r="E26" s="776"/>
      <c r="F26" s="793"/>
      <c r="G26" s="793"/>
      <c r="H26" s="793"/>
      <c r="I26" s="793"/>
      <c r="J26" s="984"/>
      <c r="K26" s="793"/>
      <c r="L26" s="793"/>
      <c r="M26" s="984">
        <v>-7203</v>
      </c>
      <c r="N26" s="793"/>
      <c r="O26" s="793"/>
      <c r="P26" s="793"/>
      <c r="Q26" s="793"/>
      <c r="R26" s="793"/>
      <c r="S26" s="793"/>
      <c r="T26" s="793"/>
    </row>
    <row r="27" spans="2:20">
      <c r="B27" s="23" t="s">
        <v>10</v>
      </c>
      <c r="C27" s="23"/>
      <c r="D27" s="776"/>
      <c r="E27" s="776"/>
      <c r="F27" s="793"/>
      <c r="G27" s="793"/>
      <c r="H27" s="793"/>
      <c r="I27" s="793"/>
      <c r="J27" s="984">
        <v>-21576</v>
      </c>
      <c r="K27" s="793"/>
      <c r="L27" s="793"/>
      <c r="M27" s="984">
        <v>-22865</v>
      </c>
      <c r="N27" s="793"/>
      <c r="O27" s="793"/>
      <c r="P27" s="793"/>
      <c r="Q27" s="793"/>
      <c r="R27" s="793"/>
      <c r="S27" s="793"/>
      <c r="T27" s="793"/>
    </row>
    <row r="28" spans="2:20">
      <c r="B28" s="23"/>
      <c r="C28" s="23"/>
      <c r="D28" s="776"/>
      <c r="E28" s="776"/>
      <c r="F28" s="793"/>
      <c r="G28" s="793"/>
      <c r="H28" s="793"/>
      <c r="I28" s="793"/>
      <c r="J28" s="1021"/>
      <c r="K28" s="793"/>
      <c r="L28" s="793"/>
      <c r="M28" s="1021"/>
      <c r="N28" s="793"/>
      <c r="O28" s="793"/>
      <c r="P28" s="793"/>
      <c r="Q28" s="793"/>
      <c r="R28" s="793"/>
      <c r="S28" s="793"/>
      <c r="T28" s="793"/>
    </row>
    <row r="29" spans="2:20">
      <c r="B29" s="23" t="s">
        <v>575</v>
      </c>
      <c r="C29" s="23"/>
      <c r="D29" s="776"/>
      <c r="E29" s="776"/>
      <c r="F29" s="793"/>
      <c r="G29" s="793"/>
      <c r="H29" s="793"/>
      <c r="I29" s="793"/>
      <c r="J29" s="984">
        <f>SUM(J18:J28)</f>
        <v>668597</v>
      </c>
      <c r="K29" s="793"/>
      <c r="L29" s="793"/>
      <c r="M29" s="984">
        <f>SUM(M18:M28)</f>
        <v>851763</v>
      </c>
      <c r="N29" s="793"/>
      <c r="O29" s="793"/>
      <c r="P29" s="793"/>
      <c r="Q29" s="793"/>
      <c r="R29" s="793"/>
      <c r="S29" s="793"/>
      <c r="T29" s="793"/>
    </row>
    <row r="30" spans="2:20">
      <c r="B30" s="23" t="s">
        <v>576</v>
      </c>
      <c r="C30" s="23"/>
      <c r="D30" s="776"/>
      <c r="E30" s="776"/>
      <c r="F30" s="793"/>
      <c r="G30" s="793"/>
      <c r="H30" s="793"/>
      <c r="I30" s="793"/>
      <c r="J30" s="984"/>
      <c r="K30" s="793"/>
      <c r="L30" s="793"/>
      <c r="M30" s="1021">
        <v>652516</v>
      </c>
      <c r="N30" s="793"/>
      <c r="O30" s="793"/>
      <c r="P30" s="793"/>
      <c r="Q30" s="793"/>
      <c r="R30" s="793"/>
      <c r="S30" s="793"/>
      <c r="T30" s="793"/>
    </row>
    <row r="31" spans="2:20">
      <c r="B31" s="23"/>
      <c r="C31" s="23"/>
      <c r="D31" s="776"/>
      <c r="E31" s="776"/>
      <c r="F31" s="793"/>
      <c r="G31" s="793"/>
      <c r="H31" s="793"/>
      <c r="I31" s="793"/>
      <c r="J31" s="984"/>
      <c r="K31" s="793"/>
      <c r="L31" s="793"/>
      <c r="M31" s="1020"/>
      <c r="N31" s="793"/>
      <c r="O31" s="793"/>
      <c r="P31" s="793"/>
      <c r="Q31" s="793"/>
      <c r="R31" s="793"/>
      <c r="S31" s="793"/>
      <c r="T31" s="793"/>
    </row>
    <row r="32" spans="2:20" ht="13.5" thickBot="1">
      <c r="B32" s="23" t="s">
        <v>566</v>
      </c>
      <c r="C32" s="23"/>
      <c r="D32" s="776"/>
      <c r="E32" s="776"/>
      <c r="F32" s="793"/>
      <c r="G32" s="793"/>
      <c r="H32" s="793"/>
      <c r="I32" s="793"/>
      <c r="J32" s="1173">
        <v>668597</v>
      </c>
      <c r="K32" s="793"/>
      <c r="L32" s="793"/>
      <c r="M32" s="1020"/>
      <c r="N32" s="793"/>
      <c r="O32" s="793"/>
      <c r="P32" s="793"/>
      <c r="Q32" s="793"/>
      <c r="R32" s="793"/>
      <c r="S32" s="793"/>
      <c r="T32" s="793"/>
    </row>
    <row r="33" spans="1:20" ht="13.5" thickTop="1">
      <c r="A33" s="776"/>
      <c r="B33" s="23" t="s">
        <v>577</v>
      </c>
      <c r="C33" s="23"/>
      <c r="D33" s="776"/>
      <c r="E33" s="776"/>
      <c r="F33" s="793"/>
      <c r="G33" s="793"/>
      <c r="H33" s="793"/>
      <c r="I33" s="793"/>
      <c r="J33" s="793"/>
      <c r="K33" s="793"/>
      <c r="L33" s="793"/>
      <c r="M33" s="984">
        <f>SUM(M29:M30)</f>
        <v>1504279</v>
      </c>
      <c r="N33" s="793"/>
      <c r="O33" s="793"/>
      <c r="P33" s="793"/>
      <c r="Q33" s="793"/>
      <c r="R33" s="793"/>
      <c r="S33" s="793"/>
      <c r="T33" s="793"/>
    </row>
    <row r="34" spans="1:20">
      <c r="A34" s="776"/>
      <c r="B34" s="23" t="s">
        <v>578</v>
      </c>
      <c r="C34" s="23"/>
      <c r="D34" s="776"/>
      <c r="E34" s="776"/>
      <c r="F34" s="793"/>
      <c r="G34" s="793"/>
      <c r="H34" s="793"/>
      <c r="I34" s="793"/>
      <c r="J34" s="793"/>
      <c r="K34" s="793"/>
      <c r="L34" s="793"/>
      <c r="M34" s="984">
        <v>-11513</v>
      </c>
      <c r="N34" s="793"/>
      <c r="O34" s="793"/>
      <c r="P34" s="793"/>
      <c r="Q34" s="793"/>
      <c r="R34" s="793"/>
      <c r="S34" s="793"/>
      <c r="T34" s="793"/>
    </row>
    <row r="35" spans="1:20" ht="13.5" thickBot="1">
      <c r="A35" s="776"/>
      <c r="B35" s="23" t="s">
        <v>579</v>
      </c>
      <c r="C35" s="23"/>
      <c r="D35" s="776"/>
      <c r="E35" s="776"/>
      <c r="F35" s="793"/>
      <c r="G35" s="793"/>
      <c r="H35" s="793"/>
      <c r="I35" s="793"/>
      <c r="J35" s="793"/>
      <c r="K35" s="793"/>
      <c r="L35" s="793"/>
      <c r="M35" s="1173">
        <f>SUM(M33:M34)</f>
        <v>1492766</v>
      </c>
      <c r="N35" s="793"/>
      <c r="O35" s="793"/>
      <c r="P35" s="793"/>
      <c r="Q35" s="793"/>
      <c r="R35" s="793"/>
      <c r="S35" s="793"/>
      <c r="T35" s="793"/>
    </row>
    <row r="36" spans="1:20" s="776" customFormat="1" ht="13.5" thickTop="1">
      <c r="B36" s="23"/>
      <c r="C36" s="23"/>
      <c r="F36" s="793"/>
      <c r="G36" s="793"/>
      <c r="H36" s="793"/>
      <c r="I36" s="793"/>
      <c r="J36" s="793"/>
      <c r="K36" s="793"/>
      <c r="L36" s="793"/>
      <c r="M36" s="793"/>
      <c r="N36" s="793"/>
      <c r="O36" s="793"/>
      <c r="P36" s="793"/>
      <c r="Q36" s="793"/>
      <c r="R36" s="793"/>
      <c r="S36" s="793"/>
      <c r="T36" s="793"/>
    </row>
    <row r="37" spans="1:20">
      <c r="A37" s="26" t="s">
        <v>580</v>
      </c>
      <c r="B37" s="4"/>
      <c r="C37" s="22"/>
      <c r="D37" s="4"/>
      <c r="E37" s="776"/>
      <c r="F37" s="793"/>
      <c r="G37" s="793"/>
      <c r="H37" s="793"/>
      <c r="I37" s="793"/>
      <c r="J37" s="793"/>
      <c r="K37" s="793"/>
      <c r="L37" s="793"/>
      <c r="M37" s="793"/>
      <c r="N37" s="793"/>
      <c r="O37" s="793"/>
      <c r="P37" s="793"/>
      <c r="Q37" s="793"/>
      <c r="R37" s="793"/>
      <c r="S37" s="793"/>
      <c r="T37" s="1332" t="s">
        <v>568</v>
      </c>
    </row>
    <row r="38" spans="1:20">
      <c r="A38" s="776"/>
      <c r="B38" s="23" t="s">
        <v>581</v>
      </c>
      <c r="C38" s="23"/>
      <c r="D38" s="776"/>
      <c r="E38" s="776"/>
      <c r="F38" s="793"/>
      <c r="G38" s="793"/>
      <c r="H38" s="793"/>
      <c r="I38" s="793"/>
      <c r="J38" s="793"/>
      <c r="K38" s="793"/>
      <c r="L38" s="793"/>
      <c r="M38" s="793"/>
      <c r="N38" s="793"/>
      <c r="O38" s="793"/>
      <c r="P38" s="793"/>
      <c r="Q38" s="793"/>
      <c r="R38" s="793"/>
      <c r="S38" s="793"/>
      <c r="T38" s="984">
        <v>4900</v>
      </c>
    </row>
    <row r="39" spans="1:20">
      <c r="A39" s="776"/>
      <c r="B39" s="23" t="s">
        <v>582</v>
      </c>
      <c r="C39" s="23"/>
      <c r="D39" s="776"/>
      <c r="E39" s="776"/>
      <c r="F39" s="793"/>
      <c r="G39" s="793"/>
      <c r="H39" s="793"/>
      <c r="I39" s="793"/>
      <c r="J39" s="793"/>
      <c r="K39" s="793"/>
      <c r="L39" s="793"/>
      <c r="M39" s="793"/>
      <c r="N39" s="793"/>
      <c r="O39" s="793"/>
      <c r="P39" s="793"/>
      <c r="Q39" s="793"/>
      <c r="R39" s="793"/>
      <c r="S39" s="793"/>
      <c r="T39" s="984">
        <v>2900</v>
      </c>
    </row>
    <row r="40" spans="1:20">
      <c r="A40" s="776"/>
      <c r="B40" s="23" t="s">
        <v>583</v>
      </c>
      <c r="C40" s="23"/>
      <c r="D40" s="776"/>
      <c r="E40" s="776"/>
      <c r="F40" s="793"/>
      <c r="G40" s="793"/>
      <c r="H40" s="793"/>
      <c r="I40" s="793"/>
      <c r="J40" s="793"/>
      <c r="K40" s="793"/>
      <c r="L40" s="793"/>
      <c r="M40" s="793"/>
      <c r="N40" s="793"/>
      <c r="O40" s="793"/>
      <c r="P40" s="793"/>
      <c r="Q40" s="793"/>
      <c r="R40" s="793"/>
      <c r="S40" s="793"/>
      <c r="T40" s="984">
        <v>1100</v>
      </c>
    </row>
    <row r="41" spans="1:20">
      <c r="A41" s="776"/>
      <c r="B41" s="23" t="s">
        <v>584</v>
      </c>
      <c r="C41" s="23"/>
      <c r="D41" s="776"/>
      <c r="E41" s="776"/>
      <c r="F41" s="793"/>
      <c r="G41" s="793"/>
      <c r="H41" s="793"/>
      <c r="I41" s="793"/>
      <c r="J41" s="793"/>
      <c r="K41" s="793"/>
      <c r="L41" s="793"/>
      <c r="M41" s="793"/>
      <c r="N41" s="793"/>
      <c r="O41" s="793"/>
      <c r="P41" s="793"/>
      <c r="Q41" s="793"/>
      <c r="R41" s="793"/>
      <c r="S41" s="793"/>
      <c r="T41" s="984">
        <v>100</v>
      </c>
    </row>
    <row r="42" spans="1:20">
      <c r="A42" s="776"/>
      <c r="B42" s="23" t="s">
        <v>314</v>
      </c>
      <c r="C42" s="23"/>
      <c r="D42" s="776"/>
      <c r="E42" s="776"/>
      <c r="F42" s="793"/>
      <c r="G42" s="793"/>
      <c r="H42" s="793"/>
      <c r="I42" s="793"/>
      <c r="J42" s="793"/>
      <c r="K42" s="793"/>
      <c r="L42" s="793"/>
      <c r="M42" s="793"/>
      <c r="N42" s="793"/>
      <c r="O42" s="793"/>
      <c r="P42" s="793"/>
      <c r="Q42" s="793"/>
      <c r="R42" s="793"/>
      <c r="S42" s="793"/>
      <c r="T42" s="984">
        <v>5700</v>
      </c>
    </row>
    <row r="43" spans="1:20">
      <c r="A43" s="776"/>
      <c r="B43" s="23" t="s">
        <v>460</v>
      </c>
      <c r="C43" s="23"/>
      <c r="D43" s="776"/>
      <c r="E43" s="776"/>
      <c r="F43" s="793"/>
      <c r="G43" s="793"/>
      <c r="H43" s="793"/>
      <c r="I43" s="793"/>
      <c r="J43" s="793"/>
      <c r="K43" s="793"/>
      <c r="L43" s="793"/>
      <c r="M43" s="793"/>
      <c r="N43" s="793"/>
      <c r="O43" s="793"/>
      <c r="P43" s="793"/>
      <c r="Q43" s="793"/>
      <c r="R43" s="793"/>
      <c r="S43" s="793"/>
      <c r="T43" s="984">
        <v>39700</v>
      </c>
    </row>
    <row r="44" spans="1:20">
      <c r="A44" s="776"/>
      <c r="B44" s="23" t="s">
        <v>585</v>
      </c>
      <c r="C44" s="23"/>
      <c r="D44" s="776"/>
      <c r="E44" s="776"/>
      <c r="F44" s="793"/>
      <c r="G44" s="793"/>
      <c r="H44" s="793"/>
      <c r="I44" s="793"/>
      <c r="J44" s="793"/>
      <c r="K44" s="793"/>
      <c r="L44" s="793"/>
      <c r="M44" s="793"/>
      <c r="N44" s="793"/>
      <c r="O44" s="793"/>
      <c r="P44" s="793"/>
      <c r="Q44" s="793"/>
      <c r="R44" s="793"/>
      <c r="S44" s="793"/>
      <c r="T44" s="984">
        <v>-3300</v>
      </c>
    </row>
    <row r="45" spans="1:20">
      <c r="A45" s="776"/>
      <c r="B45" s="23" t="s">
        <v>586</v>
      </c>
      <c r="C45" s="23"/>
      <c r="D45" s="776"/>
      <c r="E45" s="776"/>
      <c r="F45" s="793"/>
      <c r="G45" s="793"/>
      <c r="H45" s="793"/>
      <c r="I45" s="793"/>
      <c r="J45" s="793"/>
      <c r="K45" s="793"/>
      <c r="L45" s="793"/>
      <c r="M45" s="793"/>
      <c r="N45" s="793"/>
      <c r="O45" s="793"/>
      <c r="P45" s="793"/>
      <c r="Q45" s="793"/>
      <c r="R45" s="793"/>
      <c r="S45" s="793"/>
      <c r="T45" s="984">
        <v>-100</v>
      </c>
    </row>
    <row r="46" spans="1:20">
      <c r="A46" s="776"/>
      <c r="B46" s="23" t="s">
        <v>10</v>
      </c>
      <c r="C46" s="23"/>
      <c r="D46" s="776"/>
      <c r="E46" s="776"/>
      <c r="F46" s="793"/>
      <c r="G46" s="793"/>
      <c r="H46" s="793"/>
      <c r="I46" s="793"/>
      <c r="J46" s="793"/>
      <c r="K46" s="793"/>
      <c r="L46" s="793"/>
      <c r="M46" s="793"/>
      <c r="N46" s="793"/>
      <c r="O46" s="793"/>
      <c r="P46" s="793"/>
      <c r="Q46" s="793"/>
      <c r="R46" s="793"/>
      <c r="S46" s="793"/>
      <c r="T46" s="1021">
        <v>-1500</v>
      </c>
    </row>
    <row r="47" spans="1:20">
      <c r="A47" s="776"/>
      <c r="B47" s="23" t="s">
        <v>587</v>
      </c>
      <c r="C47" s="23"/>
      <c r="D47" s="776"/>
      <c r="E47" s="776"/>
      <c r="F47" s="793"/>
      <c r="G47" s="793"/>
      <c r="H47" s="793"/>
      <c r="I47" s="793"/>
      <c r="J47" s="793"/>
      <c r="K47" s="793"/>
      <c r="L47" s="793"/>
      <c r="M47" s="793"/>
      <c r="N47" s="793"/>
      <c r="O47" s="793"/>
      <c r="P47" s="793"/>
      <c r="Q47" s="793"/>
      <c r="R47" s="793"/>
      <c r="S47" s="793"/>
      <c r="T47" s="984">
        <f>SUM(T38:T46)</f>
        <v>49500</v>
      </c>
    </row>
    <row r="48" spans="1:20">
      <c r="A48" s="776"/>
      <c r="B48" s="23"/>
      <c r="C48" s="23"/>
      <c r="D48" s="776"/>
      <c r="E48" s="776"/>
      <c r="F48" s="793"/>
      <c r="G48" s="793"/>
      <c r="H48" s="793"/>
      <c r="I48" s="793"/>
      <c r="J48" s="793"/>
      <c r="K48" s="793"/>
      <c r="L48" s="793"/>
      <c r="M48" s="793"/>
      <c r="N48" s="793"/>
      <c r="O48" s="793"/>
      <c r="P48" s="793"/>
      <c r="Q48" s="793"/>
      <c r="R48" s="793"/>
      <c r="S48" s="793"/>
      <c r="T48" s="984"/>
    </row>
    <row r="49" spans="1:20">
      <c r="A49" s="776"/>
      <c r="B49" s="22" t="s">
        <v>577</v>
      </c>
      <c r="C49" s="22"/>
      <c r="D49" s="776"/>
      <c r="E49" s="776"/>
      <c r="F49" s="793"/>
      <c r="G49" s="793"/>
      <c r="H49" s="793"/>
      <c r="I49" s="793"/>
      <c r="J49" s="793"/>
      <c r="K49" s="793"/>
      <c r="L49" s="793"/>
      <c r="M49" s="793"/>
      <c r="N49" s="793"/>
      <c r="O49" s="793"/>
      <c r="P49" s="793"/>
      <c r="Q49" s="793"/>
      <c r="R49" s="793"/>
      <c r="S49" s="793"/>
      <c r="T49" s="984"/>
    </row>
    <row r="50" spans="1:20">
      <c r="A50" s="776"/>
      <c r="B50" s="23" t="s">
        <v>588</v>
      </c>
      <c r="C50" s="23"/>
      <c r="D50" s="776"/>
      <c r="E50" s="776"/>
      <c r="F50" s="793"/>
      <c r="G50" s="793"/>
      <c r="H50" s="793"/>
      <c r="I50" s="793"/>
      <c r="J50" s="793"/>
      <c r="K50" s="793"/>
      <c r="L50" s="793"/>
      <c r="M50" s="793"/>
      <c r="N50" s="793"/>
      <c r="O50" s="793"/>
      <c r="P50" s="793"/>
      <c r="Q50" s="793"/>
      <c r="R50" s="793"/>
      <c r="S50" s="793"/>
      <c r="T50" s="984">
        <v>56300</v>
      </c>
    </row>
    <row r="51" spans="1:20">
      <c r="A51" s="776"/>
      <c r="B51" s="23" t="s">
        <v>589</v>
      </c>
      <c r="C51" s="23"/>
      <c r="D51" s="776"/>
      <c r="E51" s="776"/>
      <c r="F51" s="793"/>
      <c r="G51" s="793"/>
      <c r="H51" s="793"/>
      <c r="I51" s="793"/>
      <c r="J51" s="793"/>
      <c r="K51" s="793"/>
      <c r="L51" s="793"/>
      <c r="M51" s="793"/>
      <c r="N51" s="793"/>
      <c r="O51" s="793"/>
      <c r="P51" s="793"/>
      <c r="Q51" s="793"/>
      <c r="R51" s="793"/>
      <c r="S51" s="793"/>
      <c r="T51" s="984">
        <v>100</v>
      </c>
    </row>
    <row r="52" spans="1:20">
      <c r="A52" s="776"/>
      <c r="B52" s="23" t="s">
        <v>590</v>
      </c>
      <c r="C52" s="23"/>
      <c r="D52" s="776"/>
      <c r="E52" s="776"/>
      <c r="F52" s="793"/>
      <c r="G52" s="793"/>
      <c r="H52" s="793"/>
      <c r="I52" s="793"/>
      <c r="J52" s="793"/>
      <c r="K52" s="793"/>
      <c r="L52" s="793"/>
      <c r="M52" s="793"/>
      <c r="N52" s="793"/>
      <c r="O52" s="793"/>
      <c r="P52" s="793"/>
      <c r="Q52" s="793"/>
      <c r="R52" s="793"/>
      <c r="S52" s="793"/>
      <c r="T52" s="1021">
        <v>-1000</v>
      </c>
    </row>
    <row r="53" spans="1:20">
      <c r="A53" s="776"/>
      <c r="B53" s="23" t="s">
        <v>591</v>
      </c>
      <c r="C53" s="23"/>
      <c r="D53" s="776"/>
      <c r="E53" s="776"/>
      <c r="F53" s="793"/>
      <c r="G53" s="793"/>
      <c r="H53" s="793"/>
      <c r="I53" s="793"/>
      <c r="J53" s="793"/>
      <c r="K53" s="793"/>
      <c r="L53" s="793"/>
      <c r="M53" s="793"/>
      <c r="N53" s="793"/>
      <c r="O53" s="793"/>
      <c r="P53" s="793"/>
      <c r="Q53" s="793"/>
      <c r="R53" s="793"/>
      <c r="S53" s="793"/>
      <c r="T53" s="984">
        <f>SUM(T50:T52)</f>
        <v>55400</v>
      </c>
    </row>
    <row r="54" spans="1:20">
      <c r="A54" s="776"/>
      <c r="B54" s="23"/>
      <c r="C54" s="23"/>
      <c r="D54" s="776"/>
      <c r="E54" s="776"/>
      <c r="F54" s="793"/>
      <c r="G54" s="793"/>
      <c r="H54" s="793"/>
      <c r="I54" s="793"/>
      <c r="J54" s="793"/>
      <c r="K54" s="793"/>
      <c r="L54" s="793"/>
      <c r="M54" s="793"/>
      <c r="N54" s="793"/>
      <c r="O54" s="793"/>
      <c r="P54" s="793"/>
      <c r="Q54" s="793"/>
      <c r="R54" s="793"/>
      <c r="S54" s="793"/>
      <c r="T54" s="984"/>
    </row>
    <row r="55" spans="1:20" ht="13.5" thickBot="1">
      <c r="A55" s="776"/>
      <c r="B55" s="30" t="s">
        <v>576</v>
      </c>
      <c r="C55" s="23"/>
      <c r="D55" s="776"/>
      <c r="E55" s="776"/>
      <c r="F55" s="793"/>
      <c r="G55" s="793"/>
      <c r="H55" s="793"/>
      <c r="I55" s="793"/>
      <c r="J55" s="793"/>
      <c r="K55" s="793"/>
      <c r="L55" s="793"/>
      <c r="M55" s="793"/>
      <c r="N55" s="793"/>
      <c r="O55" s="793"/>
      <c r="P55" s="793"/>
      <c r="Q55" s="793"/>
      <c r="R55" s="793"/>
      <c r="S55" s="793"/>
      <c r="T55" s="1173">
        <f>T53-T47</f>
        <v>5900</v>
      </c>
    </row>
    <row r="56" spans="1:20" s="776" customFormat="1" ht="13.5" thickTop="1">
      <c r="B56" s="30"/>
      <c r="C56" s="23"/>
      <c r="F56" s="793"/>
      <c r="G56" s="793"/>
      <c r="H56" s="793"/>
      <c r="I56" s="793"/>
      <c r="J56" s="793"/>
      <c r="K56" s="793"/>
      <c r="L56" s="793"/>
      <c r="M56" s="793"/>
      <c r="N56" s="793"/>
      <c r="O56" s="793"/>
      <c r="P56" s="793"/>
      <c r="Q56" s="793"/>
      <c r="R56" s="793"/>
      <c r="S56" s="793"/>
      <c r="T56" s="793"/>
    </row>
    <row r="57" spans="1:20">
      <c r="A57" s="789" t="s">
        <v>592</v>
      </c>
      <c r="B57" s="789"/>
      <c r="C57" s="789"/>
      <c r="D57" s="789"/>
      <c r="E57" s="776"/>
      <c r="F57" s="793"/>
      <c r="G57" s="793"/>
      <c r="H57" s="793"/>
      <c r="I57" s="793"/>
      <c r="J57" s="793"/>
      <c r="K57" s="793"/>
      <c r="L57" s="793"/>
      <c r="M57" s="793"/>
      <c r="N57" s="793"/>
      <c r="O57" s="793"/>
      <c r="P57" s="793"/>
      <c r="Q57" s="793"/>
      <c r="R57" s="793"/>
      <c r="S57" s="793"/>
      <c r="T57" s="793"/>
    </row>
    <row r="58" spans="1:20">
      <c r="A58" s="776"/>
      <c r="B58" s="23" t="s">
        <v>581</v>
      </c>
      <c r="C58" s="23"/>
      <c r="D58" s="776"/>
      <c r="E58" s="776"/>
      <c r="F58" s="793"/>
      <c r="G58" s="793"/>
      <c r="H58" s="793"/>
      <c r="I58" s="793"/>
      <c r="J58" s="793"/>
      <c r="K58" s="793"/>
      <c r="L58" s="793"/>
      <c r="M58" s="793"/>
      <c r="N58" s="793"/>
      <c r="O58" s="793"/>
      <c r="P58" s="793"/>
      <c r="Q58" s="793"/>
      <c r="R58" s="793"/>
      <c r="S58" s="793"/>
      <c r="T58" s="984">
        <v>9300</v>
      </c>
    </row>
    <row r="59" spans="1:20">
      <c r="A59" s="776"/>
      <c r="B59" s="23" t="s">
        <v>10</v>
      </c>
      <c r="C59" s="23"/>
      <c r="D59" s="776"/>
      <c r="E59" s="776"/>
      <c r="F59" s="793"/>
      <c r="G59" s="793"/>
      <c r="H59" s="793"/>
      <c r="I59" s="793"/>
      <c r="J59" s="793"/>
      <c r="K59" s="793"/>
      <c r="L59" s="793"/>
      <c r="M59" s="793"/>
      <c r="N59" s="793"/>
      <c r="O59" s="793"/>
      <c r="P59" s="793"/>
      <c r="Q59" s="793"/>
      <c r="R59" s="793"/>
      <c r="S59" s="793"/>
      <c r="T59" s="984">
        <v>1000</v>
      </c>
    </row>
    <row r="60" spans="1:20">
      <c r="A60" s="776"/>
      <c r="B60" s="23" t="s">
        <v>302</v>
      </c>
      <c r="C60" s="23"/>
      <c r="D60" s="776"/>
      <c r="E60" s="776"/>
      <c r="F60" s="793"/>
      <c r="G60" s="793"/>
      <c r="H60" s="793"/>
      <c r="I60" s="793"/>
      <c r="J60" s="793"/>
      <c r="K60" s="793"/>
      <c r="L60" s="793"/>
      <c r="M60" s="793"/>
      <c r="N60" s="793"/>
      <c r="O60" s="793"/>
      <c r="P60" s="793"/>
      <c r="Q60" s="793"/>
      <c r="R60" s="793"/>
      <c r="S60" s="793"/>
      <c r="T60" s="984">
        <v>627700</v>
      </c>
    </row>
    <row r="61" spans="1:20">
      <c r="A61" s="776"/>
      <c r="B61" s="23" t="s">
        <v>593</v>
      </c>
      <c r="C61" s="23"/>
      <c r="D61" s="776"/>
      <c r="E61" s="776"/>
      <c r="F61" s="793"/>
      <c r="G61" s="793"/>
      <c r="H61" s="793"/>
      <c r="I61" s="793"/>
      <c r="J61" s="793"/>
      <c r="K61" s="793"/>
      <c r="L61" s="793"/>
      <c r="M61" s="793"/>
      <c r="N61" s="793"/>
      <c r="O61" s="793"/>
      <c r="P61" s="793"/>
      <c r="Q61" s="793"/>
      <c r="R61" s="793"/>
      <c r="S61" s="793"/>
      <c r="T61" s="984">
        <v>10600</v>
      </c>
    </row>
    <row r="62" spans="1:20">
      <c r="A62" s="776"/>
      <c r="B62" s="23" t="s">
        <v>552</v>
      </c>
      <c r="C62" s="23"/>
      <c r="D62" s="776"/>
      <c r="E62" s="776"/>
      <c r="F62" s="793"/>
      <c r="G62" s="793"/>
      <c r="H62" s="793"/>
      <c r="I62" s="793"/>
      <c r="J62" s="793"/>
      <c r="K62" s="793"/>
      <c r="L62" s="793"/>
      <c r="M62" s="793"/>
      <c r="N62" s="793"/>
      <c r="O62" s="793"/>
      <c r="P62" s="793"/>
      <c r="Q62" s="793"/>
      <c r="R62" s="793"/>
      <c r="S62" s="793"/>
      <c r="T62" s="984">
        <v>13600</v>
      </c>
    </row>
    <row r="63" spans="1:20">
      <c r="A63" s="776"/>
      <c r="B63" s="23" t="s">
        <v>585</v>
      </c>
      <c r="C63" s="23"/>
      <c r="D63" s="776"/>
      <c r="E63" s="776"/>
      <c r="F63" s="793"/>
      <c r="G63" s="793"/>
      <c r="H63" s="793"/>
      <c r="I63" s="793"/>
      <c r="J63" s="793"/>
      <c r="K63" s="793"/>
      <c r="L63" s="793"/>
      <c r="M63" s="793"/>
      <c r="N63" s="793"/>
      <c r="O63" s="793"/>
      <c r="P63" s="793"/>
      <c r="Q63" s="793"/>
      <c r="R63" s="793"/>
      <c r="S63" s="793"/>
      <c r="T63" s="984">
        <v>-9200</v>
      </c>
    </row>
    <row r="64" spans="1:20">
      <c r="A64" s="776"/>
      <c r="B64" s="23" t="s">
        <v>586</v>
      </c>
      <c r="C64" s="23"/>
      <c r="D64" s="776"/>
      <c r="E64" s="776"/>
      <c r="F64" s="793"/>
      <c r="G64" s="793"/>
      <c r="H64" s="793"/>
      <c r="I64" s="793"/>
      <c r="J64" s="793"/>
      <c r="K64" s="793"/>
      <c r="L64" s="793"/>
      <c r="M64" s="793"/>
      <c r="N64" s="793"/>
      <c r="O64" s="793"/>
      <c r="P64" s="793"/>
      <c r="Q64" s="793"/>
      <c r="R64" s="793"/>
      <c r="S64" s="793"/>
      <c r="T64" s="984">
        <v>-44200</v>
      </c>
    </row>
    <row r="65" spans="1:20">
      <c r="A65" s="776"/>
      <c r="B65" s="23" t="s">
        <v>594</v>
      </c>
      <c r="C65" s="23"/>
      <c r="D65" s="776"/>
      <c r="E65" s="776"/>
      <c r="F65" s="793"/>
      <c r="G65" s="793"/>
      <c r="H65" s="793"/>
      <c r="I65" s="793"/>
      <c r="J65" s="793"/>
      <c r="K65" s="793"/>
      <c r="L65" s="793"/>
      <c r="M65" s="793"/>
      <c r="N65" s="793"/>
      <c r="O65" s="793"/>
      <c r="P65" s="793"/>
      <c r="Q65" s="793"/>
      <c r="R65" s="793"/>
      <c r="S65" s="793"/>
      <c r="T65" s="1021">
        <v>-614200</v>
      </c>
    </row>
    <row r="66" spans="1:20">
      <c r="A66" s="776"/>
      <c r="B66" s="23" t="s">
        <v>587</v>
      </c>
      <c r="C66" s="23"/>
      <c r="D66" s="776"/>
      <c r="E66" s="776"/>
      <c r="F66" s="793"/>
      <c r="G66" s="793"/>
      <c r="H66" s="793"/>
      <c r="I66" s="793"/>
      <c r="J66" s="793"/>
      <c r="K66" s="793"/>
      <c r="L66" s="793"/>
      <c r="M66" s="793"/>
      <c r="N66" s="793"/>
      <c r="O66" s="793"/>
      <c r="P66" s="793"/>
      <c r="Q66" s="793"/>
      <c r="R66" s="793"/>
      <c r="S66" s="793"/>
      <c r="T66" s="984">
        <f>SUM(T58:T65)</f>
        <v>-5400</v>
      </c>
    </row>
    <row r="67" spans="1:20">
      <c r="A67" s="776"/>
      <c r="B67" s="23"/>
      <c r="C67" s="23"/>
      <c r="D67" s="776"/>
      <c r="E67" s="776"/>
      <c r="F67" s="793"/>
      <c r="G67" s="793"/>
      <c r="H67" s="793"/>
      <c r="I67" s="793"/>
      <c r="J67" s="793"/>
      <c r="K67" s="793"/>
      <c r="L67" s="793"/>
      <c r="M67" s="793"/>
      <c r="N67" s="793"/>
      <c r="O67" s="793"/>
      <c r="P67" s="793"/>
      <c r="Q67" s="793"/>
      <c r="R67" s="793"/>
      <c r="S67" s="793"/>
      <c r="T67" s="984"/>
    </row>
    <row r="68" spans="1:20">
      <c r="A68" s="776"/>
      <c r="B68" s="22" t="s">
        <v>577</v>
      </c>
      <c r="C68" s="22"/>
      <c r="D68" s="776"/>
      <c r="E68" s="776"/>
      <c r="F68" s="793"/>
      <c r="G68" s="793"/>
      <c r="H68" s="793"/>
      <c r="I68" s="793"/>
      <c r="J68" s="793"/>
      <c r="K68" s="793"/>
      <c r="L68" s="793"/>
      <c r="M68" s="793"/>
      <c r="N68" s="793"/>
      <c r="O68" s="793"/>
      <c r="P68" s="793"/>
      <c r="Q68" s="793"/>
      <c r="R68" s="793"/>
      <c r="S68" s="793"/>
      <c r="T68" s="984"/>
    </row>
    <row r="69" spans="1:20">
      <c r="A69" s="776"/>
      <c r="B69" s="23" t="s">
        <v>588</v>
      </c>
      <c r="C69" s="23"/>
      <c r="D69" s="776"/>
      <c r="E69" s="776"/>
      <c r="F69" s="793"/>
      <c r="G69" s="793"/>
      <c r="H69" s="793"/>
      <c r="I69" s="793"/>
      <c r="J69" s="793"/>
      <c r="K69" s="793"/>
      <c r="L69" s="793"/>
      <c r="M69" s="793"/>
      <c r="N69" s="793"/>
      <c r="O69" s="793"/>
      <c r="P69" s="793"/>
      <c r="Q69" s="793"/>
      <c r="R69" s="793"/>
      <c r="S69" s="793"/>
      <c r="T69" s="984">
        <v>95000</v>
      </c>
    </row>
    <row r="70" spans="1:20">
      <c r="A70" s="776"/>
      <c r="B70" s="23" t="s">
        <v>595</v>
      </c>
      <c r="C70" s="23"/>
      <c r="D70" s="776"/>
      <c r="E70" s="776"/>
      <c r="F70" s="793"/>
      <c r="G70" s="793"/>
      <c r="H70" s="793"/>
      <c r="I70" s="793"/>
      <c r="J70" s="793"/>
      <c r="K70" s="793"/>
      <c r="L70" s="793"/>
      <c r="M70" s="793"/>
      <c r="N70" s="793"/>
      <c r="O70" s="793"/>
      <c r="P70" s="793"/>
      <c r="Q70" s="793"/>
      <c r="R70" s="793"/>
      <c r="S70" s="793"/>
      <c r="T70" s="984">
        <v>59100</v>
      </c>
    </row>
    <row r="71" spans="1:20">
      <c r="A71" s="776"/>
      <c r="B71" s="23" t="s">
        <v>596</v>
      </c>
      <c r="C71" s="23"/>
      <c r="D71" s="776"/>
      <c r="E71" s="776"/>
      <c r="F71" s="793"/>
      <c r="G71" s="793"/>
      <c r="H71" s="793"/>
      <c r="I71" s="793"/>
      <c r="J71" s="793"/>
      <c r="K71" s="793"/>
      <c r="L71" s="793"/>
      <c r="M71" s="793"/>
      <c r="N71" s="793"/>
      <c r="O71" s="793"/>
      <c r="P71" s="793"/>
      <c r="Q71" s="793"/>
      <c r="R71" s="793"/>
      <c r="S71" s="793"/>
      <c r="T71" s="1021">
        <v>-58100</v>
      </c>
    </row>
    <row r="72" spans="1:20">
      <c r="A72" s="776"/>
      <c r="B72" s="23" t="s">
        <v>591</v>
      </c>
      <c r="C72" s="23"/>
      <c r="D72" s="776"/>
      <c r="E72" s="776"/>
      <c r="F72" s="793"/>
      <c r="G72" s="793"/>
      <c r="H72" s="793"/>
      <c r="I72" s="793"/>
      <c r="J72" s="793"/>
      <c r="K72" s="793"/>
      <c r="L72" s="793"/>
      <c r="M72" s="793"/>
      <c r="N72" s="793"/>
      <c r="O72" s="793"/>
      <c r="P72" s="793"/>
      <c r="Q72" s="793"/>
      <c r="R72" s="793"/>
      <c r="S72" s="793"/>
      <c r="T72" s="1022">
        <f>SUM(T69:T71)</f>
        <v>96000</v>
      </c>
    </row>
    <row r="73" spans="1:20">
      <c r="A73" s="776"/>
      <c r="B73" s="23"/>
      <c r="C73" s="23"/>
      <c r="D73" s="776"/>
      <c r="E73" s="776"/>
      <c r="F73" s="793"/>
      <c r="G73" s="793"/>
      <c r="H73" s="793"/>
      <c r="I73" s="793"/>
      <c r="J73" s="793"/>
      <c r="K73" s="793"/>
      <c r="L73" s="793"/>
      <c r="M73" s="793"/>
      <c r="N73" s="793"/>
      <c r="O73" s="793"/>
      <c r="P73" s="793"/>
      <c r="Q73" s="793"/>
      <c r="R73" s="793"/>
      <c r="S73" s="793"/>
      <c r="T73" s="1022"/>
    </row>
    <row r="74" spans="1:20" ht="13.5" thickBot="1">
      <c r="A74" s="776"/>
      <c r="B74" s="30" t="s">
        <v>576</v>
      </c>
      <c r="C74" s="23"/>
      <c r="D74" s="10"/>
      <c r="E74" s="10"/>
      <c r="F74" s="793"/>
      <c r="G74" s="793"/>
      <c r="H74" s="793"/>
      <c r="I74" s="793"/>
      <c r="J74" s="793"/>
      <c r="K74" s="793"/>
      <c r="L74" s="793"/>
      <c r="M74" s="793"/>
      <c r="N74" s="793"/>
      <c r="O74" s="793"/>
      <c r="P74" s="793"/>
      <c r="Q74" s="793"/>
      <c r="R74" s="793"/>
      <c r="S74" s="793"/>
      <c r="T74" s="1173">
        <f>T72-T66</f>
        <v>101400</v>
      </c>
    </row>
    <row r="75" spans="1:20" ht="13.5" thickTop="1">
      <c r="A75" s="776"/>
      <c r="B75" s="776"/>
      <c r="C75" s="776"/>
      <c r="D75" s="776"/>
      <c r="E75" s="776"/>
      <c r="F75" s="776"/>
      <c r="G75" s="776"/>
      <c r="H75" s="776"/>
      <c r="I75" s="776"/>
      <c r="J75" s="776"/>
      <c r="K75" s="776"/>
      <c r="L75" s="776"/>
      <c r="M75" s="776"/>
      <c r="N75" s="776"/>
      <c r="O75" s="776"/>
      <c r="P75" s="776"/>
      <c r="Q75" s="776"/>
      <c r="R75" s="776"/>
      <c r="S75" s="776"/>
      <c r="T75" s="776"/>
    </row>
    <row r="76" spans="1:20">
      <c r="A76" s="26" t="s">
        <v>597</v>
      </c>
      <c r="B76" s="26"/>
      <c r="C76" s="26"/>
      <c r="D76" s="26"/>
      <c r="E76" s="776"/>
      <c r="F76" s="793"/>
      <c r="G76" s="793"/>
      <c r="H76" s="793"/>
      <c r="I76" s="793"/>
      <c r="J76" s="793"/>
      <c r="K76" s="793"/>
      <c r="L76" s="793"/>
      <c r="M76" s="793"/>
      <c r="N76" s="776"/>
      <c r="O76" s="776"/>
      <c r="P76" s="776"/>
      <c r="Q76" s="776"/>
      <c r="R76" s="776"/>
      <c r="S76" s="776"/>
      <c r="T76" s="776"/>
    </row>
    <row r="77" spans="1:20" s="776" customFormat="1">
      <c r="A77" s="30"/>
      <c r="B77" s="30"/>
      <c r="C77" s="30"/>
      <c r="D77" s="30"/>
      <c r="F77" s="793"/>
      <c r="G77" s="793"/>
      <c r="H77" s="793"/>
      <c r="I77" s="793"/>
      <c r="J77" s="793"/>
      <c r="K77" s="793"/>
      <c r="L77" s="793"/>
      <c r="M77" s="793"/>
    </row>
    <row r="78" spans="1:20">
      <c r="A78" s="2"/>
      <c r="B78" s="23" t="s">
        <v>598</v>
      </c>
      <c r="C78" s="23"/>
      <c r="D78" s="2"/>
      <c r="E78" s="776"/>
      <c r="F78" s="793"/>
      <c r="G78" s="984">
        <v>1038</v>
      </c>
      <c r="H78" s="984">
        <v>5672</v>
      </c>
      <c r="I78" s="984">
        <v>6248</v>
      </c>
      <c r="J78" s="984">
        <v>5647</v>
      </c>
      <c r="K78" s="984">
        <v>5686</v>
      </c>
      <c r="L78" s="984">
        <v>25351</v>
      </c>
      <c r="M78" s="984">
        <v>22679</v>
      </c>
      <c r="N78" s="776"/>
      <c r="O78" s="776"/>
      <c r="P78" s="776"/>
      <c r="Q78" s="776"/>
      <c r="R78" s="776"/>
      <c r="S78" s="776"/>
      <c r="T78" s="776"/>
    </row>
    <row r="79" spans="1:20">
      <c r="A79" s="2"/>
      <c r="B79" s="23" t="s">
        <v>599</v>
      </c>
      <c r="C79" s="23"/>
      <c r="D79" s="2"/>
      <c r="E79" s="776"/>
      <c r="F79" s="793"/>
      <c r="G79" s="984"/>
      <c r="H79" s="984"/>
      <c r="I79" s="984"/>
      <c r="J79" s="984"/>
      <c r="K79" s="984">
        <v>6396</v>
      </c>
      <c r="L79" s="984"/>
      <c r="M79" s="984"/>
      <c r="N79" s="776"/>
      <c r="O79" s="776"/>
      <c r="P79" s="776"/>
      <c r="Q79" s="776"/>
      <c r="R79" s="776"/>
      <c r="S79" s="776"/>
      <c r="T79" s="776"/>
    </row>
    <row r="80" spans="1:20">
      <c r="A80" s="2"/>
      <c r="B80" s="23" t="s">
        <v>600</v>
      </c>
      <c r="C80" s="23"/>
      <c r="D80" s="2"/>
      <c r="E80" s="776"/>
      <c r="F80" s="793"/>
      <c r="G80" s="984"/>
      <c r="H80" s="984"/>
      <c r="I80" s="984"/>
      <c r="J80" s="984"/>
      <c r="K80" s="984">
        <v>3672</v>
      </c>
      <c r="L80" s="984"/>
      <c r="M80" s="984"/>
      <c r="N80" s="776"/>
      <c r="O80" s="776"/>
      <c r="P80" s="776"/>
      <c r="Q80" s="776"/>
      <c r="R80" s="776"/>
      <c r="S80" s="776"/>
      <c r="T80" s="776"/>
    </row>
    <row r="81" spans="1:27">
      <c r="A81" s="2"/>
      <c r="B81" s="23"/>
      <c r="C81" s="23"/>
      <c r="D81" s="2"/>
      <c r="E81" s="776"/>
      <c r="F81" s="793"/>
      <c r="G81" s="984"/>
      <c r="H81" s="984"/>
      <c r="I81" s="984"/>
      <c r="J81" s="984"/>
      <c r="K81" s="984"/>
      <c r="L81" s="984"/>
      <c r="M81" s="984"/>
      <c r="N81" s="776"/>
      <c r="O81" s="776"/>
      <c r="P81" s="776"/>
      <c r="Q81" s="776"/>
      <c r="R81" s="776"/>
      <c r="S81" s="776"/>
      <c r="T81" s="776"/>
      <c r="U81" s="776"/>
      <c r="V81" s="776"/>
      <c r="W81" s="776"/>
      <c r="X81" s="776"/>
      <c r="Y81" s="776"/>
      <c r="Z81" s="776"/>
      <c r="AA81" s="776"/>
    </row>
    <row r="82" spans="1:27">
      <c r="A82" s="2"/>
      <c r="B82" s="23" t="s">
        <v>600</v>
      </c>
      <c r="C82" s="23"/>
      <c r="D82" s="1065">
        <v>0.29899999999999999</v>
      </c>
      <c r="E82" s="776"/>
      <c r="F82" s="793"/>
      <c r="G82" s="984"/>
      <c r="H82" s="984"/>
      <c r="I82" s="984"/>
      <c r="J82" s="984"/>
      <c r="K82" s="984"/>
      <c r="L82" s="984"/>
      <c r="M82" s="984"/>
      <c r="N82" s="776"/>
      <c r="O82" s="776"/>
      <c r="P82" s="776"/>
      <c r="Q82" s="776"/>
      <c r="R82" s="776"/>
      <c r="S82" s="776"/>
      <c r="T82" s="776"/>
      <c r="U82" s="776"/>
      <c r="V82" s="776"/>
      <c r="W82" s="776"/>
      <c r="X82" s="776"/>
      <c r="Y82" s="776"/>
      <c r="Z82" s="776"/>
      <c r="AA82" s="776"/>
    </row>
    <row r="83" spans="1:27">
      <c r="A83" s="2"/>
      <c r="B83" s="23" t="s">
        <v>553</v>
      </c>
      <c r="C83" s="23"/>
      <c r="D83" s="2"/>
      <c r="E83" s="776"/>
      <c r="F83" s="793"/>
      <c r="G83" s="984">
        <v>2556</v>
      </c>
      <c r="H83" s="984">
        <f>G88</f>
        <v>2556</v>
      </c>
      <c r="I83" s="984">
        <f>H88</f>
        <v>1421</v>
      </c>
      <c r="J83" s="984">
        <v>2314</v>
      </c>
      <c r="K83" s="984"/>
      <c r="L83" s="984"/>
      <c r="M83" s="984"/>
      <c r="N83" s="776"/>
      <c r="O83" s="776"/>
      <c r="P83" s="776"/>
      <c r="Q83" s="776"/>
      <c r="R83" s="776"/>
      <c r="S83" s="776"/>
      <c r="T83" s="776"/>
      <c r="U83" s="776"/>
      <c r="V83" s="776"/>
      <c r="W83" s="776"/>
      <c r="X83" s="776"/>
      <c r="Y83" s="776"/>
      <c r="Z83" s="776"/>
      <c r="AA83" s="776"/>
    </row>
    <row r="84" spans="1:27">
      <c r="A84" s="2"/>
      <c r="B84" s="23" t="s">
        <v>601</v>
      </c>
      <c r="C84" s="23"/>
      <c r="D84" s="2"/>
      <c r="E84" s="776"/>
      <c r="F84" s="793"/>
      <c r="G84" s="1020"/>
      <c r="H84" s="984">
        <v>1965</v>
      </c>
      <c r="I84" s="984">
        <v>2865</v>
      </c>
      <c r="J84" s="984">
        <v>1249</v>
      </c>
      <c r="K84" s="984"/>
      <c r="L84" s="984"/>
      <c r="M84" s="984"/>
      <c r="N84" s="776"/>
      <c r="O84" s="776"/>
      <c r="P84" s="776"/>
      <c r="Q84" s="776"/>
      <c r="R84" s="776"/>
      <c r="S84" s="776"/>
      <c r="T84" s="776"/>
      <c r="U84" s="776"/>
      <c r="V84" s="776"/>
      <c r="W84" s="776"/>
      <c r="X84" s="776"/>
      <c r="Y84" s="776"/>
      <c r="Z84" s="776"/>
      <c r="AA84" s="776"/>
    </row>
    <row r="85" spans="1:27">
      <c r="A85" s="2"/>
      <c r="B85" s="23" t="s">
        <v>602</v>
      </c>
      <c r="C85" s="23"/>
      <c r="D85" s="2"/>
      <c r="E85" s="776"/>
      <c r="F85" s="793"/>
      <c r="G85" s="1020"/>
      <c r="H85" s="984">
        <v>-3100</v>
      </c>
      <c r="I85" s="984">
        <v>0</v>
      </c>
      <c r="J85" s="984"/>
      <c r="K85" s="984"/>
      <c r="L85" s="984"/>
      <c r="M85" s="984"/>
      <c r="N85" s="776"/>
      <c r="O85" s="776"/>
      <c r="P85" s="776"/>
      <c r="Q85" s="776"/>
      <c r="R85" s="776"/>
      <c r="S85" s="776"/>
      <c r="T85" s="776"/>
      <c r="U85" s="776"/>
      <c r="V85" s="776"/>
      <c r="W85" s="776"/>
      <c r="X85" s="776"/>
      <c r="Y85" s="776"/>
      <c r="Z85" s="776"/>
      <c r="AA85" s="776"/>
    </row>
    <row r="86" spans="1:27">
      <c r="A86" s="2"/>
      <c r="B86" s="23" t="s">
        <v>603</v>
      </c>
      <c r="C86" s="23"/>
      <c r="D86" s="2"/>
      <c r="E86" s="776"/>
      <c r="F86" s="793"/>
      <c r="G86" s="1020"/>
      <c r="H86" s="984"/>
      <c r="I86" s="984">
        <v>-168</v>
      </c>
      <c r="J86" s="984">
        <v>-859</v>
      </c>
      <c r="K86" s="984"/>
      <c r="L86" s="984"/>
      <c r="M86" s="984"/>
      <c r="N86" s="776"/>
      <c r="O86" s="776"/>
      <c r="P86" s="776"/>
      <c r="Q86" s="776"/>
      <c r="R86" s="776"/>
      <c r="S86" s="776"/>
      <c r="T86" s="776"/>
      <c r="U86" s="776"/>
      <c r="V86" s="776"/>
      <c r="W86" s="776"/>
      <c r="X86" s="776"/>
      <c r="Y86" s="776"/>
      <c r="Z86" s="776"/>
      <c r="AA86" s="776"/>
    </row>
    <row r="87" spans="1:27">
      <c r="A87" s="2"/>
      <c r="B87" s="23" t="s">
        <v>604</v>
      </c>
      <c r="C87" s="23"/>
      <c r="D87" s="2"/>
      <c r="E87" s="776"/>
      <c r="F87" s="892"/>
      <c r="G87" s="471"/>
      <c r="H87" s="1021"/>
      <c r="I87" s="1021">
        <v>-1804</v>
      </c>
      <c r="J87" s="1021">
        <v>-3235</v>
      </c>
      <c r="K87" s="1021"/>
      <c r="L87" s="1021"/>
      <c r="M87" s="1021"/>
      <c r="N87" s="776"/>
      <c r="O87" s="776"/>
      <c r="P87" s="776"/>
      <c r="Q87" s="776"/>
      <c r="R87" s="776"/>
      <c r="S87" s="776"/>
      <c r="T87" s="776"/>
      <c r="U87" s="776"/>
      <c r="V87" s="776"/>
      <c r="W87" s="776"/>
      <c r="X87" s="776"/>
      <c r="Y87" s="776"/>
      <c r="Z87" s="776"/>
      <c r="AA87" s="776"/>
    </row>
    <row r="88" spans="1:27">
      <c r="A88" s="2"/>
      <c r="B88" s="23"/>
      <c r="C88" s="23"/>
      <c r="D88" s="2"/>
      <c r="E88" s="776"/>
      <c r="F88" s="793"/>
      <c r="G88" s="984">
        <f t="shared" ref="G88:J88" si="2">SUM(G83:G87)</f>
        <v>2556</v>
      </c>
      <c r="H88" s="984">
        <f t="shared" si="2"/>
        <v>1421</v>
      </c>
      <c r="I88" s="984">
        <f t="shared" si="2"/>
        <v>2314</v>
      </c>
      <c r="J88" s="984">
        <f t="shared" si="2"/>
        <v>-531</v>
      </c>
      <c r="K88" s="984">
        <f>SUM(K83:K87)</f>
        <v>0</v>
      </c>
      <c r="L88" s="984">
        <f t="shared" ref="L88:M88" si="3">SUM(L83:L87)</f>
        <v>0</v>
      </c>
      <c r="M88" s="984">
        <f t="shared" si="3"/>
        <v>0</v>
      </c>
      <c r="N88" s="776"/>
      <c r="O88" s="776"/>
      <c r="P88" s="776"/>
      <c r="Q88" s="776"/>
      <c r="R88" s="776"/>
      <c r="S88" s="776"/>
      <c r="T88" s="776"/>
      <c r="U88" s="776"/>
      <c r="V88" s="776"/>
      <c r="W88" s="776"/>
      <c r="X88" s="776"/>
      <c r="Y88" s="776"/>
      <c r="Z88" s="776"/>
      <c r="AA88" s="776"/>
    </row>
    <row r="89" spans="1:27">
      <c r="A89" s="2"/>
      <c r="B89" s="23"/>
      <c r="C89" s="23"/>
      <c r="D89" s="2"/>
      <c r="E89" s="776"/>
      <c r="F89" s="793"/>
      <c r="G89" s="984"/>
      <c r="H89" s="984"/>
      <c r="I89" s="984"/>
      <c r="J89" s="984"/>
      <c r="K89" s="984"/>
      <c r="L89" s="984">
        <v>2146</v>
      </c>
      <c r="M89" s="984">
        <v>716</v>
      </c>
      <c r="N89" s="776"/>
      <c r="O89" s="776"/>
      <c r="P89" s="776"/>
      <c r="Q89" s="776"/>
      <c r="R89" s="776"/>
      <c r="S89" s="776"/>
      <c r="T89" s="776"/>
      <c r="U89" s="776"/>
      <c r="V89" s="776"/>
      <c r="W89" s="776"/>
      <c r="X89" s="776"/>
      <c r="Y89" s="776"/>
      <c r="Z89" s="776"/>
      <c r="AA89" s="776"/>
    </row>
    <row r="90" spans="1:27" ht="13.5" thickBot="1">
      <c r="A90" s="2"/>
      <c r="B90" s="23" t="s">
        <v>162</v>
      </c>
      <c r="C90" s="23"/>
      <c r="D90" s="2"/>
      <c r="E90" s="776"/>
      <c r="F90" s="925"/>
      <c r="G90" s="1173">
        <f t="shared" ref="G90:M90" si="4">G78+G88</f>
        <v>3594</v>
      </c>
      <c r="H90" s="1173">
        <f t="shared" si="4"/>
        <v>7093</v>
      </c>
      <c r="I90" s="1173">
        <f t="shared" si="4"/>
        <v>8562</v>
      </c>
      <c r="J90" s="1173">
        <f t="shared" si="4"/>
        <v>5116</v>
      </c>
      <c r="K90" s="1173">
        <f t="shared" si="4"/>
        <v>5686</v>
      </c>
      <c r="L90" s="1173">
        <f t="shared" si="4"/>
        <v>25351</v>
      </c>
      <c r="M90" s="1173">
        <f t="shared" si="4"/>
        <v>22679</v>
      </c>
      <c r="N90" s="776"/>
      <c r="O90" s="776"/>
      <c r="P90" s="776"/>
      <c r="Q90" s="776"/>
      <c r="R90" s="776"/>
      <c r="S90" s="776"/>
      <c r="T90" s="776"/>
      <c r="U90" s="776"/>
      <c r="V90" s="776"/>
      <c r="W90" s="776"/>
      <c r="X90" s="776"/>
      <c r="Y90" s="776"/>
      <c r="Z90" s="776"/>
      <c r="AA90" s="776"/>
    </row>
    <row r="91" spans="1:27" ht="14.25" thickTop="1" thickBot="1">
      <c r="A91" s="1212"/>
      <c r="B91" s="1212"/>
      <c r="C91" s="1212"/>
      <c r="D91" s="1212"/>
      <c r="E91" s="1212"/>
      <c r="F91" s="1212"/>
      <c r="G91" s="1212"/>
      <c r="H91" s="1212"/>
      <c r="I91" s="1212"/>
      <c r="J91" s="1212"/>
      <c r="K91" s="1212"/>
      <c r="L91" s="1212"/>
      <c r="M91" s="1212"/>
      <c r="N91" s="1212"/>
      <c r="O91" s="1212"/>
      <c r="P91" s="1212"/>
      <c r="Q91" s="1212"/>
      <c r="R91" s="1212"/>
      <c r="S91" s="1212"/>
      <c r="T91" s="1212"/>
      <c r="U91" s="1212"/>
      <c r="V91" s="1212"/>
      <c r="W91" s="1212"/>
      <c r="X91" s="1212"/>
      <c r="Y91" s="1212"/>
      <c r="Z91" s="1212"/>
      <c r="AA91" s="1212"/>
    </row>
  </sheetData>
  <mergeCells count="2">
    <mergeCell ref="E1:H1"/>
    <mergeCell ref="W1:AA1"/>
  </mergeCells>
  <printOptions gridLines="1"/>
  <pageMargins left="0.7" right="0.7" top="0.75" bottom="0.75" header="0.3" footer="0.3"/>
  <pageSetup paperSize="9" scale="54" fitToHeight="0" orientation="landscape" r:id="rId1"/>
  <headerFooter>
    <oddFooter>&amp;L&amp;P&amp;RIreland, Wallace &amp; Associates Limited</oddFooter>
  </headerFooter>
  <rowBreaks count="1" manualBreakCount="1">
    <brk id="56" max="27"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14182-8EE0-42C4-A987-1C1EA2B35691}">
  <sheetPr>
    <tabColor theme="0" tint="-0.499984740745262"/>
    <pageSetUpPr fitToPage="1"/>
  </sheetPr>
  <dimension ref="A1:AB75"/>
  <sheetViews>
    <sheetView workbookViewId="0"/>
  </sheetViews>
  <sheetFormatPr defaultRowHeight="12.75"/>
  <sheetData>
    <row r="1" spans="1:28" ht="15.75">
      <c r="A1" s="904" t="s">
        <v>0</v>
      </c>
      <c r="B1" s="904"/>
      <c r="C1" s="904"/>
      <c r="D1" s="1268"/>
      <c r="E1" s="1185" t="e">
        <f>'1_Contents'!#REF!</f>
        <v>#REF!</v>
      </c>
      <c r="F1" s="1476" t="e">
        <f>'1_Contents'!#REF!</f>
        <v>#REF!</v>
      </c>
      <c r="G1" s="1476"/>
      <c r="H1" s="913"/>
      <c r="I1" s="1478" t="s">
        <v>549</v>
      </c>
      <c r="J1" s="1478"/>
      <c r="K1" s="1478"/>
      <c r="L1" s="1479">
        <f ca="1">NOW()</f>
        <v>44487.543585879626</v>
      </c>
      <c r="M1" s="1479"/>
      <c r="N1" s="1479"/>
      <c r="O1" s="914"/>
      <c r="P1" s="1475">
        <f ca="1">NOW()</f>
        <v>44487.543585879626</v>
      </c>
      <c r="Q1" s="1475"/>
      <c r="R1" s="1475"/>
      <c r="S1" s="1168"/>
      <c r="T1" s="1168"/>
      <c r="U1" s="1168"/>
      <c r="V1" s="1168"/>
      <c r="W1" s="1168"/>
      <c r="X1" s="1168"/>
      <c r="Y1" s="916"/>
      <c r="Z1" s="1168"/>
      <c r="AA1" s="1179" t="s">
        <v>550</v>
      </c>
      <c r="AB1" s="776"/>
    </row>
    <row r="2" spans="1:28">
      <c r="A2" s="782" t="s">
        <v>551</v>
      </c>
      <c r="B2" s="961"/>
      <c r="C2" s="962"/>
      <c r="D2" s="963"/>
      <c r="E2" s="13"/>
      <c r="F2" s="69">
        <v>0</v>
      </c>
      <c r="G2" s="69">
        <f t="shared" ref="G2:V3" si="0">F2+1</f>
        <v>1</v>
      </c>
      <c r="H2" s="69">
        <f t="shared" si="0"/>
        <v>2</v>
      </c>
      <c r="I2" s="69">
        <f t="shared" si="0"/>
        <v>3</v>
      </c>
      <c r="J2" s="69">
        <f t="shared" si="0"/>
        <v>4</v>
      </c>
      <c r="K2" s="69">
        <f t="shared" si="0"/>
        <v>5</v>
      </c>
      <c r="L2" s="69">
        <f t="shared" si="0"/>
        <v>6</v>
      </c>
      <c r="M2" s="69">
        <f t="shared" si="0"/>
        <v>7</v>
      </c>
      <c r="N2" s="73">
        <f t="shared" si="0"/>
        <v>8</v>
      </c>
      <c r="O2" s="73">
        <f t="shared" si="0"/>
        <v>9</v>
      </c>
      <c r="P2" s="73">
        <f t="shared" si="0"/>
        <v>10</v>
      </c>
      <c r="Q2" s="73">
        <f t="shared" si="0"/>
        <v>11</v>
      </c>
      <c r="R2" s="73">
        <f t="shared" si="0"/>
        <v>12</v>
      </c>
      <c r="S2" s="73">
        <f t="shared" si="0"/>
        <v>13</v>
      </c>
      <c r="T2" s="73">
        <f t="shared" si="0"/>
        <v>14</v>
      </c>
      <c r="U2" s="73">
        <f t="shared" si="0"/>
        <v>15</v>
      </c>
      <c r="V2" s="73">
        <f t="shared" si="0"/>
        <v>16</v>
      </c>
      <c r="W2" s="73">
        <f t="shared" ref="W2:AA3" si="1">V2+1</f>
        <v>17</v>
      </c>
      <c r="X2" s="73">
        <f t="shared" si="1"/>
        <v>18</v>
      </c>
      <c r="Y2" s="73">
        <f t="shared" si="1"/>
        <v>19</v>
      </c>
      <c r="Z2" s="73">
        <f t="shared" si="1"/>
        <v>20</v>
      </c>
      <c r="AA2" s="73">
        <f t="shared" si="1"/>
        <v>21</v>
      </c>
      <c r="AB2" s="776"/>
    </row>
    <row r="3" spans="1:28">
      <c r="A3" s="917" t="s">
        <v>142</v>
      </c>
      <c r="B3" s="958"/>
      <c r="C3" s="969"/>
      <c r="D3" s="969"/>
      <c r="E3" s="1266" t="s">
        <v>3</v>
      </c>
      <c r="F3" s="953">
        <v>1999</v>
      </c>
      <c r="G3" s="953">
        <f t="shared" si="0"/>
        <v>2000</v>
      </c>
      <c r="H3" s="953">
        <f t="shared" si="0"/>
        <v>2001</v>
      </c>
      <c r="I3" s="953">
        <f t="shared" si="0"/>
        <v>2002</v>
      </c>
      <c r="J3" s="953">
        <f t="shared" si="0"/>
        <v>2003</v>
      </c>
      <c r="K3" s="953">
        <f t="shared" si="0"/>
        <v>2004</v>
      </c>
      <c r="L3" s="953">
        <f t="shared" si="0"/>
        <v>2005</v>
      </c>
      <c r="M3" s="953">
        <f t="shared" si="0"/>
        <v>2006</v>
      </c>
      <c r="N3" s="953">
        <v>2007</v>
      </c>
      <c r="O3" s="953">
        <f t="shared" si="0"/>
        <v>2008</v>
      </c>
      <c r="P3" s="953">
        <f t="shared" si="0"/>
        <v>2009</v>
      </c>
      <c r="Q3" s="953">
        <f t="shared" si="0"/>
        <v>2010</v>
      </c>
      <c r="R3" s="953">
        <f t="shared" si="0"/>
        <v>2011</v>
      </c>
      <c r="S3" s="953">
        <f t="shared" si="0"/>
        <v>2012</v>
      </c>
      <c r="T3" s="953">
        <f t="shared" si="0"/>
        <v>2013</v>
      </c>
      <c r="U3" s="953">
        <f t="shared" si="0"/>
        <v>2014</v>
      </c>
      <c r="V3" s="953">
        <f t="shared" si="0"/>
        <v>2015</v>
      </c>
      <c r="W3" s="953">
        <f t="shared" si="1"/>
        <v>2016</v>
      </c>
      <c r="X3" s="953">
        <f t="shared" si="1"/>
        <v>2017</v>
      </c>
      <c r="Y3" s="953">
        <f t="shared" si="1"/>
        <v>2018</v>
      </c>
      <c r="Z3" s="953">
        <f t="shared" si="1"/>
        <v>2019</v>
      </c>
      <c r="AA3" s="953">
        <f t="shared" si="1"/>
        <v>2020</v>
      </c>
      <c r="AB3" s="776"/>
    </row>
    <row r="4" spans="1:28">
      <c r="A4" s="1266" t="s">
        <v>538</v>
      </c>
      <c r="B4" s="1266" t="s">
        <v>539</v>
      </c>
      <c r="C4" s="964"/>
      <c r="D4" s="964"/>
      <c r="E4" s="907"/>
      <c r="F4" s="593" t="s">
        <v>34</v>
      </c>
      <c r="G4" s="242"/>
      <c r="H4" s="242"/>
      <c r="I4" s="809"/>
      <c r="J4" s="809"/>
      <c r="K4" s="809"/>
      <c r="L4" s="888" t="s">
        <v>35</v>
      </c>
      <c r="M4" s="889" t="s">
        <v>36</v>
      </c>
      <c r="N4" s="889" t="s">
        <v>37</v>
      </c>
      <c r="O4" s="889" t="s">
        <v>37</v>
      </c>
      <c r="P4" s="908"/>
      <c r="Q4" s="908"/>
      <c r="R4" s="908"/>
      <c r="S4" s="908"/>
      <c r="T4" s="908" t="s">
        <v>38</v>
      </c>
      <c r="U4" s="908"/>
      <c r="V4" s="908" t="s">
        <v>39</v>
      </c>
      <c r="W4" s="908"/>
      <c r="X4" s="908" t="s">
        <v>40</v>
      </c>
      <c r="Y4" s="908"/>
      <c r="Z4" s="908"/>
      <c r="AA4" s="909"/>
      <c r="AB4" s="776"/>
    </row>
    <row r="5" spans="1:28">
      <c r="A5" s="1020">
        <v>1010</v>
      </c>
      <c r="B5" s="1020"/>
      <c r="C5" s="1020" t="s">
        <v>292</v>
      </c>
      <c r="D5" s="1020"/>
      <c r="E5" s="1020"/>
      <c r="F5" s="984">
        <f>'3_Fin-Stat'!F5</f>
        <v>93759</v>
      </c>
      <c r="G5" s="984">
        <f>'3_Fin-Stat'!G5</f>
        <v>33562</v>
      </c>
      <c r="H5" s="984">
        <f>'3_Fin-Stat'!H5</f>
        <v>52829</v>
      </c>
      <c r="I5" s="984">
        <f>'3_Fin-Stat'!I5</f>
        <v>9962</v>
      </c>
      <c r="J5" s="984">
        <f>'3_Fin-Stat'!J5</f>
        <v>55337</v>
      </c>
      <c r="K5" s="984">
        <f>'3_Fin-Stat'!K5</f>
        <v>104262</v>
      </c>
      <c r="L5" s="984">
        <f>'3_Fin-Stat'!L5</f>
        <v>40827</v>
      </c>
      <c r="M5" s="984">
        <f>'3_Fin-Stat'!M5</f>
        <v>251824</v>
      </c>
      <c r="N5" s="984">
        <f>'3_Fin-Stat'!N5</f>
        <v>44755</v>
      </c>
      <c r="O5" s="984">
        <f>'3_Fin-Stat'!O5</f>
        <v>71742</v>
      </c>
      <c r="P5" s="984">
        <f>'3_Fin-Stat'!P5</f>
        <v>47877</v>
      </c>
      <c r="Q5" s="984">
        <f>'3_Fin-Stat'!Q5</f>
        <v>54394</v>
      </c>
      <c r="R5" s="984">
        <f>'3_Fin-Stat'!R5</f>
        <v>368191</v>
      </c>
      <c r="S5" s="984">
        <f>214400-S6</f>
        <v>207000</v>
      </c>
      <c r="T5" s="984">
        <f>382800-T6</f>
        <v>373400</v>
      </c>
      <c r="U5" s="984">
        <f>276000-U6</f>
        <v>269000</v>
      </c>
      <c r="V5" s="984">
        <f>69000-V6</f>
        <v>47000</v>
      </c>
      <c r="W5" s="984">
        <f>118000-W6</f>
        <v>100000</v>
      </c>
      <c r="X5" s="984">
        <f>80000-X6</f>
        <v>29000</v>
      </c>
      <c r="Y5" s="984">
        <f>60000-Y6</f>
        <v>31000</v>
      </c>
      <c r="Z5" s="984">
        <f>78000-Z6</f>
        <v>51000</v>
      </c>
      <c r="AA5" s="984">
        <f>176000-AA6</f>
        <v>109000</v>
      </c>
      <c r="AB5" s="776"/>
    </row>
    <row r="6" spans="1:28">
      <c r="A6" s="1020"/>
      <c r="B6" s="1020"/>
      <c r="C6" s="1020" t="s">
        <v>293</v>
      </c>
      <c r="D6" s="1020"/>
      <c r="E6" s="1020"/>
      <c r="F6" s="984"/>
      <c r="G6" s="984"/>
      <c r="H6" s="984"/>
      <c r="I6" s="984"/>
      <c r="J6" s="984"/>
      <c r="K6" s="984"/>
      <c r="L6" s="984"/>
      <c r="M6" s="984"/>
      <c r="N6" s="984"/>
      <c r="O6" s="984"/>
      <c r="P6" s="984"/>
      <c r="Q6" s="984"/>
      <c r="R6" s="984"/>
      <c r="S6" s="984">
        <f>'3_Fin-Stat'!S6</f>
        <v>7400</v>
      </c>
      <c r="T6" s="984">
        <f>'3_Fin-Stat'!T6</f>
        <v>9400</v>
      </c>
      <c r="U6" s="984">
        <f>'3_Fin-Stat'!U6</f>
        <v>7000</v>
      </c>
      <c r="V6" s="984">
        <f>'3_Fin-Stat'!V6</f>
        <v>22000</v>
      </c>
      <c r="W6" s="984">
        <f>'3_Fin-Stat'!W6</f>
        <v>18000</v>
      </c>
      <c r="X6" s="984">
        <f>'3_Fin-Stat'!X6</f>
        <v>51000</v>
      </c>
      <c r="Y6" s="984">
        <f>'3_Fin-Stat'!Y6</f>
        <v>29000</v>
      </c>
      <c r="Z6" s="984">
        <f>'3_Fin-Stat'!Z6</f>
        <v>27000</v>
      </c>
      <c r="AA6" s="984">
        <f>'3_Fin-Stat'!AA6</f>
        <v>67000</v>
      </c>
      <c r="AB6" s="776"/>
    </row>
    <row r="7" spans="1:28">
      <c r="A7" s="1020">
        <v>1020</v>
      </c>
      <c r="B7" s="1020"/>
      <c r="C7" s="1020" t="s">
        <v>305</v>
      </c>
      <c r="D7" s="1020"/>
      <c r="E7" s="1020"/>
      <c r="F7" s="984">
        <f>'3_Fin-Stat'!F19</f>
        <v>0</v>
      </c>
      <c r="G7" s="984">
        <f>'3_Fin-Stat'!G19</f>
        <v>0</v>
      </c>
      <c r="H7" s="984">
        <f>'3_Fin-Stat'!H19</f>
        <v>0</v>
      </c>
      <c r="I7" s="984">
        <f>'3_Fin-Stat'!I19</f>
        <v>0</v>
      </c>
      <c r="J7" s="984">
        <f>'3_Fin-Stat'!J19</f>
        <v>0</v>
      </c>
      <c r="K7" s="984">
        <f>'3_Fin-Stat'!K19</f>
        <v>0</v>
      </c>
      <c r="L7" s="984">
        <f>'3_Fin-Stat'!L19</f>
        <v>0</v>
      </c>
      <c r="M7" s="984">
        <f>'3_Fin-Stat'!M19</f>
        <v>0</v>
      </c>
      <c r="N7" s="984">
        <f>'3_Fin-Stat'!N19</f>
        <v>0</v>
      </c>
      <c r="O7" s="984">
        <f>'3_Fin-Stat'!O19</f>
        <v>7984</v>
      </c>
      <c r="P7" s="984">
        <f>'3_Fin-Stat'!P19</f>
        <v>10519</v>
      </c>
      <c r="Q7" s="984">
        <f>'3_Fin-Stat'!Q19</f>
        <v>350</v>
      </c>
      <c r="R7" s="984">
        <f>'3_Fin-Stat'!R19</f>
        <v>1888</v>
      </c>
      <c r="S7" s="984">
        <f>'3_Fin-Stat'!S19</f>
        <v>29400</v>
      </c>
      <c r="T7" s="984">
        <f>'3_Fin-Stat'!T19</f>
        <v>64800</v>
      </c>
      <c r="U7" s="984">
        <f>'3_Fin-Stat'!U19</f>
        <v>27000</v>
      </c>
      <c r="V7" s="984">
        <f>'3_Fin-Stat'!V19</f>
        <v>0</v>
      </c>
      <c r="W7" s="984">
        <f>'3_Fin-Stat'!W19</f>
        <v>0</v>
      </c>
      <c r="X7" s="984">
        <f>'3_Fin-Stat'!X19</f>
        <v>0</v>
      </c>
      <c r="Y7" s="984">
        <f>'3_Fin-Stat'!Y19</f>
        <v>0</v>
      </c>
      <c r="Z7" s="984">
        <f>'3_Fin-Stat'!Z19</f>
        <v>0</v>
      </c>
      <c r="AA7" s="984">
        <f>'3_Fin-Stat'!AA19</f>
        <v>0</v>
      </c>
      <c r="AB7" s="776"/>
    </row>
    <row r="8" spans="1:28">
      <c r="A8" s="1020">
        <v>1820</v>
      </c>
      <c r="B8" s="1020"/>
      <c r="C8" s="1020" t="s">
        <v>311</v>
      </c>
      <c r="D8" s="1020"/>
      <c r="E8" s="1020"/>
      <c r="F8" s="984">
        <f>'3_Fin-Stat'!F27</f>
        <v>0</v>
      </c>
      <c r="G8" s="984">
        <f>'3_Fin-Stat'!G27</f>
        <v>0</v>
      </c>
      <c r="H8" s="984">
        <f>'3_Fin-Stat'!H27</f>
        <v>0</v>
      </c>
      <c r="I8" s="984">
        <f>'3_Fin-Stat'!I27</f>
        <v>0</v>
      </c>
      <c r="J8" s="984">
        <f>'3_Fin-Stat'!J27</f>
        <v>0</v>
      </c>
      <c r="K8" s="984">
        <f>'3_Fin-Stat'!K27</f>
        <v>0</v>
      </c>
      <c r="L8" s="984">
        <f>'3_Fin-Stat'!L27</f>
        <v>0</v>
      </c>
      <c r="M8" s="984">
        <f>'3_Fin-Stat'!M27</f>
        <v>0</v>
      </c>
      <c r="N8" s="984">
        <f>'3_Fin-Stat'!N27</f>
        <v>16567</v>
      </c>
      <c r="O8" s="984">
        <f>'3_Fin-Stat'!O27</f>
        <v>11780</v>
      </c>
      <c r="P8" s="984">
        <f>'3_Fin-Stat'!P27</f>
        <v>6993</v>
      </c>
      <c r="Q8" s="984">
        <f>'3_Fin-Stat'!Q27</f>
        <v>6077</v>
      </c>
      <c r="R8" s="984">
        <f>'3_Fin-Stat'!R27</f>
        <v>6065</v>
      </c>
      <c r="S8" s="984">
        <f>'3_Fin-Stat'!S27</f>
        <v>3600</v>
      </c>
      <c r="T8" s="984">
        <f>'3_Fin-Stat'!T27</f>
        <v>0</v>
      </c>
      <c r="U8" s="984">
        <f>'3_Fin-Stat'!U27</f>
        <v>0</v>
      </c>
      <c r="V8" s="984">
        <f>'3_Fin-Stat'!V27</f>
        <v>0</v>
      </c>
      <c r="W8" s="984">
        <f>'3_Fin-Stat'!W27</f>
        <v>0</v>
      </c>
      <c r="X8" s="984">
        <f>'3_Fin-Stat'!X27</f>
        <v>0</v>
      </c>
      <c r="Y8" s="984">
        <f>'3_Fin-Stat'!Y27</f>
        <v>0</v>
      </c>
      <c r="Z8" s="984">
        <f>'3_Fin-Stat'!Z27</f>
        <v>0</v>
      </c>
      <c r="AA8" s="984">
        <f>'3_Fin-Stat'!AA27</f>
        <v>0</v>
      </c>
      <c r="AB8" s="776"/>
    </row>
    <row r="9" spans="1:28">
      <c r="A9" s="1020">
        <v>1100</v>
      </c>
      <c r="B9" s="1020"/>
      <c r="C9" s="1020" t="s">
        <v>294</v>
      </c>
      <c r="D9" s="1020"/>
      <c r="E9" s="1020"/>
      <c r="F9" s="984">
        <f>'3_Fin-Stat'!F7</f>
        <v>83327</v>
      </c>
      <c r="G9" s="984">
        <f>'3_Fin-Stat'!G7</f>
        <v>93160</v>
      </c>
      <c r="H9" s="984">
        <f>'3_Fin-Stat'!H7</f>
        <v>182088</v>
      </c>
      <c r="I9" s="984">
        <f>'3_Fin-Stat'!I7</f>
        <v>138707</v>
      </c>
      <c r="J9" s="984">
        <f>'3_Fin-Stat'!J7</f>
        <v>188812</v>
      </c>
      <c r="K9" s="984">
        <f>'3_Fin-Stat'!K7</f>
        <v>180706</v>
      </c>
      <c r="L9" s="984">
        <f>'3_Fin-Stat'!L7</f>
        <v>257346</v>
      </c>
      <c r="M9" s="984">
        <f>'3_Fin-Stat'!M7</f>
        <v>222439</v>
      </c>
      <c r="N9" s="984">
        <f>'3_Fin-Stat'!N7</f>
        <v>219208</v>
      </c>
      <c r="O9" s="984">
        <f>'3_Fin-Stat'!O7</f>
        <v>468752</v>
      </c>
      <c r="P9" s="984">
        <f>'3_Fin-Stat'!P7</f>
        <v>188933</v>
      </c>
      <c r="Q9" s="984">
        <f>'3_Fin-Stat'!Q7</f>
        <v>198663</v>
      </c>
      <c r="R9" s="984">
        <f>'3_Fin-Stat'!R7</f>
        <v>244330</v>
      </c>
      <c r="S9" s="984">
        <f>'3_Fin-Stat'!S7</f>
        <v>298700</v>
      </c>
      <c r="T9" s="984">
        <f>'3_Fin-Stat'!T7</f>
        <v>258400</v>
      </c>
      <c r="U9" s="984">
        <f>'3_Fin-Stat'!U7</f>
        <v>186000</v>
      </c>
      <c r="V9" s="984">
        <f>'3_Fin-Stat'!V7</f>
        <v>196000</v>
      </c>
      <c r="W9" s="984">
        <f>'3_Fin-Stat'!W7</f>
        <v>199000</v>
      </c>
      <c r="X9" s="984">
        <f>'3_Fin-Stat'!X7</f>
        <v>266000</v>
      </c>
      <c r="Y9" s="984">
        <f>'3_Fin-Stat'!Y7</f>
        <v>266000</v>
      </c>
      <c r="Z9" s="984">
        <f>'3_Fin-Stat'!Z7</f>
        <v>297000</v>
      </c>
      <c r="AA9" s="984">
        <f>'3_Fin-Stat'!AA7</f>
        <v>339000</v>
      </c>
      <c r="AB9" s="776"/>
    </row>
    <row r="10" spans="1:28">
      <c r="A10" s="1020">
        <v>1110</v>
      </c>
      <c r="B10" s="1020"/>
      <c r="C10" s="1020" t="s">
        <v>295</v>
      </c>
      <c r="D10" s="1020"/>
      <c r="E10" s="1020"/>
      <c r="F10" s="1021">
        <f>'3_Fin-Stat'!F8</f>
        <v>-543</v>
      </c>
      <c r="G10" s="1021">
        <f>'3_Fin-Stat'!G8</f>
        <v>-1376</v>
      </c>
      <c r="H10" s="1021">
        <f>'3_Fin-Stat'!H8</f>
        <v>-2023</v>
      </c>
      <c r="I10" s="1021">
        <f>'3_Fin-Stat'!I8</f>
        <v>-1874</v>
      </c>
      <c r="J10" s="1021">
        <f>'3_Fin-Stat'!J8</f>
        <v>-1906</v>
      </c>
      <c r="K10" s="1021">
        <f>'3_Fin-Stat'!K8</f>
        <v>-2243</v>
      </c>
      <c r="L10" s="1021">
        <f>'3_Fin-Stat'!L8</f>
        <v>-3333</v>
      </c>
      <c r="M10" s="1021">
        <f>'3_Fin-Stat'!M8</f>
        <v>-3730</v>
      </c>
      <c r="N10" s="1021">
        <f>'3_Fin-Stat'!N8</f>
        <v>-3057</v>
      </c>
      <c r="O10" s="1021">
        <f>'3_Fin-Stat'!O8</f>
        <v>-2839</v>
      </c>
      <c r="P10" s="1021">
        <f>'3_Fin-Stat'!P8</f>
        <v>-3239</v>
      </c>
      <c r="Q10" s="1021">
        <f>'3_Fin-Stat'!Q8</f>
        <v>-3024</v>
      </c>
      <c r="R10" s="1021">
        <f>'3_Fin-Stat'!R8</f>
        <v>-6487</v>
      </c>
      <c r="S10" s="1021">
        <f>'3_Fin-Stat'!S8</f>
        <v>-6600</v>
      </c>
      <c r="T10" s="1021">
        <f>'3_Fin-Stat'!T8</f>
        <v>-3900</v>
      </c>
      <c r="U10" s="1021">
        <f>'3_Fin-Stat'!U8</f>
        <v>-3000</v>
      </c>
      <c r="V10" s="1021">
        <f>'3_Fin-Stat'!V8</f>
        <v>-5000</v>
      </c>
      <c r="W10" s="1021">
        <f>'3_Fin-Stat'!W8</f>
        <v>-5000</v>
      </c>
      <c r="X10" s="1021">
        <f>'3_Fin-Stat'!X8</f>
        <v>-6000</v>
      </c>
      <c r="Y10" s="1021">
        <f>'3_Fin-Stat'!Y8</f>
        <v>-5000</v>
      </c>
      <c r="Z10" s="1021">
        <f>'3_Fin-Stat'!Z8</f>
        <v>-5000</v>
      </c>
      <c r="AA10" s="1021">
        <f>'3_Fin-Stat'!AA8</f>
        <v>-16000</v>
      </c>
      <c r="AB10" s="776"/>
    </row>
    <row r="11" spans="1:28">
      <c r="A11" s="1020"/>
      <c r="B11" s="1020"/>
      <c r="C11" s="1020" t="s">
        <v>296</v>
      </c>
      <c r="D11" s="1020"/>
      <c r="E11" s="1020"/>
      <c r="F11" s="984">
        <f t="shared" ref="F11:AA11" si="2">SUM(F9:F10)</f>
        <v>82784</v>
      </c>
      <c r="G11" s="984">
        <f t="shared" si="2"/>
        <v>91784</v>
      </c>
      <c r="H11" s="984">
        <f t="shared" si="2"/>
        <v>180065</v>
      </c>
      <c r="I11" s="984">
        <f t="shared" si="2"/>
        <v>136833</v>
      </c>
      <c r="J11" s="984">
        <f t="shared" si="2"/>
        <v>186906</v>
      </c>
      <c r="K11" s="984">
        <f t="shared" si="2"/>
        <v>178463</v>
      </c>
      <c r="L11" s="984">
        <f t="shared" si="2"/>
        <v>254013</v>
      </c>
      <c r="M11" s="984">
        <f t="shared" si="2"/>
        <v>218709</v>
      </c>
      <c r="N11" s="984">
        <f t="shared" si="2"/>
        <v>216151</v>
      </c>
      <c r="O11" s="984">
        <f t="shared" si="2"/>
        <v>465913</v>
      </c>
      <c r="P11" s="984">
        <f t="shared" si="2"/>
        <v>185694</v>
      </c>
      <c r="Q11" s="984">
        <f t="shared" si="2"/>
        <v>195639</v>
      </c>
      <c r="R11" s="984">
        <f t="shared" si="2"/>
        <v>237843</v>
      </c>
      <c r="S11" s="984">
        <f t="shared" si="2"/>
        <v>292100</v>
      </c>
      <c r="T11" s="984">
        <f t="shared" si="2"/>
        <v>254500</v>
      </c>
      <c r="U11" s="984">
        <f t="shared" si="2"/>
        <v>183000</v>
      </c>
      <c r="V11" s="984">
        <f t="shared" si="2"/>
        <v>191000</v>
      </c>
      <c r="W11" s="984">
        <f t="shared" si="2"/>
        <v>194000</v>
      </c>
      <c r="X11" s="984">
        <f t="shared" si="2"/>
        <v>260000</v>
      </c>
      <c r="Y11" s="984">
        <f t="shared" si="2"/>
        <v>261000</v>
      </c>
      <c r="Z11" s="984">
        <f t="shared" si="2"/>
        <v>292000</v>
      </c>
      <c r="AA11" s="984">
        <f t="shared" si="2"/>
        <v>323000</v>
      </c>
      <c r="AB11" s="776"/>
    </row>
    <row r="12" spans="1:28">
      <c r="A12" s="1020">
        <v>1130</v>
      </c>
      <c r="B12" s="1020"/>
      <c r="C12" s="1020" t="s">
        <v>302</v>
      </c>
      <c r="D12" s="1020"/>
      <c r="E12" s="1020"/>
      <c r="F12" s="984">
        <f>'3_Fin-Stat'!F16</f>
        <v>0</v>
      </c>
      <c r="G12" s="984">
        <f>'3_Fin-Stat'!G16</f>
        <v>0</v>
      </c>
      <c r="H12" s="984">
        <f>'3_Fin-Stat'!H16</f>
        <v>0</v>
      </c>
      <c r="I12" s="984">
        <f>'3_Fin-Stat'!I16</f>
        <v>0</v>
      </c>
      <c r="J12" s="984">
        <f>'3_Fin-Stat'!J16</f>
        <v>0</v>
      </c>
      <c r="K12" s="984">
        <f>'3_Fin-Stat'!K16</f>
        <v>0</v>
      </c>
      <c r="L12" s="984">
        <f>'3_Fin-Stat'!L16</f>
        <v>0</v>
      </c>
      <c r="M12" s="984">
        <f>'3_Fin-Stat'!M16</f>
        <v>0</v>
      </c>
      <c r="N12" s="984">
        <f>'3_Fin-Stat'!N16</f>
        <v>0</v>
      </c>
      <c r="O12" s="984">
        <f>'3_Fin-Stat'!O16</f>
        <v>0</v>
      </c>
      <c r="P12" s="984">
        <f>'3_Fin-Stat'!P16</f>
        <v>0</v>
      </c>
      <c r="Q12" s="984">
        <f>'3_Fin-Stat'!Q16</f>
        <v>683</v>
      </c>
      <c r="R12" s="984">
        <f>'3_Fin-Stat'!R16</f>
        <v>632</v>
      </c>
      <c r="S12" s="984">
        <f>'3_Fin-Stat'!S16</f>
        <v>5400</v>
      </c>
      <c r="T12" s="984">
        <f>'3_Fin-Stat'!T16</f>
        <v>0</v>
      </c>
      <c r="U12" s="984">
        <f>'3_Fin-Stat'!U16</f>
        <v>0</v>
      </c>
      <c r="V12" s="984">
        <f>'3_Fin-Stat'!V16</f>
        <v>0</v>
      </c>
      <c r="W12" s="984">
        <f>'3_Fin-Stat'!W16</f>
        <v>0</v>
      </c>
      <c r="X12" s="984">
        <f>'3_Fin-Stat'!X16</f>
        <v>0</v>
      </c>
      <c r="Y12" s="984">
        <f>'3_Fin-Stat'!Y16</f>
        <v>0</v>
      </c>
      <c r="Z12" s="984">
        <f>'3_Fin-Stat'!Z16</f>
        <v>0</v>
      </c>
      <c r="AA12" s="984">
        <f>'3_Fin-Stat'!AA16</f>
        <v>0</v>
      </c>
      <c r="AB12" s="776"/>
    </row>
    <row r="13" spans="1:28">
      <c r="A13" s="1020">
        <v>1200</v>
      </c>
      <c r="B13" s="1020"/>
      <c r="C13" s="1020" t="s">
        <v>299</v>
      </c>
      <c r="D13" s="1020"/>
      <c r="E13" s="1020"/>
      <c r="F13" s="984">
        <f>'3_Fin-Stat'!F12</f>
        <v>2720</v>
      </c>
      <c r="G13" s="984">
        <f>'3_Fin-Stat'!G12</f>
        <v>2509</v>
      </c>
      <c r="H13" s="984">
        <f>'3_Fin-Stat'!H12</f>
        <v>2744</v>
      </c>
      <c r="I13" s="984">
        <f>'3_Fin-Stat'!I12</f>
        <v>2908</v>
      </c>
      <c r="J13" s="984">
        <f>'3_Fin-Stat'!J12</f>
        <v>2884</v>
      </c>
      <c r="K13" s="984">
        <f>'3_Fin-Stat'!K12</f>
        <v>3140</v>
      </c>
      <c r="L13" s="984">
        <f>'3_Fin-Stat'!L12</f>
        <v>3378</v>
      </c>
      <c r="M13" s="984">
        <f>'3_Fin-Stat'!M12</f>
        <v>3106</v>
      </c>
      <c r="N13" s="984">
        <f>'3_Fin-Stat'!N12</f>
        <v>12241</v>
      </c>
      <c r="O13" s="984">
        <f>'3_Fin-Stat'!O12</f>
        <v>9439</v>
      </c>
      <c r="P13" s="984">
        <f>'3_Fin-Stat'!P12</f>
        <v>8407</v>
      </c>
      <c r="Q13" s="984">
        <f>'3_Fin-Stat'!Q12</f>
        <v>7473</v>
      </c>
      <c r="R13" s="984">
        <f>'3_Fin-Stat'!R12</f>
        <v>3387</v>
      </c>
      <c r="S13" s="984">
        <f>'3_Fin-Stat'!S12</f>
        <v>4500</v>
      </c>
      <c r="T13" s="984">
        <f>'3_Fin-Stat'!T12</f>
        <v>0</v>
      </c>
      <c r="U13" s="984">
        <f>'3_Fin-Stat'!U12</f>
        <v>0</v>
      </c>
      <c r="V13" s="984">
        <f>'3_Fin-Stat'!V12</f>
        <v>0</v>
      </c>
      <c r="W13" s="984">
        <f>'3_Fin-Stat'!W12</f>
        <v>0</v>
      </c>
      <c r="X13" s="984">
        <f>'3_Fin-Stat'!X12</f>
        <v>0</v>
      </c>
      <c r="Y13" s="984">
        <f>'3_Fin-Stat'!Y12</f>
        <v>0</v>
      </c>
      <c r="Z13" s="984">
        <f>'3_Fin-Stat'!Z12</f>
        <v>0</v>
      </c>
      <c r="AA13" s="984">
        <f>'3_Fin-Stat'!AA12</f>
        <v>0</v>
      </c>
      <c r="AB13" s="776"/>
    </row>
    <row r="14" spans="1:28">
      <c r="A14" s="1020">
        <v>1210</v>
      </c>
      <c r="B14" s="1020"/>
      <c r="C14" s="1020" t="s">
        <v>300</v>
      </c>
      <c r="D14" s="1020"/>
      <c r="E14" s="1020"/>
      <c r="F14" s="1021">
        <f>'3_Fin-Stat'!F13</f>
        <v>0</v>
      </c>
      <c r="G14" s="1021">
        <f>'3_Fin-Stat'!G13</f>
        <v>0</v>
      </c>
      <c r="H14" s="1021">
        <f>'3_Fin-Stat'!H13</f>
        <v>0</v>
      </c>
      <c r="I14" s="1021">
        <f>'3_Fin-Stat'!I13</f>
        <v>0</v>
      </c>
      <c r="J14" s="1021">
        <f>'3_Fin-Stat'!J13</f>
        <v>0</v>
      </c>
      <c r="K14" s="1021">
        <f>'3_Fin-Stat'!K13</f>
        <v>0</v>
      </c>
      <c r="L14" s="1021">
        <f>'3_Fin-Stat'!L13</f>
        <v>0</v>
      </c>
      <c r="M14" s="1021">
        <f>'3_Fin-Stat'!M13</f>
        <v>0</v>
      </c>
      <c r="N14" s="1021">
        <f>'3_Fin-Stat'!N13</f>
        <v>-1276</v>
      </c>
      <c r="O14" s="1021">
        <f>'3_Fin-Stat'!O13</f>
        <v>-1188</v>
      </c>
      <c r="P14" s="1021">
        <f>'3_Fin-Stat'!P13</f>
        <v>-1108</v>
      </c>
      <c r="Q14" s="1021">
        <f>'3_Fin-Stat'!Q13</f>
        <v>-1444</v>
      </c>
      <c r="R14" s="1021">
        <f>'3_Fin-Stat'!R13</f>
        <v>-54</v>
      </c>
      <c r="S14" s="1021">
        <f>'3_Fin-Stat'!S13</f>
        <v>0</v>
      </c>
      <c r="T14" s="1021">
        <f>'3_Fin-Stat'!T13</f>
        <v>0</v>
      </c>
      <c r="U14" s="1021">
        <f>'3_Fin-Stat'!U13</f>
        <v>0</v>
      </c>
      <c r="V14" s="1021">
        <f>'3_Fin-Stat'!V13</f>
        <v>0</v>
      </c>
      <c r="W14" s="1021">
        <f>'3_Fin-Stat'!W13</f>
        <v>0</v>
      </c>
      <c r="X14" s="1021">
        <f>'3_Fin-Stat'!X13</f>
        <v>0</v>
      </c>
      <c r="Y14" s="1021">
        <f>'3_Fin-Stat'!Y13</f>
        <v>0</v>
      </c>
      <c r="Z14" s="1021">
        <f>'3_Fin-Stat'!Z13</f>
        <v>0</v>
      </c>
      <c r="AA14" s="1021">
        <f>'3_Fin-Stat'!AA13</f>
        <v>0</v>
      </c>
      <c r="AB14" s="776"/>
    </row>
    <row r="15" spans="1:28">
      <c r="A15" s="1020"/>
      <c r="B15" s="1020"/>
      <c r="C15" s="1020" t="s">
        <v>540</v>
      </c>
      <c r="D15" s="1020"/>
      <c r="E15" s="1020"/>
      <c r="F15" s="984">
        <f t="shared" ref="F15:AA15" si="3">SUM(F13:F14)</f>
        <v>2720</v>
      </c>
      <c r="G15" s="984">
        <f t="shared" si="3"/>
        <v>2509</v>
      </c>
      <c r="H15" s="984">
        <f t="shared" si="3"/>
        <v>2744</v>
      </c>
      <c r="I15" s="984">
        <f t="shared" si="3"/>
        <v>2908</v>
      </c>
      <c r="J15" s="984">
        <f t="shared" si="3"/>
        <v>2884</v>
      </c>
      <c r="K15" s="984">
        <f t="shared" si="3"/>
        <v>3140</v>
      </c>
      <c r="L15" s="984">
        <f t="shared" si="3"/>
        <v>3378</v>
      </c>
      <c r="M15" s="984">
        <f t="shared" si="3"/>
        <v>3106</v>
      </c>
      <c r="N15" s="984">
        <f t="shared" si="3"/>
        <v>10965</v>
      </c>
      <c r="O15" s="984">
        <f t="shared" si="3"/>
        <v>8251</v>
      </c>
      <c r="P15" s="984">
        <f t="shared" si="3"/>
        <v>7299</v>
      </c>
      <c r="Q15" s="984">
        <f t="shared" si="3"/>
        <v>6029</v>
      </c>
      <c r="R15" s="984">
        <f t="shared" si="3"/>
        <v>3333</v>
      </c>
      <c r="S15" s="984">
        <f t="shared" si="3"/>
        <v>4500</v>
      </c>
      <c r="T15" s="984">
        <f t="shared" si="3"/>
        <v>0</v>
      </c>
      <c r="U15" s="984">
        <f t="shared" si="3"/>
        <v>0</v>
      </c>
      <c r="V15" s="984">
        <f t="shared" si="3"/>
        <v>0</v>
      </c>
      <c r="W15" s="984">
        <f t="shared" si="3"/>
        <v>0</v>
      </c>
      <c r="X15" s="984">
        <f t="shared" si="3"/>
        <v>0</v>
      </c>
      <c r="Y15" s="984">
        <f t="shared" si="3"/>
        <v>0</v>
      </c>
      <c r="Z15" s="984">
        <f t="shared" si="3"/>
        <v>0</v>
      </c>
      <c r="AA15" s="984">
        <f t="shared" si="3"/>
        <v>0</v>
      </c>
      <c r="AB15" s="776"/>
    </row>
    <row r="16" spans="1:28">
      <c r="A16" s="1020">
        <v>1250</v>
      </c>
      <c r="B16" s="1020"/>
      <c r="C16" s="1020" t="s">
        <v>303</v>
      </c>
      <c r="D16" s="1020"/>
      <c r="E16" s="1020"/>
      <c r="F16" s="984">
        <f>'3_Fin-Stat'!F17</f>
        <v>0</v>
      </c>
      <c r="G16" s="984">
        <f>'3_Fin-Stat'!G17</f>
        <v>0</v>
      </c>
      <c r="H16" s="984">
        <f>'3_Fin-Stat'!H17</f>
        <v>8519</v>
      </c>
      <c r="I16" s="984">
        <f>'3_Fin-Stat'!I17</f>
        <v>18505</v>
      </c>
      <c r="J16" s="984">
        <f>'3_Fin-Stat'!J17</f>
        <v>12135</v>
      </c>
      <c r="K16" s="984">
        <f>'3_Fin-Stat'!K17</f>
        <v>0</v>
      </c>
      <c r="L16" s="984">
        <f>'3_Fin-Stat'!L17</f>
        <v>0</v>
      </c>
      <c r="M16" s="984">
        <f>'3_Fin-Stat'!M17</f>
        <v>0</v>
      </c>
      <c r="N16" s="984">
        <f>'3_Fin-Stat'!N17</f>
        <v>8548</v>
      </c>
      <c r="O16" s="984">
        <f>'3_Fin-Stat'!O17</f>
        <v>8045</v>
      </c>
      <c r="P16" s="984">
        <f>'3_Fin-Stat'!P17</f>
        <v>0</v>
      </c>
      <c r="Q16" s="984">
        <f>'3_Fin-Stat'!Q17</f>
        <v>0</v>
      </c>
      <c r="R16" s="984">
        <f>'3_Fin-Stat'!R17</f>
        <v>0</v>
      </c>
      <c r="S16" s="984">
        <f>'3_Fin-Stat'!S17</f>
        <v>0</v>
      </c>
      <c r="T16" s="984">
        <f>'3_Fin-Stat'!T17</f>
        <v>0</v>
      </c>
      <c r="U16" s="984">
        <f>'3_Fin-Stat'!U17</f>
        <v>0</v>
      </c>
      <c r="V16" s="984">
        <f>'3_Fin-Stat'!V17</f>
        <v>0</v>
      </c>
      <c r="W16" s="984">
        <f>'3_Fin-Stat'!W17</f>
        <v>0</v>
      </c>
      <c r="X16" s="984">
        <f>'3_Fin-Stat'!X17</f>
        <v>0</v>
      </c>
      <c r="Y16" s="984">
        <f>'3_Fin-Stat'!Y17</f>
        <v>0</v>
      </c>
      <c r="Z16" s="984">
        <f>'3_Fin-Stat'!Z17</f>
        <v>0</v>
      </c>
      <c r="AA16" s="984">
        <f>'3_Fin-Stat'!AA17</f>
        <v>0</v>
      </c>
      <c r="AB16" s="776"/>
    </row>
    <row r="17" spans="1:28">
      <c r="A17" s="1020">
        <v>1700</v>
      </c>
      <c r="B17" s="1020"/>
      <c r="C17" s="1020" t="s">
        <v>308</v>
      </c>
      <c r="D17" s="1020"/>
      <c r="E17" s="1020"/>
      <c r="F17" s="984">
        <f>'3_Fin-Stat'!F10+'3_Fin-Stat'!F22</f>
        <v>0</v>
      </c>
      <c r="G17" s="984">
        <f>'3_Fin-Stat'!G10+'3_Fin-Stat'!G22</f>
        <v>3236</v>
      </c>
      <c r="H17" s="984">
        <f>'3_Fin-Stat'!H10+'3_Fin-Stat'!H22</f>
        <v>2591</v>
      </c>
      <c r="I17" s="984">
        <f>'3_Fin-Stat'!I10+'3_Fin-Stat'!I22</f>
        <v>16832</v>
      </c>
      <c r="J17" s="984">
        <f>'3_Fin-Stat'!J10+'3_Fin-Stat'!J22</f>
        <v>27626</v>
      </c>
      <c r="K17" s="984">
        <f>'3_Fin-Stat'!K10+'3_Fin-Stat'!K22</f>
        <v>43721</v>
      </c>
      <c r="L17" s="984">
        <f>'3_Fin-Stat'!L10+'3_Fin-Stat'!L22</f>
        <v>45952</v>
      </c>
      <c r="M17" s="984">
        <f>'3_Fin-Stat'!M10+'3_Fin-Stat'!M22</f>
        <v>15713</v>
      </c>
      <c r="N17" s="984">
        <f>'3_Fin-Stat'!N10+'3_Fin-Stat'!N22</f>
        <v>6160</v>
      </c>
      <c r="O17" s="984">
        <f>'3_Fin-Stat'!O10+'3_Fin-Stat'!O22</f>
        <v>5950</v>
      </c>
      <c r="P17" s="984">
        <f>'3_Fin-Stat'!P10+'3_Fin-Stat'!P22</f>
        <v>2462</v>
      </c>
      <c r="Q17" s="984">
        <f>'3_Fin-Stat'!Q10+'3_Fin-Stat'!Q22</f>
        <v>3475</v>
      </c>
      <c r="R17" s="984">
        <f>'3_Fin-Stat'!R10+'3_Fin-Stat'!R22</f>
        <v>3042</v>
      </c>
      <c r="S17" s="984">
        <f>'3_Fin-Stat'!S10+'3_Fin-Stat'!S22</f>
        <v>6000</v>
      </c>
      <c r="T17" s="984">
        <f>'3_Fin-Stat'!T10+'3_Fin-Stat'!T22</f>
        <v>0</v>
      </c>
      <c r="U17" s="984">
        <f>'3_Fin-Stat'!U10+'3_Fin-Stat'!U22</f>
        <v>0</v>
      </c>
      <c r="V17" s="984">
        <f>'3_Fin-Stat'!V10+'3_Fin-Stat'!V22</f>
        <v>0</v>
      </c>
      <c r="W17" s="984">
        <f>'3_Fin-Stat'!W10+'3_Fin-Stat'!W22</f>
        <v>23000</v>
      </c>
      <c r="X17" s="984">
        <f>'3_Fin-Stat'!X10+'3_Fin-Stat'!X22</f>
        <v>32000</v>
      </c>
      <c r="Y17" s="984">
        <f>'3_Fin-Stat'!Y10+'3_Fin-Stat'!Y22</f>
        <v>32000</v>
      </c>
      <c r="Z17" s="984">
        <f>'3_Fin-Stat'!Z10+'3_Fin-Stat'!Z22</f>
        <v>34000</v>
      </c>
      <c r="AA17" s="984">
        <f>'3_Fin-Stat'!AA10+'3_Fin-Stat'!AA22</f>
        <v>42000</v>
      </c>
      <c r="AB17" s="776"/>
    </row>
    <row r="18" spans="1:28">
      <c r="A18" s="1020">
        <v>1800</v>
      </c>
      <c r="B18" s="1020"/>
      <c r="C18" s="1020" t="s">
        <v>541</v>
      </c>
      <c r="D18" s="1020"/>
      <c r="E18" s="1020"/>
      <c r="F18" s="984">
        <f>'3_Fin-Stat'!F11+'3_Fin-Stat'!F24+'3_Fin-Stat'!F22</f>
        <v>0</v>
      </c>
      <c r="G18" s="984">
        <f>'3_Fin-Stat'!G11+'3_Fin-Stat'!G24</f>
        <v>0</v>
      </c>
      <c r="H18" s="984">
        <f>'3_Fin-Stat'!H11+'3_Fin-Stat'!H24</f>
        <v>0</v>
      </c>
      <c r="I18" s="984">
        <f>'3_Fin-Stat'!I11+'3_Fin-Stat'!I24</f>
        <v>0</v>
      </c>
      <c r="J18" s="984">
        <f>'3_Fin-Stat'!J11+'3_Fin-Stat'!J24</f>
        <v>0</v>
      </c>
      <c r="K18" s="984">
        <f>'3_Fin-Stat'!K11+'3_Fin-Stat'!K24</f>
        <v>0</v>
      </c>
      <c r="L18" s="984">
        <f>'3_Fin-Stat'!L11+'3_Fin-Stat'!L24</f>
        <v>0</v>
      </c>
      <c r="M18" s="984">
        <f>'3_Fin-Stat'!M11+'3_Fin-Stat'!M24</f>
        <v>0</v>
      </c>
      <c r="N18" s="984">
        <f>'3_Fin-Stat'!N11+'3_Fin-Stat'!N24</f>
        <v>0</v>
      </c>
      <c r="O18" s="984">
        <f>'3_Fin-Stat'!O11+'3_Fin-Stat'!O24</f>
        <v>0</v>
      </c>
      <c r="P18" s="984">
        <f>'3_Fin-Stat'!P11+'3_Fin-Stat'!P24</f>
        <v>0</v>
      </c>
      <c r="Q18" s="984">
        <f>'3_Fin-Stat'!Q11+'3_Fin-Stat'!Q24</f>
        <v>0</v>
      </c>
      <c r="R18" s="984">
        <f>'3_Fin-Stat'!R11+'3_Fin-Stat'!R24</f>
        <v>0</v>
      </c>
      <c r="S18" s="984">
        <f>'3_Fin-Stat'!S11+'3_Fin-Stat'!S24</f>
        <v>0</v>
      </c>
      <c r="T18" s="984">
        <f>'3_Fin-Stat'!T11+'3_Fin-Stat'!T24</f>
        <v>0</v>
      </c>
      <c r="U18" s="984">
        <f>'3_Fin-Stat'!U11+'3_Fin-Stat'!U24</f>
        <v>0</v>
      </c>
      <c r="V18" s="984">
        <f>'3_Fin-Stat'!V11+'3_Fin-Stat'!V24</f>
        <v>0</v>
      </c>
      <c r="W18" s="984">
        <f>'3_Fin-Stat'!W11+'3_Fin-Stat'!W24</f>
        <v>0</v>
      </c>
      <c r="X18" s="984">
        <f>'3_Fin-Stat'!X11+'3_Fin-Stat'!X24</f>
        <v>0</v>
      </c>
      <c r="Y18" s="984">
        <f>'3_Fin-Stat'!Y11+'3_Fin-Stat'!Y24</f>
        <v>0</v>
      </c>
      <c r="Z18" s="984">
        <f>'3_Fin-Stat'!Z11+'3_Fin-Stat'!Z24</f>
        <v>0</v>
      </c>
      <c r="AA18" s="984">
        <f>'3_Fin-Stat'!AA11+'3_Fin-Stat'!AA24</f>
        <v>0</v>
      </c>
      <c r="AB18" s="776"/>
    </row>
    <row r="19" spans="1:28">
      <c r="A19" s="1020"/>
      <c r="B19" s="1020"/>
      <c r="C19" s="1020" t="s">
        <v>301</v>
      </c>
      <c r="D19" s="1020"/>
      <c r="E19" s="1020"/>
      <c r="F19" s="984">
        <f>'3_Fin-Stat'!F15+'3_Fin-Stat'!F26+'3_Fin-Stat'!F21+'3_Fin-Stat'!F18</f>
        <v>24</v>
      </c>
      <c r="G19" s="984">
        <f>'3_Fin-Stat'!G15+'3_Fin-Stat'!G26+'3_Fin-Stat'!G21+'3_Fin-Stat'!G18</f>
        <v>24</v>
      </c>
      <c r="H19" s="984">
        <f>'3_Fin-Stat'!H15+'3_Fin-Stat'!H26+'3_Fin-Stat'!H21+'3_Fin-Stat'!H18</f>
        <v>0</v>
      </c>
      <c r="I19" s="984">
        <f>'3_Fin-Stat'!I15+'3_Fin-Stat'!I26+'3_Fin-Stat'!I21+'3_Fin-Stat'!I18</f>
        <v>0</v>
      </c>
      <c r="J19" s="984">
        <f>'3_Fin-Stat'!J15+'3_Fin-Stat'!J21+'3_Fin-Stat'!J18</f>
        <v>1162</v>
      </c>
      <c r="K19" s="984">
        <f>'3_Fin-Stat'!K15+'3_Fin-Stat'!K26+'3_Fin-Stat'!K21+'3_Fin-Stat'!K18</f>
        <v>1890</v>
      </c>
      <c r="L19" s="984">
        <f>'3_Fin-Stat'!L15+'3_Fin-Stat'!L26+'3_Fin-Stat'!L21+'3_Fin-Stat'!L18</f>
        <v>0</v>
      </c>
      <c r="M19" s="984">
        <f>'3_Fin-Stat'!M15+'3_Fin-Stat'!M26+'3_Fin-Stat'!M21+'3_Fin-Stat'!M18</f>
        <v>0</v>
      </c>
      <c r="N19" s="984">
        <f>'3_Fin-Stat'!N15+'3_Fin-Stat'!N26+'3_Fin-Stat'!N21+'3_Fin-Stat'!N18</f>
        <v>0</v>
      </c>
      <c r="O19" s="984">
        <f>'3_Fin-Stat'!O15+'3_Fin-Stat'!O26+'3_Fin-Stat'!O21+'3_Fin-Stat'!O18</f>
        <v>0</v>
      </c>
      <c r="P19" s="984">
        <f>'3_Fin-Stat'!P15+'3_Fin-Stat'!P26+'3_Fin-Stat'!P21+'3_Fin-Stat'!P18</f>
        <v>0</v>
      </c>
      <c r="Q19" s="984">
        <f>'3_Fin-Stat'!Q15+'3_Fin-Stat'!Q26+'3_Fin-Stat'!Q21+'3_Fin-Stat'!Q18</f>
        <v>4984</v>
      </c>
      <c r="R19" s="984">
        <f>'3_Fin-Stat'!R15+'3_Fin-Stat'!R26+'3_Fin-Stat'!R21+'3_Fin-Stat'!R18</f>
        <v>4895</v>
      </c>
      <c r="S19" s="984">
        <f>'3_Fin-Stat'!S15+'3_Fin-Stat'!S26+'3_Fin-Stat'!S21+'3_Fin-Stat'!S18</f>
        <v>200</v>
      </c>
      <c r="T19" s="984">
        <f>'3_Fin-Stat'!T15+'3_Fin-Stat'!T26+'3_Fin-Stat'!T21+'3_Fin-Stat'!T18</f>
        <v>13100</v>
      </c>
      <c r="U19" s="984">
        <f>'3_Fin-Stat'!U15+'3_Fin-Stat'!U26+'3_Fin-Stat'!U21+'3_Fin-Stat'!U18</f>
        <v>17000</v>
      </c>
      <c r="V19" s="984">
        <f>'3_Fin-Stat'!V15+'3_Fin-Stat'!V26+'3_Fin-Stat'!V21+'3_Fin-Stat'!V18</f>
        <v>26000</v>
      </c>
      <c r="W19" s="984">
        <f>'3_Fin-Stat'!W15+'3_Fin-Stat'!W26+'3_Fin-Stat'!W21+'3_Fin-Stat'!W18</f>
        <v>0</v>
      </c>
      <c r="X19" s="984">
        <f>'3_Fin-Stat'!X15+'3_Fin-Stat'!X26+'3_Fin-Stat'!X21+'3_Fin-Stat'!X18</f>
        <v>0</v>
      </c>
      <c r="Y19" s="984">
        <f>'3_Fin-Stat'!Y15+'3_Fin-Stat'!Y26+'3_Fin-Stat'!Y21+'3_Fin-Stat'!Y18</f>
        <v>0</v>
      </c>
      <c r="Z19" s="984">
        <f>'3_Fin-Stat'!Z15+'3_Fin-Stat'!Z26+'3_Fin-Stat'!Z21+'3_Fin-Stat'!Z18</f>
        <v>0</v>
      </c>
      <c r="AA19" s="984">
        <f>'3_Fin-Stat'!AA15+'3_Fin-Stat'!AA26+'3_Fin-Stat'!AA21+'3_Fin-Stat'!AA18</f>
        <v>0</v>
      </c>
      <c r="AB19" s="776"/>
    </row>
    <row r="20" spans="1:28">
      <c r="A20" s="1020">
        <v>1810</v>
      </c>
      <c r="B20" s="1020"/>
      <c r="C20" s="1020" t="s">
        <v>306</v>
      </c>
      <c r="D20" s="1020"/>
      <c r="E20" s="1020"/>
      <c r="F20" s="984">
        <f>'3_Fin-Stat'!F20</f>
        <v>0</v>
      </c>
      <c r="G20" s="984">
        <f>'3_Fin-Stat'!G20</f>
        <v>3594</v>
      </c>
      <c r="H20" s="984">
        <f>'3_Fin-Stat'!H20</f>
        <v>7093</v>
      </c>
      <c r="I20" s="984">
        <f>'3_Fin-Stat'!I20</f>
        <v>8562</v>
      </c>
      <c r="J20" s="984">
        <f>'3_Fin-Stat'!J20</f>
        <v>5975</v>
      </c>
      <c r="K20" s="984">
        <f>'3_Fin-Stat'!K20</f>
        <v>15754</v>
      </c>
      <c r="L20" s="984">
        <f>'3_Fin-Stat'!L20</f>
        <v>27497</v>
      </c>
      <c r="M20" s="984">
        <f>'3_Fin-Stat'!M20</f>
        <v>16835</v>
      </c>
      <c r="N20" s="984">
        <f>'3_Fin-Stat'!N20</f>
        <v>0</v>
      </c>
      <c r="O20" s="984">
        <f>'3_Fin-Stat'!O20</f>
        <v>0</v>
      </c>
      <c r="P20" s="984">
        <f>'3_Fin-Stat'!P20</f>
        <v>0</v>
      </c>
      <c r="Q20" s="984">
        <f>'3_Fin-Stat'!Q20</f>
        <v>0</v>
      </c>
      <c r="R20" s="984">
        <f>'3_Fin-Stat'!R20</f>
        <v>0</v>
      </c>
      <c r="S20" s="984">
        <f>'3_Fin-Stat'!S20</f>
        <v>0</v>
      </c>
      <c r="T20" s="984">
        <f>'3_Fin-Stat'!T20</f>
        <v>0</v>
      </c>
      <c r="U20" s="984">
        <f>'3_Fin-Stat'!U20</f>
        <v>0</v>
      </c>
      <c r="V20" s="984">
        <f>'3_Fin-Stat'!V20</f>
        <v>0</v>
      </c>
      <c r="W20" s="984">
        <f>'3_Fin-Stat'!W20</f>
        <v>0</v>
      </c>
      <c r="X20" s="984">
        <f>'3_Fin-Stat'!X20</f>
        <v>0</v>
      </c>
      <c r="Y20" s="984">
        <f>'3_Fin-Stat'!Y20</f>
        <v>0</v>
      </c>
      <c r="Z20" s="984">
        <f>'3_Fin-Stat'!Z20</f>
        <v>0</v>
      </c>
      <c r="AA20" s="984">
        <f>'3_Fin-Stat'!AA20</f>
        <v>0</v>
      </c>
      <c r="AB20" s="776"/>
    </row>
    <row r="21" spans="1:28">
      <c r="A21" s="1020">
        <v>1230</v>
      </c>
      <c r="B21" s="1020"/>
      <c r="C21" s="1020" t="s">
        <v>309</v>
      </c>
      <c r="D21" s="1020"/>
      <c r="E21" s="1020"/>
      <c r="F21" s="984">
        <f>'3_Fin-Stat'!F23</f>
        <v>0</v>
      </c>
      <c r="G21" s="984">
        <f>'3_Fin-Stat'!G23</f>
        <v>0</v>
      </c>
      <c r="H21" s="984">
        <f>'3_Fin-Stat'!H23</f>
        <v>0</v>
      </c>
      <c r="I21" s="984">
        <f>'3_Fin-Stat'!I23</f>
        <v>0</v>
      </c>
      <c r="J21" s="984">
        <f>'3_Fin-Stat'!J23</f>
        <v>0</v>
      </c>
      <c r="K21" s="984">
        <f>'3_Fin-Stat'!K23</f>
        <v>0</v>
      </c>
      <c r="L21" s="984">
        <f>'3_Fin-Stat'!L23</f>
        <v>0</v>
      </c>
      <c r="M21" s="984">
        <f>'3_Fin-Stat'!M23</f>
        <v>60553</v>
      </c>
      <c r="N21" s="984">
        <f>'3_Fin-Stat'!N23</f>
        <v>13995</v>
      </c>
      <c r="O21" s="984">
        <f>'3_Fin-Stat'!O23</f>
        <v>100286</v>
      </c>
      <c r="P21" s="984">
        <f>'3_Fin-Stat'!P23</f>
        <v>16326</v>
      </c>
      <c r="Q21" s="984">
        <f>'3_Fin-Stat'!Q23</f>
        <v>99256</v>
      </c>
      <c r="R21" s="984">
        <f>'3_Fin-Stat'!R23</f>
        <v>42057</v>
      </c>
      <c r="S21" s="984">
        <f>'3_Fin-Stat'!S23</f>
        <v>105000</v>
      </c>
      <c r="T21" s="984">
        <f>'3_Fin-Stat'!T23</f>
        <v>149300</v>
      </c>
      <c r="U21" s="984">
        <f>'3_Fin-Stat'!U23</f>
        <v>73000</v>
      </c>
      <c r="V21" s="984">
        <f>'3_Fin-Stat'!V23</f>
        <v>103000</v>
      </c>
      <c r="W21" s="984">
        <f>'3_Fin-Stat'!W23</f>
        <v>252000</v>
      </c>
      <c r="X21" s="984">
        <f>'3_Fin-Stat'!X23</f>
        <v>178000</v>
      </c>
      <c r="Y21" s="984">
        <f>'3_Fin-Stat'!Y23</f>
        <v>152000</v>
      </c>
      <c r="Z21" s="984">
        <f>'3_Fin-Stat'!Z23</f>
        <v>195000</v>
      </c>
      <c r="AA21" s="984">
        <f>'3_Fin-Stat'!AA23</f>
        <v>142000</v>
      </c>
      <c r="AB21" s="776"/>
    </row>
    <row r="22" spans="1:28">
      <c r="A22" s="1020">
        <v>1820</v>
      </c>
      <c r="B22" s="1020"/>
      <c r="C22" s="1020" t="s">
        <v>312</v>
      </c>
      <c r="D22" s="1020"/>
      <c r="E22" s="1020"/>
      <c r="F22" s="1021">
        <f>'3_Fin-Stat'!F28</f>
        <v>0</v>
      </c>
      <c r="G22" s="1021">
        <f>'3_Fin-Stat'!G28</f>
        <v>0</v>
      </c>
      <c r="H22" s="1021">
        <f>'3_Fin-Stat'!H28</f>
        <v>0</v>
      </c>
      <c r="I22" s="1021">
        <f>'3_Fin-Stat'!I28</f>
        <v>0</v>
      </c>
      <c r="J22" s="1021">
        <f>'3_Fin-Stat'!J28</f>
        <v>0</v>
      </c>
      <c r="K22" s="1021">
        <f>'3_Fin-Stat'!K28</f>
        <v>0</v>
      </c>
      <c r="L22" s="1021">
        <f>'3_Fin-Stat'!L28</f>
        <v>0</v>
      </c>
      <c r="M22" s="1021">
        <f>'3_Fin-Stat'!M28</f>
        <v>0</v>
      </c>
      <c r="N22" s="1021">
        <f>'3_Fin-Stat'!N28</f>
        <v>0</v>
      </c>
      <c r="O22" s="1021">
        <f>'3_Fin-Stat'!O28</f>
        <v>2811</v>
      </c>
      <c r="P22" s="1021">
        <f>'3_Fin-Stat'!P28</f>
        <v>2211</v>
      </c>
      <c r="Q22" s="1021">
        <f>'3_Fin-Stat'!Q28</f>
        <v>294</v>
      </c>
      <c r="R22" s="1021">
        <f>'3_Fin-Stat'!R28</f>
        <v>4402</v>
      </c>
      <c r="S22" s="1021">
        <f>'3_Fin-Stat'!S28</f>
        <v>3800</v>
      </c>
      <c r="T22" s="1021">
        <f>'3_Fin-Stat'!T28</f>
        <v>0</v>
      </c>
      <c r="U22" s="1021">
        <f>'3_Fin-Stat'!U28</f>
        <v>0</v>
      </c>
      <c r="V22" s="1021">
        <f>'3_Fin-Stat'!V28</f>
        <v>0</v>
      </c>
      <c r="W22" s="1021">
        <f>'3_Fin-Stat'!W28</f>
        <v>0</v>
      </c>
      <c r="X22" s="1021">
        <f>'3_Fin-Stat'!X28</f>
        <v>0</v>
      </c>
      <c r="Y22" s="1021">
        <f>'3_Fin-Stat'!Y28</f>
        <v>0</v>
      </c>
      <c r="Z22" s="1021">
        <f>'3_Fin-Stat'!Z28</f>
        <v>0</v>
      </c>
      <c r="AA22" s="1021">
        <f>'3_Fin-Stat'!AA28</f>
        <v>0</v>
      </c>
      <c r="AB22" s="776"/>
    </row>
    <row r="23" spans="1:28">
      <c r="A23" s="1020"/>
      <c r="B23" s="1020"/>
      <c r="C23" s="1020"/>
      <c r="D23" s="1020"/>
      <c r="E23" s="1020"/>
      <c r="F23" s="984">
        <f t="shared" ref="F23:R23" si="4">F5+F7+F8+F11+F12+F15+F16+F17+F18+F19+F20+F21+F22</f>
        <v>179287</v>
      </c>
      <c r="G23" s="984">
        <f t="shared" si="4"/>
        <v>134709</v>
      </c>
      <c r="H23" s="984">
        <f t="shared" si="4"/>
        <v>253841</v>
      </c>
      <c r="I23" s="984">
        <f t="shared" si="4"/>
        <v>193602</v>
      </c>
      <c r="J23" s="984">
        <f t="shared" si="4"/>
        <v>292025</v>
      </c>
      <c r="K23" s="984">
        <f t="shared" si="4"/>
        <v>347230</v>
      </c>
      <c r="L23" s="984">
        <f t="shared" si="4"/>
        <v>371667</v>
      </c>
      <c r="M23" s="984">
        <f t="shared" si="4"/>
        <v>566740</v>
      </c>
      <c r="N23" s="984">
        <f t="shared" si="4"/>
        <v>317141</v>
      </c>
      <c r="O23" s="984">
        <f t="shared" si="4"/>
        <v>682762</v>
      </c>
      <c r="P23" s="984">
        <f t="shared" si="4"/>
        <v>279381</v>
      </c>
      <c r="Q23" s="984">
        <f t="shared" si="4"/>
        <v>371181</v>
      </c>
      <c r="R23" s="984">
        <f t="shared" si="4"/>
        <v>672348</v>
      </c>
      <c r="S23" s="984">
        <f t="shared" ref="S23:AA23" si="5">S5+S6+S7+S8+S11+S12+S15+S16+S17+S18+S19+S20+S21+S22</f>
        <v>664400</v>
      </c>
      <c r="T23" s="984">
        <f t="shared" si="5"/>
        <v>864500</v>
      </c>
      <c r="U23" s="984">
        <f t="shared" si="5"/>
        <v>576000</v>
      </c>
      <c r="V23" s="984">
        <f t="shared" si="5"/>
        <v>389000</v>
      </c>
      <c r="W23" s="984">
        <f t="shared" si="5"/>
        <v>587000</v>
      </c>
      <c r="X23" s="984">
        <f t="shared" si="5"/>
        <v>550000</v>
      </c>
      <c r="Y23" s="984">
        <f t="shared" si="5"/>
        <v>505000</v>
      </c>
      <c r="Z23" s="984">
        <f t="shared" si="5"/>
        <v>599000</v>
      </c>
      <c r="AA23" s="984">
        <f t="shared" si="5"/>
        <v>683000</v>
      </c>
      <c r="AB23" s="776"/>
    </row>
    <row r="24" spans="1:28">
      <c r="A24" s="1020"/>
      <c r="B24" s="1020"/>
      <c r="C24" s="1020" t="s">
        <v>301</v>
      </c>
      <c r="D24" s="1020"/>
      <c r="E24" s="1020"/>
      <c r="F24" s="984"/>
      <c r="G24" s="984"/>
      <c r="H24" s="984"/>
      <c r="I24" s="984"/>
      <c r="J24" s="984">
        <f>'3_Fin-Stat'!J26</f>
        <v>0</v>
      </c>
      <c r="K24" s="984"/>
      <c r="L24" s="984"/>
      <c r="M24" s="984"/>
      <c r="N24" s="984"/>
      <c r="O24" s="984"/>
      <c r="P24" s="1020"/>
      <c r="Q24" s="984"/>
      <c r="R24" s="984"/>
      <c r="S24" s="984"/>
      <c r="T24" s="1022"/>
      <c r="U24" s="1022"/>
      <c r="V24" s="1022"/>
      <c r="W24" s="1022"/>
      <c r="X24" s="1022"/>
      <c r="Y24" s="1020"/>
      <c r="Z24" s="1020"/>
      <c r="AA24" s="1020"/>
      <c r="AB24" s="776"/>
    </row>
    <row r="25" spans="1:28">
      <c r="A25" s="1020">
        <v>1710</v>
      </c>
      <c r="B25" s="1020"/>
      <c r="C25" s="1020" t="s">
        <v>313</v>
      </c>
      <c r="D25" s="1020"/>
      <c r="E25" s="1020"/>
      <c r="F25" s="984">
        <f>'3_Fin-Stat'!F29</f>
        <v>0</v>
      </c>
      <c r="G25" s="984">
        <f>'3_Fin-Stat'!G29</f>
        <v>0</v>
      </c>
      <c r="H25" s="984">
        <f>'3_Fin-Stat'!H29</f>
        <v>0</v>
      </c>
      <c r="I25" s="984">
        <f>'3_Fin-Stat'!I29</f>
        <v>0</v>
      </c>
      <c r="J25" s="984">
        <f>'3_Fin-Stat'!J29</f>
        <v>0</v>
      </c>
      <c r="K25" s="984">
        <f>'3_Fin-Stat'!K29</f>
        <v>0</v>
      </c>
      <c r="L25" s="984">
        <f>'3_Fin-Stat'!L29</f>
        <v>0</v>
      </c>
      <c r="M25" s="984">
        <f>'3_Fin-Stat'!M29</f>
        <v>0</v>
      </c>
      <c r="N25" s="984">
        <f>'3_Fin-Stat'!N29</f>
        <v>26948</v>
      </c>
      <c r="O25" s="984">
        <f>'3_Fin-Stat'!O29</f>
        <v>38856</v>
      </c>
      <c r="P25" s="984">
        <f>'3_Fin-Stat'!P29</f>
        <v>110690</v>
      </c>
      <c r="Q25" s="984">
        <f>'3_Fin-Stat'!Q29</f>
        <v>83639</v>
      </c>
      <c r="R25" s="984">
        <f>'3_Fin-Stat'!R29</f>
        <v>11941</v>
      </c>
      <c r="S25" s="984">
        <f>'3_Fin-Stat'!S29</f>
        <v>29600</v>
      </c>
      <c r="T25" s="984">
        <f>'3_Fin-Stat'!T29</f>
        <v>36400</v>
      </c>
      <c r="U25" s="984">
        <f>'3_Fin-Stat'!U29</f>
        <v>10000</v>
      </c>
      <c r="V25" s="984">
        <f>'3_Fin-Stat'!V29</f>
        <v>-1000</v>
      </c>
      <c r="W25" s="984">
        <f>'3_Fin-Stat'!W29</f>
        <v>92000</v>
      </c>
      <c r="X25" s="984">
        <f>'3_Fin-Stat'!X29</f>
        <v>52000</v>
      </c>
      <c r="Y25" s="984">
        <f>'3_Fin-Stat'!Y29</f>
        <v>61000</v>
      </c>
      <c r="Z25" s="984">
        <f>'3_Fin-Stat'!Z29</f>
        <v>114000</v>
      </c>
      <c r="AA25" s="984">
        <f>'3_Fin-Stat'!AA29</f>
        <v>223000</v>
      </c>
      <c r="AB25" s="776"/>
    </row>
    <row r="26" spans="1:28">
      <c r="A26" s="1020">
        <v>1730</v>
      </c>
      <c r="B26" s="1020"/>
      <c r="C26" s="1020" t="s">
        <v>314</v>
      </c>
      <c r="D26" s="1020"/>
      <c r="E26" s="1020"/>
      <c r="F26" s="984">
        <f>'3_Fin-Stat'!F30</f>
        <v>17079</v>
      </c>
      <c r="G26" s="984">
        <f>'3_Fin-Stat'!G30</f>
        <v>24826</v>
      </c>
      <c r="H26" s="984">
        <f>'3_Fin-Stat'!H30</f>
        <v>22846</v>
      </c>
      <c r="I26" s="984">
        <f>'3_Fin-Stat'!I30</f>
        <v>52417</v>
      </c>
      <c r="J26" s="984">
        <f>'3_Fin-Stat'!J30</f>
        <v>240509</v>
      </c>
      <c r="K26" s="984">
        <f>'3_Fin-Stat'!K30</f>
        <v>217195</v>
      </c>
      <c r="L26" s="984">
        <f>'3_Fin-Stat'!L30</f>
        <v>180746</v>
      </c>
      <c r="M26" s="984">
        <f>'3_Fin-Stat'!M30</f>
        <v>26594</v>
      </c>
      <c r="N26" s="984">
        <f>'3_Fin-Stat'!N30</f>
        <v>49592</v>
      </c>
      <c r="O26" s="984">
        <f>'3_Fin-Stat'!O30</f>
        <v>42358</v>
      </c>
      <c r="P26" s="984">
        <f>'3_Fin-Stat'!P30</f>
        <v>43633</v>
      </c>
      <c r="Q26" s="984">
        <f>'3_Fin-Stat'!Q30</f>
        <v>50053</v>
      </c>
      <c r="R26" s="984">
        <f>'3_Fin-Stat'!R30</f>
        <v>46930</v>
      </c>
      <c r="S26" s="984">
        <f>'3_Fin-Stat'!S30</f>
        <v>26800</v>
      </c>
      <c r="T26" s="984">
        <f>'3_Fin-Stat'!T30</f>
        <v>54800</v>
      </c>
      <c r="U26" s="984">
        <f>'3_Fin-Stat'!U30</f>
        <v>54000</v>
      </c>
      <c r="V26" s="984">
        <f>'3_Fin-Stat'!V30</f>
        <v>47000</v>
      </c>
      <c r="W26" s="984">
        <f>'3_Fin-Stat'!W30</f>
        <v>47000</v>
      </c>
      <c r="X26" s="984">
        <f>'3_Fin-Stat'!X30</f>
        <v>76000</v>
      </c>
      <c r="Y26" s="984">
        <f>'3_Fin-Stat'!Y30</f>
        <v>79000</v>
      </c>
      <c r="Z26" s="984">
        <f>'3_Fin-Stat'!Z30</f>
        <v>79000</v>
      </c>
      <c r="AA26" s="984">
        <f>'3_Fin-Stat'!AA30</f>
        <v>89000</v>
      </c>
      <c r="AB26" s="776"/>
    </row>
    <row r="27" spans="1:28">
      <c r="A27" s="1020">
        <v>1780</v>
      </c>
      <c r="B27" s="1020"/>
      <c r="C27" s="1020" t="s">
        <v>315</v>
      </c>
      <c r="D27" s="1020"/>
      <c r="E27" s="1020"/>
      <c r="F27" s="984">
        <f>'3_Fin-Stat'!F31</f>
        <v>0</v>
      </c>
      <c r="G27" s="984">
        <f>'3_Fin-Stat'!G31</f>
        <v>0</v>
      </c>
      <c r="H27" s="984">
        <f>'3_Fin-Stat'!H31</f>
        <v>0</v>
      </c>
      <c r="I27" s="984">
        <f>'3_Fin-Stat'!I31</f>
        <v>0</v>
      </c>
      <c r="J27" s="984">
        <f>'3_Fin-Stat'!J31</f>
        <v>0</v>
      </c>
      <c r="K27" s="984">
        <f>'3_Fin-Stat'!K31</f>
        <v>0</v>
      </c>
      <c r="L27" s="984">
        <f>'3_Fin-Stat'!L31</f>
        <v>0</v>
      </c>
      <c r="M27" s="984">
        <f>'3_Fin-Stat'!M31</f>
        <v>132</v>
      </c>
      <c r="N27" s="984">
        <f>'3_Fin-Stat'!N31</f>
        <v>37</v>
      </c>
      <c r="O27" s="984">
        <f>'3_Fin-Stat'!O31</f>
        <v>1122</v>
      </c>
      <c r="P27" s="984">
        <f>'3_Fin-Stat'!P31</f>
        <v>449</v>
      </c>
      <c r="Q27" s="984">
        <f>'3_Fin-Stat'!Q31</f>
        <v>3399</v>
      </c>
      <c r="R27" s="984">
        <f>'3_Fin-Stat'!R31</f>
        <v>7947</v>
      </c>
      <c r="S27" s="984">
        <f>'3_Fin-Stat'!S31</f>
        <v>8400</v>
      </c>
      <c r="T27" s="984">
        <f>'3_Fin-Stat'!T31</f>
        <v>12700</v>
      </c>
      <c r="U27" s="984">
        <f>'3_Fin-Stat'!U31</f>
        <v>21000</v>
      </c>
      <c r="V27" s="984">
        <f>'3_Fin-Stat'!V31</f>
        <v>36000</v>
      </c>
      <c r="W27" s="984">
        <f>'3_Fin-Stat'!W31</f>
        <v>40000</v>
      </c>
      <c r="X27" s="984">
        <f>'3_Fin-Stat'!X31</f>
        <v>43000</v>
      </c>
      <c r="Y27" s="984">
        <f>'3_Fin-Stat'!Y31</f>
        <v>46000</v>
      </c>
      <c r="Z27" s="984">
        <f>'3_Fin-Stat'!Z31</f>
        <v>40000</v>
      </c>
      <c r="AA27" s="984">
        <f>'3_Fin-Stat'!AA31</f>
        <v>34000</v>
      </c>
      <c r="AB27" s="13"/>
    </row>
    <row r="28" spans="1:28">
      <c r="A28" s="1020">
        <v>1500</v>
      </c>
      <c r="B28" s="1020"/>
      <c r="C28" s="1171" t="s">
        <v>169</v>
      </c>
      <c r="D28" s="1020"/>
      <c r="E28" s="1020"/>
      <c r="F28" s="984">
        <f>'3_Fin-Stat'!F33</f>
        <v>1819132</v>
      </c>
      <c r="G28" s="984">
        <f>'3_Fin-Stat'!G33</f>
        <v>2086591</v>
      </c>
      <c r="H28" s="984">
        <f>'3_Fin-Stat'!H33</f>
        <v>2225866</v>
      </c>
      <c r="I28" s="984">
        <f>'3_Fin-Stat'!I33</f>
        <v>2452025</v>
      </c>
      <c r="J28" s="984">
        <f>'3_Fin-Stat'!J33</f>
        <v>3162959</v>
      </c>
      <c r="K28" s="984">
        <f>'3_Fin-Stat'!K33</f>
        <v>3186769</v>
      </c>
      <c r="L28" s="984">
        <f>'3_Fin-Stat'!L33</f>
        <v>3592168</v>
      </c>
      <c r="M28" s="984">
        <f>'3_Fin-Stat'!M33</f>
        <v>4605643</v>
      </c>
      <c r="N28" s="984">
        <f>'3_Fin-Stat'!N33</f>
        <v>6120462</v>
      </c>
      <c r="O28" s="984">
        <f>'3_Fin-Stat'!O33</f>
        <v>6135215</v>
      </c>
      <c r="P28" s="984">
        <f>'3_Fin-Stat'!P33</f>
        <v>6164614</v>
      </c>
      <c r="Q28" s="984">
        <f>'3_Fin-Stat'!Q33</f>
        <v>7749818</v>
      </c>
      <c r="R28" s="984">
        <f>'3_Fin-Stat'!R33</f>
        <v>7297059</v>
      </c>
      <c r="S28" s="984">
        <f>'3_Fin-Stat'!S33</f>
        <v>7304900</v>
      </c>
      <c r="T28" s="984">
        <f>'3_Fin-Stat'!T33</f>
        <v>6467000</v>
      </c>
      <c r="U28" s="984">
        <f>'3_Fin-Stat'!U33</f>
        <v>6766000</v>
      </c>
      <c r="V28" s="984">
        <f>'3_Fin-Stat'!V33</f>
        <v>6896000</v>
      </c>
      <c r="W28" s="984">
        <f>'3_Fin-Stat'!W33</f>
        <v>7566000</v>
      </c>
      <c r="X28" s="984">
        <f>'3_Fin-Stat'!X33</f>
        <v>7774000</v>
      </c>
      <c r="Y28" s="984">
        <f>'3_Fin-Stat'!Y33</f>
        <v>8013000</v>
      </c>
      <c r="Z28" s="984">
        <f>'3_Fin-Stat'!Z33</f>
        <v>8655000</v>
      </c>
      <c r="AA28" s="984">
        <f>'3_Fin-Stat'!AA33</f>
        <v>8593000</v>
      </c>
      <c r="AB28" s="81"/>
    </row>
    <row r="29" spans="1:28">
      <c r="A29" s="1020">
        <v>1500</v>
      </c>
      <c r="B29" s="1020"/>
      <c r="C29" s="1171" t="s">
        <v>316</v>
      </c>
      <c r="D29" s="1020"/>
      <c r="E29" s="1020"/>
      <c r="F29" s="984">
        <f>'3_Fin-Stat'!F34</f>
        <v>65917</v>
      </c>
      <c r="G29" s="984">
        <f>'3_Fin-Stat'!G34</f>
        <v>56184</v>
      </c>
      <c r="H29" s="984">
        <f>'3_Fin-Stat'!H34</f>
        <v>64137</v>
      </c>
      <c r="I29" s="984">
        <f>'3_Fin-Stat'!I34</f>
        <v>53957</v>
      </c>
      <c r="J29" s="984">
        <f>'3_Fin-Stat'!J34</f>
        <v>248380</v>
      </c>
      <c r="K29" s="984">
        <f>'3_Fin-Stat'!K34</f>
        <v>291372</v>
      </c>
      <c r="L29" s="984">
        <f>'3_Fin-Stat'!L34</f>
        <v>308873</v>
      </c>
      <c r="M29" s="984">
        <f>'3_Fin-Stat'!M34</f>
        <v>139882</v>
      </c>
      <c r="N29" s="984">
        <f>'3_Fin-Stat'!N34</f>
        <v>148875</v>
      </c>
      <c r="O29" s="984">
        <f>'3_Fin-Stat'!O34</f>
        <v>171190</v>
      </c>
      <c r="P29" s="984">
        <f>'3_Fin-Stat'!P34</f>
        <v>230416</v>
      </c>
      <c r="Q29" s="984">
        <f>'3_Fin-Stat'!Q34</f>
        <v>267990</v>
      </c>
      <c r="R29" s="984">
        <f>'3_Fin-Stat'!R34</f>
        <v>269826</v>
      </c>
      <c r="S29" s="984">
        <f>'3_Fin-Stat'!S34</f>
        <v>255100</v>
      </c>
      <c r="T29" s="984">
        <f>'3_Fin-Stat'!T34</f>
        <v>150000</v>
      </c>
      <c r="U29" s="984">
        <f>'3_Fin-Stat'!U34</f>
        <v>184000</v>
      </c>
      <c r="V29" s="984">
        <f>'3_Fin-Stat'!V34</f>
        <v>187000</v>
      </c>
      <c r="W29" s="984">
        <f>'3_Fin-Stat'!W34</f>
        <v>200000</v>
      </c>
      <c r="X29" s="984">
        <f>'3_Fin-Stat'!X34</f>
        <v>199000</v>
      </c>
      <c r="Y29" s="984">
        <f>'3_Fin-Stat'!Y34</f>
        <v>191000</v>
      </c>
      <c r="Z29" s="984">
        <f>'3_Fin-Stat'!Z34</f>
        <v>180000</v>
      </c>
      <c r="AA29" s="984">
        <f>'3_Fin-Stat'!AA34</f>
        <v>261000</v>
      </c>
      <c r="AB29" s="81"/>
    </row>
    <row r="30" spans="1:28">
      <c r="A30" s="1020">
        <v>1520</v>
      </c>
      <c r="B30" s="1020"/>
      <c r="C30" s="1020" t="s">
        <v>318</v>
      </c>
      <c r="D30" s="1020"/>
      <c r="E30" s="1020"/>
      <c r="F30" s="1021">
        <f>'3_Fin-Stat'!F36</f>
        <v>204946</v>
      </c>
      <c r="G30" s="1021">
        <f>'3_Fin-Stat'!G36</f>
        <v>119014</v>
      </c>
      <c r="H30" s="1021">
        <f>'3_Fin-Stat'!H36</f>
        <v>212544</v>
      </c>
      <c r="I30" s="1021">
        <f>'3_Fin-Stat'!I36</f>
        <v>52823</v>
      </c>
      <c r="J30" s="1021">
        <f>'3_Fin-Stat'!J36</f>
        <v>118126</v>
      </c>
      <c r="K30" s="1021">
        <f>'3_Fin-Stat'!K36</f>
        <v>215374</v>
      </c>
      <c r="L30" s="1021">
        <f>'3_Fin-Stat'!L36</f>
        <v>93643</v>
      </c>
      <c r="M30" s="1021">
        <f>'3_Fin-Stat'!M36</f>
        <v>94869</v>
      </c>
      <c r="N30" s="1021">
        <f>'3_Fin-Stat'!N36</f>
        <v>94932</v>
      </c>
      <c r="O30" s="1021">
        <f>'3_Fin-Stat'!O36</f>
        <v>309589</v>
      </c>
      <c r="P30" s="1021">
        <f>'3_Fin-Stat'!P36</f>
        <v>677980</v>
      </c>
      <c r="Q30" s="1021">
        <f>'3_Fin-Stat'!Q36</f>
        <v>283522</v>
      </c>
      <c r="R30" s="1021">
        <f>'3_Fin-Stat'!R36</f>
        <v>276263</v>
      </c>
      <c r="S30" s="1021">
        <f>'3_Fin-Stat'!S36</f>
        <v>726900</v>
      </c>
      <c r="T30" s="1021">
        <f>'3_Fin-Stat'!T36</f>
        <v>245000</v>
      </c>
      <c r="U30" s="1021">
        <f>'3_Fin-Stat'!U36</f>
        <v>242000</v>
      </c>
      <c r="V30" s="1021">
        <f>'3_Fin-Stat'!V36</f>
        <v>86000</v>
      </c>
      <c r="W30" s="1021">
        <f>'3_Fin-Stat'!W36</f>
        <v>91000</v>
      </c>
      <c r="X30" s="1021">
        <f>'3_Fin-Stat'!X36</f>
        <v>77000</v>
      </c>
      <c r="Y30" s="1021">
        <f>'3_Fin-Stat'!Y36</f>
        <v>71000</v>
      </c>
      <c r="Z30" s="1021">
        <f>'3_Fin-Stat'!Z36</f>
        <v>96000</v>
      </c>
      <c r="AA30" s="1021">
        <f>'3_Fin-Stat'!AA36</f>
        <v>105000</v>
      </c>
      <c r="AB30" s="81"/>
    </row>
    <row r="31" spans="1:28">
      <c r="A31" s="1020"/>
      <c r="B31" s="1020"/>
      <c r="C31" s="1172" t="s">
        <v>317</v>
      </c>
      <c r="D31" s="1172"/>
      <c r="E31" s="1020"/>
      <c r="F31" s="984">
        <f t="shared" ref="F31:AA31" si="6">SUM(F28:F30)</f>
        <v>2089995</v>
      </c>
      <c r="G31" s="984">
        <f t="shared" si="6"/>
        <v>2261789</v>
      </c>
      <c r="H31" s="984">
        <f t="shared" si="6"/>
        <v>2502547</v>
      </c>
      <c r="I31" s="984">
        <f t="shared" si="6"/>
        <v>2558805</v>
      </c>
      <c r="J31" s="984">
        <f t="shared" si="6"/>
        <v>3529465</v>
      </c>
      <c r="K31" s="984">
        <f t="shared" si="6"/>
        <v>3693515</v>
      </c>
      <c r="L31" s="984">
        <f t="shared" si="6"/>
        <v>3994684</v>
      </c>
      <c r="M31" s="984">
        <f t="shared" si="6"/>
        <v>4840394</v>
      </c>
      <c r="N31" s="984">
        <f t="shared" si="6"/>
        <v>6364269</v>
      </c>
      <c r="O31" s="984">
        <f t="shared" si="6"/>
        <v>6615994</v>
      </c>
      <c r="P31" s="984">
        <f t="shared" si="6"/>
        <v>7073010</v>
      </c>
      <c r="Q31" s="984">
        <f t="shared" si="6"/>
        <v>8301330</v>
      </c>
      <c r="R31" s="984">
        <f t="shared" si="6"/>
        <v>7843148</v>
      </c>
      <c r="S31" s="984">
        <f t="shared" si="6"/>
        <v>8286900</v>
      </c>
      <c r="T31" s="984">
        <f t="shared" si="6"/>
        <v>6862000</v>
      </c>
      <c r="U31" s="984">
        <f t="shared" si="6"/>
        <v>7192000</v>
      </c>
      <c r="V31" s="984">
        <f t="shared" si="6"/>
        <v>7169000</v>
      </c>
      <c r="W31" s="984">
        <f t="shared" si="6"/>
        <v>7857000</v>
      </c>
      <c r="X31" s="984">
        <f t="shared" si="6"/>
        <v>8050000</v>
      </c>
      <c r="Y31" s="984">
        <f t="shared" si="6"/>
        <v>8275000</v>
      </c>
      <c r="Z31" s="984">
        <f t="shared" si="6"/>
        <v>8931000</v>
      </c>
      <c r="AA31" s="984">
        <f t="shared" si="6"/>
        <v>8959000</v>
      </c>
      <c r="AB31" s="13"/>
    </row>
    <row r="32" spans="1:28">
      <c r="A32" s="1020">
        <v>1610</v>
      </c>
      <c r="B32" s="1020"/>
      <c r="C32" s="1020" t="s">
        <v>320</v>
      </c>
      <c r="D32" s="1020"/>
      <c r="E32" s="1020"/>
      <c r="F32" s="984">
        <f>'3_Fin-Stat'!F39</f>
        <v>-13424</v>
      </c>
      <c r="G32" s="984">
        <f>'3_Fin-Stat'!G39</f>
        <v>-57731</v>
      </c>
      <c r="H32" s="984">
        <f>'3_Fin-Stat'!H39</f>
        <v>-118744</v>
      </c>
      <c r="I32" s="984">
        <f>'3_Fin-Stat'!I39</f>
        <v>-154202</v>
      </c>
      <c r="J32" s="984">
        <f>'3_Fin-Stat'!J39</f>
        <v>-8228</v>
      </c>
      <c r="K32" s="984">
        <f>'3_Fin-Stat'!K39</f>
        <v>-72988</v>
      </c>
      <c r="L32" s="984">
        <f>'3_Fin-Stat'!L39</f>
        <v>-148127</v>
      </c>
      <c r="M32" s="984">
        <f>'3_Fin-Stat'!M39</f>
        <v>0</v>
      </c>
      <c r="N32" s="984">
        <f>'3_Fin-Stat'!N39</f>
        <v>0</v>
      </c>
      <c r="O32" s="984">
        <f>'3_Fin-Stat'!O39</f>
        <v>-129256</v>
      </c>
      <c r="P32" s="984">
        <f>'3_Fin-Stat'!P39</f>
        <v>-260394</v>
      </c>
      <c r="Q32" s="984">
        <f>'3_Fin-Stat'!Q39</f>
        <v>-2302</v>
      </c>
      <c r="R32" s="984">
        <f>'3_Fin-Stat'!R39</f>
        <v>-15287</v>
      </c>
      <c r="S32" s="984">
        <f>'3_Fin-Stat'!S39</f>
        <v>-224300</v>
      </c>
      <c r="T32" s="984">
        <f>'3_Fin-Stat'!T39</f>
        <v>-4000</v>
      </c>
      <c r="U32" s="984">
        <f>'3_Fin-Stat'!U39</f>
        <v>-184000</v>
      </c>
      <c r="V32" s="984">
        <f>'3_Fin-Stat'!V39</f>
        <v>0</v>
      </c>
      <c r="W32" s="984">
        <f>'3_Fin-Stat'!W39</f>
        <v>0</v>
      </c>
      <c r="X32" s="984">
        <f>'3_Fin-Stat'!X39</f>
        <v>-2000</v>
      </c>
      <c r="Y32" s="984">
        <f>'3_Fin-Stat'!Y39</f>
        <v>-238000</v>
      </c>
      <c r="Z32" s="984">
        <f>'3_Fin-Stat'!Z39</f>
        <v>-4000</v>
      </c>
      <c r="AA32" s="984">
        <f>'3_Fin-Stat'!AA39</f>
        <v>-250000</v>
      </c>
      <c r="AB32" s="81"/>
    </row>
    <row r="33" spans="1:28">
      <c r="A33" s="1020">
        <v>1610</v>
      </c>
      <c r="B33" s="1020"/>
      <c r="C33" s="1020" t="s">
        <v>320</v>
      </c>
      <c r="D33" s="1020"/>
      <c r="E33" s="1020"/>
      <c r="F33" s="1021">
        <f>'3_Fin-Stat'!F40</f>
        <v>-1264</v>
      </c>
      <c r="G33" s="1021">
        <f>'3_Fin-Stat'!G40</f>
        <v>-4741</v>
      </c>
      <c r="H33" s="1021">
        <f>'3_Fin-Stat'!H40</f>
        <v>-10435</v>
      </c>
      <c r="I33" s="1021">
        <f>'3_Fin-Stat'!I40</f>
        <v>-18127</v>
      </c>
      <c r="J33" s="1021">
        <f>'3_Fin-Stat'!J40</f>
        <v>-26868</v>
      </c>
      <c r="K33" s="1021">
        <f>'3_Fin-Stat'!K40</f>
        <v>-39225</v>
      </c>
      <c r="L33" s="1021">
        <f>'3_Fin-Stat'!L40</f>
        <v>-50345</v>
      </c>
      <c r="M33" s="1021">
        <f>'3_Fin-Stat'!M40</f>
        <v>-48418</v>
      </c>
      <c r="N33" s="1021">
        <f>'3_Fin-Stat'!N40</f>
        <v>-49196</v>
      </c>
      <c r="O33" s="1021">
        <f>'3_Fin-Stat'!O40</f>
        <v>-54148</v>
      </c>
      <c r="P33" s="1021">
        <f>'3_Fin-Stat'!P40</f>
        <v>-69501</v>
      </c>
      <c r="Q33" s="1021">
        <f>'3_Fin-Stat'!Q40</f>
        <v>-91701</v>
      </c>
      <c r="R33" s="1021">
        <f>'3_Fin-Stat'!R40</f>
        <v>-107054</v>
      </c>
      <c r="S33" s="1021">
        <f>'3_Fin-Stat'!S40</f>
        <v>-99000</v>
      </c>
      <c r="T33" s="1021">
        <f>'3_Fin-Stat'!T40</f>
        <v>-89000</v>
      </c>
      <c r="U33" s="1021">
        <f>'3_Fin-Stat'!U40</f>
        <v>-79000</v>
      </c>
      <c r="V33" s="1021">
        <f>'3_Fin-Stat'!V40</f>
        <v>-72000</v>
      </c>
      <c r="W33" s="1021">
        <f>'3_Fin-Stat'!W40</f>
        <v>-86000</v>
      </c>
      <c r="X33" s="1021">
        <f>'3_Fin-Stat'!X40</f>
        <v>-87000</v>
      </c>
      <c r="Y33" s="1021">
        <f>'3_Fin-Stat'!Y40</f>
        <v>-96000</v>
      </c>
      <c r="Z33" s="1021">
        <f>'3_Fin-Stat'!Z40</f>
        <v>-102000</v>
      </c>
      <c r="AA33" s="1021">
        <f>'3_Fin-Stat'!AA40</f>
        <v>-115000</v>
      </c>
      <c r="AB33" s="81"/>
    </row>
    <row r="34" spans="1:28">
      <c r="A34" s="1020"/>
      <c r="B34" s="1020"/>
      <c r="C34" s="1020" t="s">
        <v>322</v>
      </c>
      <c r="D34" s="1020"/>
      <c r="E34" s="1020"/>
      <c r="F34" s="1021">
        <f t="shared" ref="F34:AA34" si="7">SUM(F32:F33)</f>
        <v>-14688</v>
      </c>
      <c r="G34" s="1021">
        <f t="shared" si="7"/>
        <v>-62472</v>
      </c>
      <c r="H34" s="1021">
        <f t="shared" si="7"/>
        <v>-129179</v>
      </c>
      <c r="I34" s="1021">
        <f t="shared" si="7"/>
        <v>-172329</v>
      </c>
      <c r="J34" s="1021">
        <f t="shared" si="7"/>
        <v>-35096</v>
      </c>
      <c r="K34" s="1021">
        <f t="shared" si="7"/>
        <v>-112213</v>
      </c>
      <c r="L34" s="1021">
        <f t="shared" si="7"/>
        <v>-198472</v>
      </c>
      <c r="M34" s="1021">
        <f t="shared" si="7"/>
        <v>-48418</v>
      </c>
      <c r="N34" s="1021">
        <f t="shared" si="7"/>
        <v>-49196</v>
      </c>
      <c r="O34" s="1021">
        <f t="shared" si="7"/>
        <v>-183404</v>
      </c>
      <c r="P34" s="1021">
        <f t="shared" si="7"/>
        <v>-329895</v>
      </c>
      <c r="Q34" s="1021">
        <f t="shared" si="7"/>
        <v>-94003</v>
      </c>
      <c r="R34" s="1021">
        <f t="shared" si="7"/>
        <v>-122341</v>
      </c>
      <c r="S34" s="1021">
        <f t="shared" si="7"/>
        <v>-323300</v>
      </c>
      <c r="T34" s="1021">
        <f t="shared" si="7"/>
        <v>-93000</v>
      </c>
      <c r="U34" s="1021">
        <f t="shared" si="7"/>
        <v>-263000</v>
      </c>
      <c r="V34" s="1021">
        <f t="shared" si="7"/>
        <v>-72000</v>
      </c>
      <c r="W34" s="1021">
        <f t="shared" si="7"/>
        <v>-86000</v>
      </c>
      <c r="X34" s="1021">
        <f t="shared" si="7"/>
        <v>-89000</v>
      </c>
      <c r="Y34" s="1021">
        <f t="shared" si="7"/>
        <v>-334000</v>
      </c>
      <c r="Z34" s="1021">
        <f t="shared" si="7"/>
        <v>-106000</v>
      </c>
      <c r="AA34" s="1021">
        <f t="shared" si="7"/>
        <v>-365000</v>
      </c>
      <c r="AB34" s="13"/>
    </row>
    <row r="35" spans="1:28">
      <c r="A35" s="1020"/>
      <c r="B35" s="1020"/>
      <c r="C35" s="1020" t="s">
        <v>8</v>
      </c>
      <c r="D35" s="1020"/>
      <c r="E35" s="1020"/>
      <c r="F35" s="984">
        <f t="shared" ref="F35:AA35" si="8">F31+F34</f>
        <v>2075307</v>
      </c>
      <c r="G35" s="984">
        <f t="shared" si="8"/>
        <v>2199317</v>
      </c>
      <c r="H35" s="984">
        <f t="shared" si="8"/>
        <v>2373368</v>
      </c>
      <c r="I35" s="984">
        <f t="shared" si="8"/>
        <v>2386476</v>
      </c>
      <c r="J35" s="984">
        <f t="shared" si="8"/>
        <v>3494369</v>
      </c>
      <c r="K35" s="984">
        <f t="shared" si="8"/>
        <v>3581302</v>
      </c>
      <c r="L35" s="984">
        <f t="shared" si="8"/>
        <v>3796212</v>
      </c>
      <c r="M35" s="984">
        <f t="shared" si="8"/>
        <v>4791976</v>
      </c>
      <c r="N35" s="984">
        <f t="shared" si="8"/>
        <v>6315073</v>
      </c>
      <c r="O35" s="984">
        <f t="shared" si="8"/>
        <v>6432590</v>
      </c>
      <c r="P35" s="984">
        <f t="shared" si="8"/>
        <v>6743115</v>
      </c>
      <c r="Q35" s="984">
        <f t="shared" si="8"/>
        <v>8207327</v>
      </c>
      <c r="R35" s="984">
        <f t="shared" si="8"/>
        <v>7720807</v>
      </c>
      <c r="S35" s="984">
        <f t="shared" si="8"/>
        <v>7963600</v>
      </c>
      <c r="T35" s="984">
        <f t="shared" si="8"/>
        <v>6769000</v>
      </c>
      <c r="U35" s="984">
        <f t="shared" si="8"/>
        <v>6929000</v>
      </c>
      <c r="V35" s="984">
        <f t="shared" si="8"/>
        <v>7097000</v>
      </c>
      <c r="W35" s="984">
        <f t="shared" si="8"/>
        <v>7771000</v>
      </c>
      <c r="X35" s="984">
        <f t="shared" si="8"/>
        <v>7961000</v>
      </c>
      <c r="Y35" s="984">
        <f t="shared" si="8"/>
        <v>7941000</v>
      </c>
      <c r="Z35" s="984">
        <f t="shared" si="8"/>
        <v>8825000</v>
      </c>
      <c r="AA35" s="984">
        <f t="shared" si="8"/>
        <v>8594000</v>
      </c>
      <c r="AB35" s="776"/>
    </row>
    <row r="36" spans="1:28">
      <c r="A36" s="1020"/>
      <c r="B36" s="1020"/>
      <c r="C36" s="1020"/>
      <c r="D36" s="1020"/>
      <c r="E36" s="1020"/>
      <c r="F36" s="984"/>
      <c r="G36" s="984"/>
      <c r="H36" s="984"/>
      <c r="I36" s="984"/>
      <c r="J36" s="984"/>
      <c r="K36" s="984"/>
      <c r="L36" s="984"/>
      <c r="M36" s="984"/>
      <c r="N36" s="984"/>
      <c r="O36" s="984"/>
      <c r="P36" s="984"/>
      <c r="Q36" s="984"/>
      <c r="R36" s="984"/>
      <c r="S36" s="984"/>
      <c r="T36" s="984"/>
      <c r="U36" s="984"/>
      <c r="V36" s="984"/>
      <c r="W36" s="984"/>
      <c r="X36" s="984"/>
      <c r="Y36" s="984"/>
      <c r="Z36" s="984"/>
      <c r="AA36" s="984"/>
      <c r="AB36" s="776"/>
    </row>
    <row r="37" spans="1:28" ht="13.5" thickBot="1">
      <c r="A37" s="469"/>
      <c r="B37" s="471"/>
      <c r="C37" s="469" t="s">
        <v>323</v>
      </c>
      <c r="D37" s="469"/>
      <c r="E37" s="471"/>
      <c r="F37" s="1173">
        <f t="shared" ref="F37:AA37" si="9">F23+SUM(F24:F27)+F35</f>
        <v>2271673</v>
      </c>
      <c r="G37" s="1173">
        <f t="shared" si="9"/>
        <v>2358852</v>
      </c>
      <c r="H37" s="1173">
        <f t="shared" si="9"/>
        <v>2650055</v>
      </c>
      <c r="I37" s="1173">
        <f t="shared" si="9"/>
        <v>2632495</v>
      </c>
      <c r="J37" s="1173">
        <f t="shared" si="9"/>
        <v>4026903</v>
      </c>
      <c r="K37" s="1173">
        <f t="shared" si="9"/>
        <v>4145727</v>
      </c>
      <c r="L37" s="1173">
        <f t="shared" si="9"/>
        <v>4348625</v>
      </c>
      <c r="M37" s="1173">
        <f t="shared" si="9"/>
        <v>5385442</v>
      </c>
      <c r="N37" s="1173">
        <f t="shared" si="9"/>
        <v>6708791</v>
      </c>
      <c r="O37" s="1173">
        <f t="shared" si="9"/>
        <v>7197688</v>
      </c>
      <c r="P37" s="1173">
        <f t="shared" si="9"/>
        <v>7177268</v>
      </c>
      <c r="Q37" s="1173">
        <f t="shared" si="9"/>
        <v>8715599</v>
      </c>
      <c r="R37" s="1173">
        <f t="shared" si="9"/>
        <v>8459973</v>
      </c>
      <c r="S37" s="1173">
        <f t="shared" si="9"/>
        <v>8692800</v>
      </c>
      <c r="T37" s="1173">
        <f t="shared" si="9"/>
        <v>7737400</v>
      </c>
      <c r="U37" s="1173">
        <f t="shared" si="9"/>
        <v>7590000</v>
      </c>
      <c r="V37" s="1173">
        <f t="shared" si="9"/>
        <v>7568000</v>
      </c>
      <c r="W37" s="1173">
        <f t="shared" si="9"/>
        <v>8537000</v>
      </c>
      <c r="X37" s="1173">
        <f t="shared" si="9"/>
        <v>8682000</v>
      </c>
      <c r="Y37" s="1173">
        <f t="shared" si="9"/>
        <v>8632000</v>
      </c>
      <c r="Z37" s="1173">
        <f t="shared" si="9"/>
        <v>9657000</v>
      </c>
      <c r="AA37" s="1173">
        <f t="shared" si="9"/>
        <v>9623000</v>
      </c>
      <c r="AB37" s="776"/>
    </row>
    <row r="38" spans="1:28" ht="16.5" thickTop="1">
      <c r="A38" s="799" t="s">
        <v>0</v>
      </c>
      <c r="B38" s="799"/>
      <c r="C38" s="799"/>
      <c r="D38" s="1267"/>
      <c r="E38" s="1180" t="e">
        <f>'1_Contents'!#REF!</f>
        <v>#REF!</v>
      </c>
      <c r="F38" s="1476" t="e">
        <f>'1_Contents'!#REF!</f>
        <v>#REF!</v>
      </c>
      <c r="G38" s="1476"/>
      <c r="H38" s="989"/>
      <c r="I38" s="1478" t="s">
        <v>551</v>
      </c>
      <c r="J38" s="1478"/>
      <c r="K38" s="1478"/>
      <c r="L38" s="1477">
        <f ca="1">NOW()</f>
        <v>44487.543585879626</v>
      </c>
      <c r="M38" s="1477"/>
      <c r="N38" s="1477"/>
      <c r="O38" s="965"/>
      <c r="P38" s="911">
        <v>0.52708333333333335</v>
      </c>
      <c r="Q38" s="967"/>
      <c r="R38" s="868"/>
      <c r="S38" s="967"/>
      <c r="T38" s="967"/>
      <c r="U38" s="967"/>
      <c r="V38" s="967"/>
      <c r="W38" s="967"/>
      <c r="X38" s="967"/>
      <c r="Y38" s="968"/>
      <c r="Z38" s="967"/>
      <c r="AA38" s="959" t="s">
        <v>550</v>
      </c>
      <c r="AB38" s="776"/>
    </row>
    <row r="39" spans="1:28">
      <c r="A39" s="973" t="s">
        <v>325</v>
      </c>
      <c r="B39" s="803"/>
      <c r="C39" s="804"/>
      <c r="D39" s="804"/>
      <c r="E39" s="805"/>
      <c r="F39" s="798">
        <v>1999</v>
      </c>
      <c r="G39" s="798">
        <f t="shared" ref="G39:AA39" si="10">F39+1</f>
        <v>2000</v>
      </c>
      <c r="H39" s="798">
        <f t="shared" si="10"/>
        <v>2001</v>
      </c>
      <c r="I39" s="798">
        <f t="shared" si="10"/>
        <v>2002</v>
      </c>
      <c r="J39" s="798">
        <f t="shared" si="10"/>
        <v>2003</v>
      </c>
      <c r="K39" s="798">
        <f t="shared" si="10"/>
        <v>2004</v>
      </c>
      <c r="L39" s="798">
        <f t="shared" si="10"/>
        <v>2005</v>
      </c>
      <c r="M39" s="798">
        <f t="shared" si="10"/>
        <v>2006</v>
      </c>
      <c r="N39" s="798">
        <f t="shared" si="10"/>
        <v>2007</v>
      </c>
      <c r="O39" s="798">
        <f t="shared" si="10"/>
        <v>2008</v>
      </c>
      <c r="P39" s="798">
        <f t="shared" si="10"/>
        <v>2009</v>
      </c>
      <c r="Q39" s="798">
        <f t="shared" si="10"/>
        <v>2010</v>
      </c>
      <c r="R39" s="798">
        <f t="shared" si="10"/>
        <v>2011</v>
      </c>
      <c r="S39" s="798">
        <f t="shared" si="10"/>
        <v>2012</v>
      </c>
      <c r="T39" s="798">
        <f t="shared" si="10"/>
        <v>2013</v>
      </c>
      <c r="U39" s="798">
        <f t="shared" si="10"/>
        <v>2014</v>
      </c>
      <c r="V39" s="798">
        <f t="shared" si="10"/>
        <v>2015</v>
      </c>
      <c r="W39" s="798">
        <f t="shared" si="10"/>
        <v>2016</v>
      </c>
      <c r="X39" s="798">
        <f t="shared" si="10"/>
        <v>2017</v>
      </c>
      <c r="Y39" s="798">
        <f t="shared" si="10"/>
        <v>2018</v>
      </c>
      <c r="Z39" s="798">
        <f t="shared" si="10"/>
        <v>2019</v>
      </c>
      <c r="AA39" s="798">
        <f t="shared" si="10"/>
        <v>2020</v>
      </c>
      <c r="AB39" s="776"/>
    </row>
    <row r="40" spans="1:28">
      <c r="A40" s="1020">
        <v>2040</v>
      </c>
      <c r="B40" s="1020"/>
      <c r="C40" s="1020" t="s">
        <v>542</v>
      </c>
      <c r="D40" s="1020"/>
      <c r="E40" s="1020"/>
      <c r="F40" s="984">
        <f>'3_Fin-Stat'!F50+'3_Fin-Stat'!F56</f>
        <v>41728</v>
      </c>
      <c r="G40" s="984">
        <f>'3_Fin-Stat'!G50+'3_Fin-Stat'!G56</f>
        <v>64139</v>
      </c>
      <c r="H40" s="984">
        <f>'3_Fin-Stat'!H50+'3_Fin-Stat'!H56</f>
        <v>102775</v>
      </c>
      <c r="I40" s="984">
        <f>'3_Fin-Stat'!I50+'3_Fin-Stat'!I56</f>
        <v>7394</v>
      </c>
      <c r="J40" s="984">
        <f>'3_Fin-Stat'!J50+'3_Fin-Stat'!J56</f>
        <v>22807</v>
      </c>
      <c r="K40" s="984">
        <f>'3_Fin-Stat'!K50+'3_Fin-Stat'!K56</f>
        <v>38973</v>
      </c>
      <c r="L40" s="984">
        <f>'3_Fin-Stat'!L50+'3_Fin-Stat'!L56</f>
        <v>37722</v>
      </c>
      <c r="M40" s="984">
        <f>'3_Fin-Stat'!M50+'3_Fin-Stat'!M56</f>
        <v>9347</v>
      </c>
      <c r="N40" s="984">
        <f>'3_Fin-Stat'!N50+'3_Fin-Stat'!N56</f>
        <v>193707</v>
      </c>
      <c r="O40" s="984">
        <f>'3_Fin-Stat'!O50+'3_Fin-Stat'!O56</f>
        <v>6228</v>
      </c>
      <c r="P40" s="984">
        <f>'3_Fin-Stat'!P50+'3_Fin-Stat'!P56</f>
        <v>6218</v>
      </c>
      <c r="Q40" s="984">
        <f>'3_Fin-Stat'!Q50+'3_Fin-Stat'!Q56</f>
        <v>11065</v>
      </c>
      <c r="R40" s="984">
        <f>'3_Fin-Stat'!R50+'3_Fin-Stat'!R56</f>
        <v>16629</v>
      </c>
      <c r="S40" s="984">
        <f>'3_Fin-Stat'!S50+'3_Fin-Stat'!S56</f>
        <v>12500</v>
      </c>
      <c r="T40" s="984">
        <f>'3_Fin-Stat'!T50+'3_Fin-Stat'!T56</f>
        <v>10600</v>
      </c>
      <c r="U40" s="984">
        <f>'3_Fin-Stat'!U50+'3_Fin-Stat'!U56</f>
        <v>222000</v>
      </c>
      <c r="V40" s="984">
        <f>'3_Fin-Stat'!V50+'3_Fin-Stat'!V56</f>
        <v>193000</v>
      </c>
      <c r="W40" s="984">
        <f>'3_Fin-Stat'!W50+'3_Fin-Stat'!W56</f>
        <v>206000</v>
      </c>
      <c r="X40" s="984">
        <f>'3_Fin-Stat'!X50+'3_Fin-Stat'!X56</f>
        <v>289000</v>
      </c>
      <c r="Y40" s="984">
        <f>'3_Fin-Stat'!Y50+'3_Fin-Stat'!Y56</f>
        <v>268000</v>
      </c>
      <c r="Z40" s="984">
        <f>'3_Fin-Stat'!Z50+'3_Fin-Stat'!Z56</f>
        <v>304000</v>
      </c>
      <c r="AA40" s="984">
        <f>'3_Fin-Stat'!AA50+'3_Fin-Stat'!AA56</f>
        <v>371000</v>
      </c>
      <c r="AB40" s="776"/>
    </row>
    <row r="41" spans="1:28">
      <c r="A41" s="1020">
        <v>2100</v>
      </c>
      <c r="B41" s="1020"/>
      <c r="C41" s="1020" t="s">
        <v>327</v>
      </c>
      <c r="D41" s="1020"/>
      <c r="E41" s="1020"/>
      <c r="F41" s="984">
        <f>'3_Fin-Stat'!F51</f>
        <v>1286</v>
      </c>
      <c r="G41" s="984">
        <f>'3_Fin-Stat'!G51</f>
        <v>2363</v>
      </c>
      <c r="H41" s="984">
        <f>'3_Fin-Stat'!H51</f>
        <v>3050</v>
      </c>
      <c r="I41" s="984">
        <f>'3_Fin-Stat'!I51</f>
        <v>2820</v>
      </c>
      <c r="J41" s="984">
        <f>'3_Fin-Stat'!J51</f>
        <v>6642</v>
      </c>
      <c r="K41" s="984">
        <f>'3_Fin-Stat'!K51</f>
        <v>5067</v>
      </c>
      <c r="L41" s="984">
        <f>'3_Fin-Stat'!L51</f>
        <v>6609</v>
      </c>
      <c r="M41" s="984">
        <f>'3_Fin-Stat'!M51</f>
        <v>6510</v>
      </c>
      <c r="N41" s="984">
        <f>'3_Fin-Stat'!N51</f>
        <v>8592</v>
      </c>
      <c r="O41" s="984">
        <f>'3_Fin-Stat'!O51</f>
        <v>7116</v>
      </c>
      <c r="P41" s="984">
        <f>'3_Fin-Stat'!P51</f>
        <v>10595</v>
      </c>
      <c r="Q41" s="984">
        <f>'3_Fin-Stat'!Q51</f>
        <v>14582</v>
      </c>
      <c r="R41" s="984">
        <f>'3_Fin-Stat'!R51</f>
        <v>16018</v>
      </c>
      <c r="S41" s="984">
        <f>'3_Fin-Stat'!S51</f>
        <v>7100</v>
      </c>
      <c r="T41" s="984">
        <f>'3_Fin-Stat'!T51</f>
        <v>14900</v>
      </c>
      <c r="U41" s="984">
        <f>'3_Fin-Stat'!U51</f>
        <v>15000</v>
      </c>
      <c r="V41" s="984">
        <f>'3_Fin-Stat'!V51</f>
        <v>16000</v>
      </c>
      <c r="W41" s="984">
        <f>'3_Fin-Stat'!W51</f>
        <v>15000</v>
      </c>
      <c r="X41" s="984">
        <f>'3_Fin-Stat'!X51</f>
        <v>15000</v>
      </c>
      <c r="Y41" s="984">
        <f>'3_Fin-Stat'!Y51</f>
        <v>16000</v>
      </c>
      <c r="Z41" s="984">
        <f>'3_Fin-Stat'!Z51</f>
        <v>17000</v>
      </c>
      <c r="AA41" s="984">
        <f>'3_Fin-Stat'!AA51</f>
        <v>24000</v>
      </c>
      <c r="AB41" s="776"/>
    </row>
    <row r="42" spans="1:28">
      <c r="A42" s="1020">
        <v>2040</v>
      </c>
      <c r="B42" s="1020"/>
      <c r="C42" s="1020" t="s">
        <v>328</v>
      </c>
      <c r="D42" s="1020"/>
      <c r="E42" s="1020"/>
      <c r="F42" s="984">
        <f>'3_Fin-Stat'!F52+'3_Fin-Stat'!F53</f>
        <v>9352</v>
      </c>
      <c r="G42" s="984">
        <f>'3_Fin-Stat'!G52+'3_Fin-Stat'!G53</f>
        <v>12420</v>
      </c>
      <c r="H42" s="984">
        <f>'3_Fin-Stat'!H52+'3_Fin-Stat'!H53</f>
        <v>3900</v>
      </c>
      <c r="I42" s="984">
        <f>'3_Fin-Stat'!I52+'3_Fin-Stat'!I53</f>
        <v>940</v>
      </c>
      <c r="J42" s="984">
        <f>'3_Fin-Stat'!J52+'3_Fin-Stat'!J53</f>
        <v>22334</v>
      </c>
      <c r="K42" s="984">
        <f>'3_Fin-Stat'!K52+'3_Fin-Stat'!K53</f>
        <v>47167</v>
      </c>
      <c r="L42" s="984">
        <f>'3_Fin-Stat'!L52+'3_Fin-Stat'!L53</f>
        <v>57713</v>
      </c>
      <c r="M42" s="984">
        <f>'3_Fin-Stat'!M52+'3_Fin-Stat'!M53</f>
        <v>5596</v>
      </c>
      <c r="N42" s="984">
        <f>'3_Fin-Stat'!N52+'3_Fin-Stat'!N53</f>
        <v>5603</v>
      </c>
      <c r="O42" s="984">
        <f>'3_Fin-Stat'!O52+'3_Fin-Stat'!O53</f>
        <v>6038</v>
      </c>
      <c r="P42" s="984">
        <f>'3_Fin-Stat'!P52+'3_Fin-Stat'!P53</f>
        <v>9516</v>
      </c>
      <c r="Q42" s="984">
        <f>'3_Fin-Stat'!Q52+'3_Fin-Stat'!Q53</f>
        <v>9600</v>
      </c>
      <c r="R42" s="984">
        <f>'3_Fin-Stat'!R52+'3_Fin-Stat'!R53</f>
        <v>4140</v>
      </c>
      <c r="S42" s="984">
        <f>'3_Fin-Stat'!S52+'3_Fin-Stat'!S53</f>
        <v>5100</v>
      </c>
      <c r="T42" s="984">
        <f>'3_Fin-Stat'!T52+'3_Fin-Stat'!T53</f>
        <v>8300</v>
      </c>
      <c r="U42" s="984">
        <f>'3_Fin-Stat'!U52+'3_Fin-Stat'!U53</f>
        <v>0</v>
      </c>
      <c r="V42" s="984">
        <f>'3_Fin-Stat'!V52+'3_Fin-Stat'!V53</f>
        <v>0</v>
      </c>
      <c r="W42" s="984">
        <f>'3_Fin-Stat'!W52+'3_Fin-Stat'!W53</f>
        <v>0</v>
      </c>
      <c r="X42" s="984">
        <f>'3_Fin-Stat'!X52+'3_Fin-Stat'!X53</f>
        <v>0</v>
      </c>
      <c r="Y42" s="984">
        <f>'3_Fin-Stat'!Y52+'3_Fin-Stat'!Y53</f>
        <v>0</v>
      </c>
      <c r="Z42" s="984">
        <f>'3_Fin-Stat'!Z52+'3_Fin-Stat'!Z53</f>
        <v>0</v>
      </c>
      <c r="AA42" s="984">
        <f>'3_Fin-Stat'!AA52+'3_Fin-Stat'!AA53</f>
        <v>0</v>
      </c>
      <c r="AB42" s="776"/>
    </row>
    <row r="43" spans="1:28">
      <c r="A43" s="1020">
        <v>2050</v>
      </c>
      <c r="B43" s="1020"/>
      <c r="C43" s="1020" t="s">
        <v>331</v>
      </c>
      <c r="D43" s="1020"/>
      <c r="E43" s="1020"/>
      <c r="F43" s="984">
        <f>'3_Fin-Stat'!F55</f>
        <v>20877</v>
      </c>
      <c r="G43" s="984">
        <f>'3_Fin-Stat'!G55</f>
        <v>66726</v>
      </c>
      <c r="H43" s="984">
        <f>'3_Fin-Stat'!H55</f>
        <v>148717</v>
      </c>
      <c r="I43" s="984">
        <f>'3_Fin-Stat'!I55</f>
        <v>89198</v>
      </c>
      <c r="J43" s="984">
        <f>'3_Fin-Stat'!J55</f>
        <v>153040</v>
      </c>
      <c r="K43" s="984">
        <f>'3_Fin-Stat'!K55</f>
        <v>166865</v>
      </c>
      <c r="L43" s="984">
        <f>'3_Fin-Stat'!L55</f>
        <v>191539</v>
      </c>
      <c r="M43" s="984">
        <f>'3_Fin-Stat'!M55</f>
        <v>165160</v>
      </c>
      <c r="N43" s="984">
        <f>'3_Fin-Stat'!N55</f>
        <v>0</v>
      </c>
      <c r="O43" s="984">
        <f>'3_Fin-Stat'!O55</f>
        <v>522672</v>
      </c>
      <c r="P43" s="984">
        <f>'3_Fin-Stat'!P55</f>
        <v>134421</v>
      </c>
      <c r="Q43" s="984">
        <f>'3_Fin-Stat'!Q55</f>
        <v>155636</v>
      </c>
      <c r="R43" s="984">
        <f>'3_Fin-Stat'!R55</f>
        <v>166937</v>
      </c>
      <c r="S43" s="984">
        <f>'3_Fin-Stat'!S55</f>
        <v>250400</v>
      </c>
      <c r="T43" s="984">
        <f>'3_Fin-Stat'!T55</f>
        <v>230300</v>
      </c>
      <c r="U43" s="984">
        <f>'3_Fin-Stat'!U55</f>
        <v>0</v>
      </c>
      <c r="V43" s="984">
        <f>'3_Fin-Stat'!V55</f>
        <v>0</v>
      </c>
      <c r="W43" s="984">
        <f>'3_Fin-Stat'!W55</f>
        <v>0</v>
      </c>
      <c r="X43" s="984">
        <f>'3_Fin-Stat'!X55</f>
        <v>0</v>
      </c>
      <c r="Y43" s="984">
        <f>'3_Fin-Stat'!Y55</f>
        <v>0</v>
      </c>
      <c r="Z43" s="984">
        <f>'3_Fin-Stat'!Z55</f>
        <v>0</v>
      </c>
      <c r="AA43" s="984">
        <f>'3_Fin-Stat'!AA55</f>
        <v>0</v>
      </c>
      <c r="AB43" s="776"/>
    </row>
    <row r="44" spans="1:28">
      <c r="A44" s="1020">
        <v>2060</v>
      </c>
      <c r="B44" s="1020"/>
      <c r="C44" s="1020" t="s">
        <v>333</v>
      </c>
      <c r="D44" s="1020"/>
      <c r="E44" s="1020"/>
      <c r="F44" s="984">
        <f>'3_Fin-Stat'!F57</f>
        <v>4209</v>
      </c>
      <c r="G44" s="984">
        <f>'3_Fin-Stat'!G57</f>
        <v>1788</v>
      </c>
      <c r="H44" s="984">
        <f>'3_Fin-Stat'!H57</f>
        <v>5759</v>
      </c>
      <c r="I44" s="984">
        <f>'3_Fin-Stat'!I57</f>
        <v>1636</v>
      </c>
      <c r="J44" s="984">
        <f>'3_Fin-Stat'!J57</f>
        <v>886</v>
      </c>
      <c r="K44" s="984">
        <f>'3_Fin-Stat'!K57</f>
        <v>-3381</v>
      </c>
      <c r="L44" s="984">
        <f>'3_Fin-Stat'!L57</f>
        <v>5378</v>
      </c>
      <c r="M44" s="984">
        <f>'3_Fin-Stat'!M57</f>
        <v>6523</v>
      </c>
      <c r="N44" s="984">
        <f>'3_Fin-Stat'!N57</f>
        <v>6478</v>
      </c>
      <c r="O44" s="984">
        <f>'3_Fin-Stat'!O57</f>
        <v>5510</v>
      </c>
      <c r="P44" s="984">
        <f>'3_Fin-Stat'!P57</f>
        <v>9722</v>
      </c>
      <c r="Q44" s="984">
        <f>'3_Fin-Stat'!Q57</f>
        <v>10731</v>
      </c>
      <c r="R44" s="984">
        <f>'3_Fin-Stat'!R57</f>
        <v>13280</v>
      </c>
      <c r="S44" s="984">
        <f>'3_Fin-Stat'!S57</f>
        <v>11000</v>
      </c>
      <c r="T44" s="984">
        <f>'3_Fin-Stat'!T57</f>
        <v>10600</v>
      </c>
      <c r="U44" s="984">
        <f>'3_Fin-Stat'!U57</f>
        <v>0</v>
      </c>
      <c r="V44" s="984">
        <f>'3_Fin-Stat'!V57</f>
        <v>0</v>
      </c>
      <c r="W44" s="984">
        <f>'3_Fin-Stat'!W57</f>
        <v>0</v>
      </c>
      <c r="X44" s="984">
        <f>'3_Fin-Stat'!X57</f>
        <v>0</v>
      </c>
      <c r="Y44" s="984">
        <f>'3_Fin-Stat'!Y57</f>
        <v>0</v>
      </c>
      <c r="Z44" s="984">
        <f>'3_Fin-Stat'!Z57</f>
        <v>0</v>
      </c>
      <c r="AA44" s="984">
        <f>'3_Fin-Stat'!AA57</f>
        <v>0</v>
      </c>
      <c r="AB44" s="776"/>
    </row>
    <row r="45" spans="1:28">
      <c r="A45" s="1020">
        <v>2050</v>
      </c>
      <c r="B45" s="1020"/>
      <c r="C45" s="1020" t="s">
        <v>543</v>
      </c>
      <c r="D45" s="1020"/>
      <c r="E45" s="1020"/>
      <c r="F45" s="984">
        <f>'3_Fin-Stat'!F58+'3_Fin-Stat'!F61+'3_Fin-Stat'!F67</f>
        <v>0</v>
      </c>
      <c r="G45" s="984">
        <f>'3_Fin-Stat'!G58+'3_Fin-Stat'!G61+'3_Fin-Stat'!G67</f>
        <v>0</v>
      </c>
      <c r="H45" s="984">
        <f>'3_Fin-Stat'!H58+'3_Fin-Stat'!H61+'3_Fin-Stat'!H67</f>
        <v>0</v>
      </c>
      <c r="I45" s="984">
        <f>'3_Fin-Stat'!I58+'3_Fin-Stat'!I61+'3_Fin-Stat'!I67</f>
        <v>0</v>
      </c>
      <c r="J45" s="984">
        <f>'3_Fin-Stat'!J58+'3_Fin-Stat'!J61+'3_Fin-Stat'!J67</f>
        <v>0</v>
      </c>
      <c r="K45" s="984">
        <f>'3_Fin-Stat'!K58+'3_Fin-Stat'!K61+'3_Fin-Stat'!K67</f>
        <v>0</v>
      </c>
      <c r="L45" s="984">
        <f>'3_Fin-Stat'!L58+'3_Fin-Stat'!L61+'3_Fin-Stat'!L67</f>
        <v>0</v>
      </c>
      <c r="M45" s="984">
        <f>'3_Fin-Stat'!M58+'3_Fin-Stat'!M61+'3_Fin-Stat'!M67</f>
        <v>0</v>
      </c>
      <c r="N45" s="984">
        <f>'3_Fin-Stat'!N58+'3_Fin-Stat'!N61+'3_Fin-Stat'!N67</f>
        <v>3440</v>
      </c>
      <c r="O45" s="984">
        <f>'3_Fin-Stat'!O58+'3_Fin-Stat'!O61+'3_Fin-Stat'!O67</f>
        <v>2078</v>
      </c>
      <c r="P45" s="984">
        <f>'3_Fin-Stat'!P58+'3_Fin-Stat'!P61+'3_Fin-Stat'!P67</f>
        <v>1566</v>
      </c>
      <c r="Q45" s="984">
        <f>'3_Fin-Stat'!Q58+'3_Fin-Stat'!Q61+'3_Fin-Stat'!Q67</f>
        <v>751</v>
      </c>
      <c r="R45" s="984">
        <f>'3_Fin-Stat'!R58+'3_Fin-Stat'!R61+'3_Fin-Stat'!R67</f>
        <v>94</v>
      </c>
      <c r="S45" s="984">
        <f>'3_Fin-Stat'!S58+'3_Fin-Stat'!S61+'3_Fin-Stat'!S67</f>
        <v>800</v>
      </c>
      <c r="T45" s="984">
        <f>'3_Fin-Stat'!T58+'3_Fin-Stat'!T61+'3_Fin-Stat'!T67</f>
        <v>2800</v>
      </c>
      <c r="U45" s="984">
        <f>'3_Fin-Stat'!U58+'3_Fin-Stat'!U61+'3_Fin-Stat'!U67</f>
        <v>8000</v>
      </c>
      <c r="V45" s="984">
        <f>'3_Fin-Stat'!V58+'3_Fin-Stat'!V61+'3_Fin-Stat'!V67</f>
        <v>8000</v>
      </c>
      <c r="W45" s="984">
        <f>'3_Fin-Stat'!W58+'3_Fin-Stat'!W61+'3_Fin-Stat'!W67</f>
        <v>8000</v>
      </c>
      <c r="X45" s="984">
        <f>'3_Fin-Stat'!X58+'3_Fin-Stat'!X61+'3_Fin-Stat'!X67</f>
        <v>9000</v>
      </c>
      <c r="Y45" s="984">
        <f>'3_Fin-Stat'!Y58+'3_Fin-Stat'!Y61+'3_Fin-Stat'!Y67</f>
        <v>9000</v>
      </c>
      <c r="Z45" s="984">
        <f>'3_Fin-Stat'!Z58+'3_Fin-Stat'!Z61+'3_Fin-Stat'!Z67</f>
        <v>9000</v>
      </c>
      <c r="AA45" s="984">
        <f>'3_Fin-Stat'!AA58+'3_Fin-Stat'!AA61+'3_Fin-Stat'!AA67</f>
        <v>17000</v>
      </c>
      <c r="AB45" s="776"/>
    </row>
    <row r="46" spans="1:28">
      <c r="A46" s="1020"/>
      <c r="B46" s="1020"/>
      <c r="C46" s="1020" t="s">
        <v>330</v>
      </c>
      <c r="D46" s="1020"/>
      <c r="E46" s="1020"/>
      <c r="F46" s="984">
        <f>'3_Fin-Stat'!F54</f>
        <v>0</v>
      </c>
      <c r="G46" s="984">
        <f>'3_Fin-Stat'!G54</f>
        <v>0</v>
      </c>
      <c r="H46" s="984">
        <f>'3_Fin-Stat'!H54</f>
        <v>0</v>
      </c>
      <c r="I46" s="984">
        <f>'3_Fin-Stat'!I54</f>
        <v>0</v>
      </c>
      <c r="J46" s="984">
        <f>'3_Fin-Stat'!J54</f>
        <v>0</v>
      </c>
      <c r="K46" s="984">
        <f>'3_Fin-Stat'!K54</f>
        <v>0</v>
      </c>
      <c r="L46" s="984">
        <f>'3_Fin-Stat'!L54</f>
        <v>0</v>
      </c>
      <c r="M46" s="984">
        <f>'3_Fin-Stat'!M54</f>
        <v>0</v>
      </c>
      <c r="N46" s="984">
        <f>'3_Fin-Stat'!N54</f>
        <v>0</v>
      </c>
      <c r="O46" s="984">
        <f>'3_Fin-Stat'!O54</f>
        <v>0</v>
      </c>
      <c r="P46" s="984">
        <f>'3_Fin-Stat'!P54</f>
        <v>0</v>
      </c>
      <c r="Q46" s="984">
        <f>'3_Fin-Stat'!Q54</f>
        <v>0</v>
      </c>
      <c r="R46" s="984">
        <f>'3_Fin-Stat'!R54</f>
        <v>0</v>
      </c>
      <c r="S46" s="984">
        <f>'3_Fin-Stat'!S54</f>
        <v>0</v>
      </c>
      <c r="T46" s="984">
        <f>'3_Fin-Stat'!T54</f>
        <v>0</v>
      </c>
      <c r="U46" s="984">
        <f>'3_Fin-Stat'!U54</f>
        <v>0</v>
      </c>
      <c r="V46" s="984">
        <f>'3_Fin-Stat'!V54</f>
        <v>0</v>
      </c>
      <c r="W46" s="984">
        <f>'3_Fin-Stat'!W54</f>
        <v>0</v>
      </c>
      <c r="X46" s="984">
        <f>'3_Fin-Stat'!X54</f>
        <v>8000</v>
      </c>
      <c r="Y46" s="984">
        <f>'3_Fin-Stat'!Y54</f>
        <v>14000</v>
      </c>
      <c r="Z46" s="984">
        <f>'3_Fin-Stat'!Z54</f>
        <v>16000</v>
      </c>
      <c r="AA46" s="984">
        <f>'3_Fin-Stat'!AA54</f>
        <v>23000</v>
      </c>
      <c r="AB46" s="776"/>
    </row>
    <row r="47" spans="1:28">
      <c r="A47" s="1020">
        <v>2370</v>
      </c>
      <c r="B47" s="1020"/>
      <c r="C47" s="1020" t="s">
        <v>309</v>
      </c>
      <c r="D47" s="1020"/>
      <c r="E47" s="1020"/>
      <c r="F47" s="984">
        <f>'3_Fin-Stat'!F59</f>
        <v>0</v>
      </c>
      <c r="G47" s="984">
        <f>'3_Fin-Stat'!G59</f>
        <v>0</v>
      </c>
      <c r="H47" s="984">
        <f>'3_Fin-Stat'!H59</f>
        <v>0</v>
      </c>
      <c r="I47" s="984">
        <f>'3_Fin-Stat'!I59</f>
        <v>0</v>
      </c>
      <c r="J47" s="984">
        <f>'3_Fin-Stat'!J59</f>
        <v>0</v>
      </c>
      <c r="K47" s="984">
        <f>'3_Fin-Stat'!K59</f>
        <v>0</v>
      </c>
      <c r="L47" s="984">
        <f>'3_Fin-Stat'!L59</f>
        <v>0</v>
      </c>
      <c r="M47" s="984">
        <f>'3_Fin-Stat'!M59</f>
        <v>0</v>
      </c>
      <c r="N47" s="984">
        <f>'3_Fin-Stat'!N59</f>
        <v>3033</v>
      </c>
      <c r="O47" s="984">
        <f>'3_Fin-Stat'!O59</f>
        <v>114454</v>
      </c>
      <c r="P47" s="984">
        <f>'3_Fin-Stat'!P59</f>
        <v>87915</v>
      </c>
      <c r="Q47" s="984">
        <f>'3_Fin-Stat'!Q59</f>
        <v>106229</v>
      </c>
      <c r="R47" s="984">
        <f>'3_Fin-Stat'!R59</f>
        <v>142449</v>
      </c>
      <c r="S47" s="984">
        <f>'3_Fin-Stat'!S59</f>
        <v>78200</v>
      </c>
      <c r="T47" s="984">
        <f>'3_Fin-Stat'!T59</f>
        <v>70500</v>
      </c>
      <c r="U47" s="984">
        <f>'3_Fin-Stat'!U59</f>
        <v>50000</v>
      </c>
      <c r="V47" s="984">
        <f>'3_Fin-Stat'!V59</f>
        <v>42000</v>
      </c>
      <c r="W47" s="984">
        <f>'3_Fin-Stat'!W59</f>
        <v>85000</v>
      </c>
      <c r="X47" s="984">
        <f>'3_Fin-Stat'!X59</f>
        <v>77000</v>
      </c>
      <c r="Y47" s="984">
        <f>'3_Fin-Stat'!Y59</f>
        <v>67000</v>
      </c>
      <c r="Z47" s="984">
        <f>'3_Fin-Stat'!Z59</f>
        <v>61000</v>
      </c>
      <c r="AA47" s="984">
        <f>'3_Fin-Stat'!AA59</f>
        <v>104000</v>
      </c>
      <c r="AB47" s="776"/>
    </row>
    <row r="48" spans="1:28">
      <c r="A48" s="1020"/>
      <c r="B48" s="1020"/>
      <c r="C48" s="1020" t="s">
        <v>335</v>
      </c>
      <c r="D48" s="1020"/>
      <c r="E48" s="1020"/>
      <c r="F48" s="984">
        <f>'3_Fin-Stat'!F60</f>
        <v>489</v>
      </c>
      <c r="G48" s="984">
        <f>'3_Fin-Stat'!G60</f>
        <v>-7608</v>
      </c>
      <c r="H48" s="984">
        <f>'3_Fin-Stat'!H60</f>
        <v>0</v>
      </c>
      <c r="I48" s="984">
        <f>'3_Fin-Stat'!I60</f>
        <v>0</v>
      </c>
      <c r="J48" s="984">
        <f>'3_Fin-Stat'!J60</f>
        <v>0</v>
      </c>
      <c r="K48" s="984">
        <f>'3_Fin-Stat'!K60</f>
        <v>2545</v>
      </c>
      <c r="L48" s="984">
        <f>'3_Fin-Stat'!L60</f>
        <v>2257</v>
      </c>
      <c r="M48" s="984">
        <f>'3_Fin-Stat'!M60</f>
        <v>2085</v>
      </c>
      <c r="N48" s="984">
        <f>'3_Fin-Stat'!N60</f>
        <v>0</v>
      </c>
      <c r="O48" s="984">
        <f>'3_Fin-Stat'!O60</f>
        <v>0</v>
      </c>
      <c r="P48" s="984">
        <f>'3_Fin-Stat'!P60</f>
        <v>28041</v>
      </c>
      <c r="Q48" s="984">
        <f>'3_Fin-Stat'!Q60</f>
        <v>31633</v>
      </c>
      <c r="R48" s="984">
        <f>'3_Fin-Stat'!R60</f>
        <v>36608</v>
      </c>
      <c r="S48" s="984">
        <f>'3_Fin-Stat'!S60</f>
        <v>6000</v>
      </c>
      <c r="T48" s="984">
        <f>'3_Fin-Stat'!T60</f>
        <v>51300</v>
      </c>
      <c r="U48" s="984">
        <f>'3_Fin-Stat'!U60</f>
        <v>57000</v>
      </c>
      <c r="V48" s="984">
        <f>'3_Fin-Stat'!V60</f>
        <v>22000</v>
      </c>
      <c r="W48" s="984">
        <f>'3_Fin-Stat'!W60</f>
        <v>30000</v>
      </c>
      <c r="X48" s="984">
        <f>'3_Fin-Stat'!X60</f>
        <v>30000</v>
      </c>
      <c r="Y48" s="984">
        <f>'3_Fin-Stat'!Y60</f>
        <v>43000</v>
      </c>
      <c r="Z48" s="984">
        <f>'3_Fin-Stat'!Z60</f>
        <v>80000</v>
      </c>
      <c r="AA48" s="984">
        <f>'3_Fin-Stat'!AA60</f>
        <v>79000</v>
      </c>
      <c r="AB48" s="776"/>
    </row>
    <row r="49" spans="1:28">
      <c r="A49" s="1020">
        <v>2090</v>
      </c>
      <c r="B49" s="1020"/>
      <c r="C49" s="1020" t="s">
        <v>337</v>
      </c>
      <c r="D49" s="1020"/>
      <c r="E49" s="1020"/>
      <c r="F49" s="984">
        <f>'3_Fin-Stat'!F62</f>
        <v>99952</v>
      </c>
      <c r="G49" s="984">
        <f>'3_Fin-Stat'!G62</f>
        <v>29393</v>
      </c>
      <c r="H49" s="984">
        <f>'3_Fin-Stat'!H62</f>
        <v>142479</v>
      </c>
      <c r="I49" s="984">
        <f>'3_Fin-Stat'!I62</f>
        <v>0</v>
      </c>
      <c r="J49" s="984">
        <f>'3_Fin-Stat'!J62</f>
        <v>0</v>
      </c>
      <c r="K49" s="984">
        <f>'3_Fin-Stat'!K62</f>
        <v>0</v>
      </c>
      <c r="L49" s="984">
        <f>'3_Fin-Stat'!L62</f>
        <v>0</v>
      </c>
      <c r="M49" s="984">
        <f>'3_Fin-Stat'!M62</f>
        <v>0</v>
      </c>
      <c r="N49" s="984">
        <f>'3_Fin-Stat'!N62</f>
        <v>0</v>
      </c>
      <c r="O49" s="984">
        <f>'3_Fin-Stat'!O62</f>
        <v>0</v>
      </c>
      <c r="P49" s="984">
        <f>'3_Fin-Stat'!P62</f>
        <v>0</v>
      </c>
      <c r="Q49" s="984">
        <f>'3_Fin-Stat'!Q62</f>
        <v>0</v>
      </c>
      <c r="R49" s="984">
        <f>'3_Fin-Stat'!R62</f>
        <v>0</v>
      </c>
      <c r="S49" s="984">
        <f>'3_Fin-Stat'!S62</f>
        <v>0</v>
      </c>
      <c r="T49" s="984">
        <f>'3_Fin-Stat'!T62</f>
        <v>0</v>
      </c>
      <c r="U49" s="984">
        <f>'3_Fin-Stat'!U62</f>
        <v>0</v>
      </c>
      <c r="V49" s="984">
        <f>'3_Fin-Stat'!V62</f>
        <v>0</v>
      </c>
      <c r="W49" s="984">
        <f>'3_Fin-Stat'!W62</f>
        <v>0</v>
      </c>
      <c r="X49" s="984">
        <f>'3_Fin-Stat'!X62</f>
        <v>0</v>
      </c>
      <c r="Y49" s="984">
        <f>'3_Fin-Stat'!Y62</f>
        <v>0</v>
      </c>
      <c r="Z49" s="984">
        <f>'3_Fin-Stat'!Z62</f>
        <v>0</v>
      </c>
      <c r="AA49" s="984">
        <f>'3_Fin-Stat'!AA62</f>
        <v>0</v>
      </c>
      <c r="AB49" s="776"/>
    </row>
    <row r="50" spans="1:28">
      <c r="A50" s="1020">
        <v>2000</v>
      </c>
      <c r="B50" s="1020"/>
      <c r="C50" s="1020" t="s">
        <v>338</v>
      </c>
      <c r="D50" s="1020"/>
      <c r="E50" s="1020"/>
      <c r="F50" s="1021">
        <f>'3_Fin-Stat'!F63</f>
        <v>49500</v>
      </c>
      <c r="G50" s="1021">
        <f>'3_Fin-Stat'!G63</f>
        <v>23198</v>
      </c>
      <c r="H50" s="1021">
        <f>'3_Fin-Stat'!H63</f>
        <v>378371</v>
      </c>
      <c r="I50" s="1021">
        <f>'3_Fin-Stat'!I63</f>
        <v>184731</v>
      </c>
      <c r="J50" s="1021">
        <f>'3_Fin-Stat'!J63</f>
        <v>723098</v>
      </c>
      <c r="K50" s="1021">
        <f>'3_Fin-Stat'!K63</f>
        <v>158310</v>
      </c>
      <c r="L50" s="1021">
        <f>'3_Fin-Stat'!L63</f>
        <v>370141</v>
      </c>
      <c r="M50" s="1021">
        <f>'3_Fin-Stat'!M63</f>
        <v>0</v>
      </c>
      <c r="N50" s="1021">
        <f>'3_Fin-Stat'!N63</f>
        <v>0</v>
      </c>
      <c r="O50" s="1021">
        <f>'3_Fin-Stat'!O63</f>
        <v>149808</v>
      </c>
      <c r="P50" s="1021">
        <f>'3_Fin-Stat'!P63</f>
        <v>123166</v>
      </c>
      <c r="Q50" s="1021">
        <f>'3_Fin-Stat'!Q63</f>
        <v>284417</v>
      </c>
      <c r="R50" s="1021">
        <f>'3_Fin-Stat'!R63</f>
        <v>298167</v>
      </c>
      <c r="S50" s="1021">
        <f>'3_Fin-Stat'!S63</f>
        <v>247900</v>
      </c>
      <c r="T50" s="1021">
        <f>'3_Fin-Stat'!T63</f>
        <v>146700</v>
      </c>
      <c r="U50" s="1021">
        <f>'3_Fin-Stat'!U63</f>
        <v>133000</v>
      </c>
      <c r="V50" s="1021">
        <f>'3_Fin-Stat'!V63</f>
        <v>213000</v>
      </c>
      <c r="W50" s="1021">
        <f>'3_Fin-Stat'!W63</f>
        <v>214000</v>
      </c>
      <c r="X50" s="1021">
        <f>'3_Fin-Stat'!X63</f>
        <v>170000</v>
      </c>
      <c r="Y50" s="1021">
        <f>'3_Fin-Stat'!Y63</f>
        <v>450000</v>
      </c>
      <c r="Z50" s="1021">
        <f>'3_Fin-Stat'!Z63</f>
        <v>167000</v>
      </c>
      <c r="AA50" s="1021">
        <f>'3_Fin-Stat'!AA63</f>
        <v>88000</v>
      </c>
      <c r="AB50" s="776"/>
    </row>
    <row r="51" spans="1:28">
      <c r="A51" s="1020"/>
      <c r="B51" s="1020"/>
      <c r="C51" s="1020"/>
      <c r="D51" s="1020"/>
      <c r="E51" s="1020"/>
      <c r="F51" s="984">
        <f t="shared" ref="F51:AA51" si="11">SUM(F40:F50)</f>
        <v>227393</v>
      </c>
      <c r="G51" s="984">
        <f t="shared" si="11"/>
        <v>192419</v>
      </c>
      <c r="H51" s="984">
        <f t="shared" si="11"/>
        <v>785051</v>
      </c>
      <c r="I51" s="984">
        <f t="shared" si="11"/>
        <v>286719</v>
      </c>
      <c r="J51" s="984">
        <f t="shared" si="11"/>
        <v>928807</v>
      </c>
      <c r="K51" s="984">
        <f t="shared" si="11"/>
        <v>415546</v>
      </c>
      <c r="L51" s="984">
        <f t="shared" si="11"/>
        <v>671359</v>
      </c>
      <c r="M51" s="984">
        <f t="shared" si="11"/>
        <v>195221</v>
      </c>
      <c r="N51" s="984">
        <f t="shared" si="11"/>
        <v>220853</v>
      </c>
      <c r="O51" s="984">
        <f t="shared" si="11"/>
        <v>813904</v>
      </c>
      <c r="P51" s="984">
        <f t="shared" si="11"/>
        <v>411160</v>
      </c>
      <c r="Q51" s="984">
        <f t="shared" si="11"/>
        <v>624644</v>
      </c>
      <c r="R51" s="984">
        <f t="shared" si="11"/>
        <v>694322</v>
      </c>
      <c r="S51" s="984">
        <f t="shared" si="11"/>
        <v>619000</v>
      </c>
      <c r="T51" s="984">
        <f t="shared" si="11"/>
        <v>546000</v>
      </c>
      <c r="U51" s="984">
        <f t="shared" si="11"/>
        <v>485000</v>
      </c>
      <c r="V51" s="984">
        <f t="shared" si="11"/>
        <v>494000</v>
      </c>
      <c r="W51" s="984">
        <f t="shared" si="11"/>
        <v>558000</v>
      </c>
      <c r="X51" s="984">
        <f t="shared" si="11"/>
        <v>598000</v>
      </c>
      <c r="Y51" s="984">
        <f t="shared" si="11"/>
        <v>867000</v>
      </c>
      <c r="Z51" s="984">
        <f t="shared" si="11"/>
        <v>654000</v>
      </c>
      <c r="AA51" s="984">
        <f t="shared" si="11"/>
        <v>706000</v>
      </c>
      <c r="AB51" s="776"/>
    </row>
    <row r="52" spans="1:28">
      <c r="A52" s="1020">
        <v>2710</v>
      </c>
      <c r="B52" s="1020"/>
      <c r="C52" s="1020" t="s">
        <v>544</v>
      </c>
      <c r="D52" s="1020"/>
      <c r="E52" s="1020"/>
      <c r="F52" s="984">
        <f>'3_Fin-Stat'!F66</f>
        <v>5014</v>
      </c>
      <c r="G52" s="984">
        <f>'3_Fin-Stat'!G66</f>
        <v>28728</v>
      </c>
      <c r="H52" s="984">
        <f>'3_Fin-Stat'!H66</f>
        <v>66401</v>
      </c>
      <c r="I52" s="984">
        <f>'3_Fin-Stat'!I66</f>
        <v>92031</v>
      </c>
      <c r="J52" s="984">
        <f>'3_Fin-Stat'!J66</f>
        <v>138871</v>
      </c>
      <c r="K52" s="984">
        <f>'3_Fin-Stat'!K66</f>
        <v>145260</v>
      </c>
      <c r="L52" s="984">
        <f>'3_Fin-Stat'!L66</f>
        <v>179168</v>
      </c>
      <c r="M52" s="984">
        <f>'3_Fin-Stat'!M66</f>
        <v>970959</v>
      </c>
      <c r="N52" s="984">
        <f>'3_Fin-Stat'!N66</f>
        <v>1331772</v>
      </c>
      <c r="O52" s="984">
        <f>'3_Fin-Stat'!O66</f>
        <v>1329478</v>
      </c>
      <c r="P52" s="984">
        <f>'3_Fin-Stat'!P66</f>
        <v>1301231</v>
      </c>
      <c r="Q52" s="984">
        <f>'3_Fin-Stat'!Q66</f>
        <v>1559507</v>
      </c>
      <c r="R52" s="984">
        <f>'3_Fin-Stat'!R66</f>
        <v>1412330</v>
      </c>
      <c r="S52" s="984">
        <f>'3_Fin-Stat'!S66</f>
        <v>1444200</v>
      </c>
      <c r="T52" s="984">
        <f>'3_Fin-Stat'!T66</f>
        <v>1364200</v>
      </c>
      <c r="U52" s="984">
        <f>'3_Fin-Stat'!U66</f>
        <v>1350000</v>
      </c>
      <c r="V52" s="984">
        <f>'3_Fin-Stat'!V66</f>
        <v>1400000</v>
      </c>
      <c r="W52" s="984">
        <f>'3_Fin-Stat'!W66</f>
        <v>1617000</v>
      </c>
      <c r="X52" s="984">
        <f>'3_Fin-Stat'!X66</f>
        <v>1715000</v>
      </c>
      <c r="Y52" s="984">
        <f>'3_Fin-Stat'!Y66</f>
        <v>1683000</v>
      </c>
      <c r="Z52" s="984">
        <f>'3_Fin-Stat'!Z66</f>
        <v>1968000</v>
      </c>
      <c r="AA52" s="984">
        <f>'3_Fin-Stat'!AA66</f>
        <v>1850000</v>
      </c>
      <c r="AB52" s="776"/>
    </row>
    <row r="53" spans="1:28">
      <c r="A53" s="1020">
        <v>2710</v>
      </c>
      <c r="B53" s="1020"/>
      <c r="C53" s="1020" t="s">
        <v>545</v>
      </c>
      <c r="D53" s="1020"/>
      <c r="E53" s="1020"/>
      <c r="F53" s="1021"/>
      <c r="G53" s="1021"/>
      <c r="H53" s="1021"/>
      <c r="I53" s="1021"/>
      <c r="J53" s="1021"/>
      <c r="K53" s="1021"/>
      <c r="L53" s="1021"/>
      <c r="M53" s="1021">
        <f>'3_Fin-Stat'!M532</f>
        <v>2181</v>
      </c>
      <c r="N53" s="1021"/>
      <c r="O53" s="1021"/>
      <c r="P53" s="1021"/>
      <c r="Q53" s="1021">
        <f>'3_Fin-Stat'!Q550</f>
        <v>0</v>
      </c>
      <c r="R53" s="1021">
        <f>'3_Fin-Stat'!R550</f>
        <v>0</v>
      </c>
      <c r="S53" s="1021">
        <f>'3_Fin-Stat'!S550</f>
        <v>0</v>
      </c>
      <c r="T53" s="1021">
        <f>'3_Fin-Stat'!T550</f>
        <v>0</v>
      </c>
      <c r="U53" s="1021">
        <f>'3_Fin-Stat'!U550</f>
        <v>0</v>
      </c>
      <c r="V53" s="1021">
        <f>'3_Fin-Stat'!V550</f>
        <v>0</v>
      </c>
      <c r="W53" s="1021">
        <f>'3_Fin-Stat'!W550</f>
        <v>0</v>
      </c>
      <c r="X53" s="1021">
        <f>'3_Fin-Stat'!X550</f>
        <v>0</v>
      </c>
      <c r="Y53" s="471"/>
      <c r="Z53" s="471"/>
      <c r="AA53" s="471"/>
      <c r="AB53" s="776"/>
    </row>
    <row r="54" spans="1:28">
      <c r="A54" s="1020"/>
      <c r="B54" s="1020"/>
      <c r="C54" s="1020"/>
      <c r="D54" s="1020"/>
      <c r="E54" s="1020" t="s">
        <v>162</v>
      </c>
      <c r="F54" s="984">
        <f t="shared" ref="F54:AA54" si="12">SUM(F52:F53)</f>
        <v>5014</v>
      </c>
      <c r="G54" s="984">
        <f t="shared" si="12"/>
        <v>28728</v>
      </c>
      <c r="H54" s="984">
        <f t="shared" si="12"/>
        <v>66401</v>
      </c>
      <c r="I54" s="984">
        <f t="shared" si="12"/>
        <v>92031</v>
      </c>
      <c r="J54" s="984">
        <f t="shared" si="12"/>
        <v>138871</v>
      </c>
      <c r="K54" s="984">
        <f t="shared" si="12"/>
        <v>145260</v>
      </c>
      <c r="L54" s="984">
        <f t="shared" si="12"/>
        <v>179168</v>
      </c>
      <c r="M54" s="984">
        <f t="shared" si="12"/>
        <v>973140</v>
      </c>
      <c r="N54" s="984">
        <f t="shared" si="12"/>
        <v>1331772</v>
      </c>
      <c r="O54" s="984">
        <f t="shared" si="12"/>
        <v>1329478</v>
      </c>
      <c r="P54" s="984">
        <f t="shared" si="12"/>
        <v>1301231</v>
      </c>
      <c r="Q54" s="984">
        <f t="shared" si="12"/>
        <v>1559507</v>
      </c>
      <c r="R54" s="984">
        <f t="shared" si="12"/>
        <v>1412330</v>
      </c>
      <c r="S54" s="984">
        <f t="shared" si="12"/>
        <v>1444200</v>
      </c>
      <c r="T54" s="984">
        <f t="shared" si="12"/>
        <v>1364200</v>
      </c>
      <c r="U54" s="984">
        <f t="shared" si="12"/>
        <v>1350000</v>
      </c>
      <c r="V54" s="984">
        <f t="shared" si="12"/>
        <v>1400000</v>
      </c>
      <c r="W54" s="984">
        <f t="shared" si="12"/>
        <v>1617000</v>
      </c>
      <c r="X54" s="984">
        <f t="shared" si="12"/>
        <v>1715000</v>
      </c>
      <c r="Y54" s="984">
        <f t="shared" si="12"/>
        <v>1683000</v>
      </c>
      <c r="Z54" s="984">
        <f t="shared" si="12"/>
        <v>1968000</v>
      </c>
      <c r="AA54" s="984">
        <f t="shared" si="12"/>
        <v>1850000</v>
      </c>
      <c r="AB54" s="776"/>
    </row>
    <row r="55" spans="1:28">
      <c r="A55" s="1020"/>
      <c r="B55" s="1020"/>
      <c r="C55" s="1020" t="s">
        <v>313</v>
      </c>
      <c r="D55" s="1020"/>
      <c r="E55" s="1020"/>
      <c r="F55" s="984">
        <f>'3_Fin-Stat'!F68</f>
        <v>0</v>
      </c>
      <c r="G55" s="984">
        <f>'3_Fin-Stat'!G68</f>
        <v>0</v>
      </c>
      <c r="H55" s="984">
        <f>'3_Fin-Stat'!H68</f>
        <v>0</v>
      </c>
      <c r="I55" s="984">
        <f>'3_Fin-Stat'!I68</f>
        <v>0</v>
      </c>
      <c r="J55" s="984">
        <f>'3_Fin-Stat'!J68</f>
        <v>0</v>
      </c>
      <c r="K55" s="984">
        <f>'3_Fin-Stat'!K68</f>
        <v>0</v>
      </c>
      <c r="L55" s="984">
        <f>'3_Fin-Stat'!L68</f>
        <v>0</v>
      </c>
      <c r="M55" s="984">
        <f>'3_Fin-Stat'!M68</f>
        <v>21004</v>
      </c>
      <c r="N55" s="984">
        <f>'3_Fin-Stat'!N68</f>
        <v>124669</v>
      </c>
      <c r="O55" s="984">
        <f>'3_Fin-Stat'!O68</f>
        <v>56448</v>
      </c>
      <c r="P55" s="984">
        <f>'3_Fin-Stat'!P68</f>
        <v>52054</v>
      </c>
      <c r="Q55" s="984">
        <f>'3_Fin-Stat'!Q68</f>
        <v>84752</v>
      </c>
      <c r="R55" s="984">
        <f>'3_Fin-Stat'!R68</f>
        <v>111076</v>
      </c>
      <c r="S55" s="984">
        <f>'3_Fin-Stat'!S68</f>
        <v>203400</v>
      </c>
      <c r="T55" s="984">
        <f>'3_Fin-Stat'!T68</f>
        <v>99000</v>
      </c>
      <c r="U55" s="984">
        <f>'3_Fin-Stat'!U68</f>
        <v>113000</v>
      </c>
      <c r="V55" s="984">
        <f>'3_Fin-Stat'!V68</f>
        <v>0</v>
      </c>
      <c r="W55" s="984">
        <f>'3_Fin-Stat'!W68</f>
        <v>165000</v>
      </c>
      <c r="X55" s="984">
        <f>'3_Fin-Stat'!X68</f>
        <v>113000</v>
      </c>
      <c r="Y55" s="984">
        <f>'3_Fin-Stat'!Y68</f>
        <v>114000</v>
      </c>
      <c r="Z55" s="984">
        <f>'3_Fin-Stat'!Z68</f>
        <v>184000</v>
      </c>
      <c r="AA55" s="984">
        <f>'3_Fin-Stat'!AA68</f>
        <v>238000</v>
      </c>
      <c r="AB55" s="13"/>
    </row>
    <row r="56" spans="1:28">
      <c r="A56" s="1020">
        <v>2680</v>
      </c>
      <c r="B56" s="1020"/>
      <c r="C56" s="1020" t="s">
        <v>339</v>
      </c>
      <c r="D56" s="1020"/>
      <c r="E56" s="1020"/>
      <c r="F56" s="984">
        <f>'3_Fin-Stat'!F69+'3_Fin-Stat'!F70</f>
        <v>0</v>
      </c>
      <c r="G56" s="984">
        <f>'3_Fin-Stat'!G69+'3_Fin-Stat'!G70</f>
        <v>0</v>
      </c>
      <c r="H56" s="984">
        <f>'3_Fin-Stat'!H69+'3_Fin-Stat'!H70</f>
        <v>0</v>
      </c>
      <c r="I56" s="984">
        <f>'3_Fin-Stat'!I69+'3_Fin-Stat'!I70</f>
        <v>0</v>
      </c>
      <c r="J56" s="984">
        <f>'3_Fin-Stat'!J69+'3_Fin-Stat'!J70</f>
        <v>6245</v>
      </c>
      <c r="K56" s="984">
        <f>'3_Fin-Stat'!K69+'3_Fin-Stat'!K70</f>
        <v>6576</v>
      </c>
      <c r="L56" s="984">
        <f>'3_Fin-Stat'!L69+'3_Fin-Stat'!L70</f>
        <v>7193</v>
      </c>
      <c r="M56" s="984">
        <f>'3_Fin-Stat'!M69+'3_Fin-Stat'!M70</f>
        <v>0</v>
      </c>
      <c r="N56" s="984">
        <f>'3_Fin-Stat'!N69+'3_Fin-Stat'!N70</f>
        <v>0</v>
      </c>
      <c r="O56" s="984">
        <f>'3_Fin-Stat'!O69+'3_Fin-Stat'!O70</f>
        <v>0</v>
      </c>
      <c r="P56" s="984">
        <f>'3_Fin-Stat'!P69+'3_Fin-Stat'!P70</f>
        <v>0</v>
      </c>
      <c r="Q56" s="984">
        <f>'3_Fin-Stat'!Q69+'3_Fin-Stat'!Q70</f>
        <v>52954</v>
      </c>
      <c r="R56" s="984">
        <f>'3_Fin-Stat'!R69+'3_Fin-Stat'!R70</f>
        <v>35564</v>
      </c>
      <c r="S56" s="984">
        <f>'3_Fin-Stat'!S69+'3_Fin-Stat'!S70</f>
        <v>22800</v>
      </c>
      <c r="T56" s="984">
        <f>'3_Fin-Stat'!T69+'3_Fin-Stat'!T70</f>
        <v>6700</v>
      </c>
      <c r="U56" s="984">
        <f>'3_Fin-Stat'!U69+'3_Fin-Stat'!U70</f>
        <v>49000</v>
      </c>
      <c r="V56" s="984">
        <f>'3_Fin-Stat'!V69+'3_Fin-Stat'!V70</f>
        <v>63000</v>
      </c>
      <c r="W56" s="984">
        <f>'3_Fin-Stat'!W69+'3_Fin-Stat'!W70</f>
        <v>147000</v>
      </c>
      <c r="X56" s="984">
        <f>'3_Fin-Stat'!X69+'3_Fin-Stat'!X70</f>
        <v>139000</v>
      </c>
      <c r="Y56" s="984">
        <f>'3_Fin-Stat'!Y69+'3_Fin-Stat'!Y70</f>
        <v>122000</v>
      </c>
      <c r="Z56" s="984">
        <f>'3_Fin-Stat'!Z69+'3_Fin-Stat'!Z70</f>
        <v>91000</v>
      </c>
      <c r="AA56" s="984">
        <f>'3_Fin-Stat'!AA69+'3_Fin-Stat'!AA70</f>
        <v>146000</v>
      </c>
      <c r="AB56" s="776"/>
    </row>
    <row r="57" spans="1:28">
      <c r="A57" s="1020">
        <v>2300</v>
      </c>
      <c r="B57" s="1020"/>
      <c r="C57" s="1020" t="s">
        <v>341</v>
      </c>
      <c r="D57" s="1020"/>
      <c r="E57" s="1020"/>
      <c r="F57" s="1021">
        <f>'3_Fin-Stat'!F71</f>
        <v>477911</v>
      </c>
      <c r="G57" s="1021">
        <f>'3_Fin-Stat'!G71</f>
        <v>464554</v>
      </c>
      <c r="H57" s="1021">
        <f>'3_Fin-Stat'!H71</f>
        <v>180444</v>
      </c>
      <c r="I57" s="1021">
        <f>'3_Fin-Stat'!I71</f>
        <v>591498</v>
      </c>
      <c r="J57" s="1021">
        <f>'3_Fin-Stat'!J71</f>
        <v>653178</v>
      </c>
      <c r="K57" s="1021">
        <f>'3_Fin-Stat'!K71</f>
        <v>1176566</v>
      </c>
      <c r="L57" s="1021">
        <f>'3_Fin-Stat'!L71</f>
        <v>1021825</v>
      </c>
      <c r="M57" s="1021">
        <f>'3_Fin-Stat'!M71</f>
        <v>760194</v>
      </c>
      <c r="N57" s="1021">
        <f>'3_Fin-Stat'!N71</f>
        <v>629707</v>
      </c>
      <c r="O57" s="1021">
        <f>'3_Fin-Stat'!O71</f>
        <v>793226</v>
      </c>
      <c r="P57" s="1021">
        <f>'3_Fin-Stat'!P71</f>
        <v>1128695</v>
      </c>
      <c r="Q57" s="1021">
        <f>'3_Fin-Stat'!Q71</f>
        <v>1323058</v>
      </c>
      <c r="R57" s="1021">
        <f>'3_Fin-Stat'!R71</f>
        <v>1275379</v>
      </c>
      <c r="S57" s="1021">
        <f>'3_Fin-Stat'!S71</f>
        <v>1577700</v>
      </c>
      <c r="T57" s="1021">
        <f>'3_Fin-Stat'!T71</f>
        <v>1033500</v>
      </c>
      <c r="U57" s="1021">
        <f>'3_Fin-Stat'!U71</f>
        <v>959000</v>
      </c>
      <c r="V57" s="1021">
        <f>'3_Fin-Stat'!V71</f>
        <v>863000</v>
      </c>
      <c r="W57" s="1021">
        <f>'3_Fin-Stat'!W71</f>
        <v>1000000</v>
      </c>
      <c r="X57" s="1021">
        <f>'3_Fin-Stat'!X71</f>
        <v>1022000</v>
      </c>
      <c r="Y57" s="1021">
        <f>'3_Fin-Stat'!Y71</f>
        <v>1023000</v>
      </c>
      <c r="Z57" s="1021">
        <f>'3_Fin-Stat'!Z71</f>
        <v>1303000</v>
      </c>
      <c r="AA57" s="1021">
        <f>'3_Fin-Stat'!AA71</f>
        <v>1600000</v>
      </c>
      <c r="AB57" s="776"/>
    </row>
    <row r="58" spans="1:28">
      <c r="A58" s="1020"/>
      <c r="B58" s="1020"/>
      <c r="C58" s="1020"/>
      <c r="D58" s="1020"/>
      <c r="E58" s="1020"/>
      <c r="F58" s="984">
        <f t="shared" ref="F58:AA58" si="13">SUM(F54:F57)</f>
        <v>482925</v>
      </c>
      <c r="G58" s="984">
        <f t="shared" si="13"/>
        <v>493282</v>
      </c>
      <c r="H58" s="984">
        <f t="shared" si="13"/>
        <v>246845</v>
      </c>
      <c r="I58" s="984">
        <f t="shared" si="13"/>
        <v>683529</v>
      </c>
      <c r="J58" s="984">
        <f t="shared" si="13"/>
        <v>798294</v>
      </c>
      <c r="K58" s="984">
        <f t="shared" si="13"/>
        <v>1328402</v>
      </c>
      <c r="L58" s="984">
        <f t="shared" si="13"/>
        <v>1208186</v>
      </c>
      <c r="M58" s="984">
        <f t="shared" si="13"/>
        <v>1754338</v>
      </c>
      <c r="N58" s="984">
        <f t="shared" si="13"/>
        <v>2086148</v>
      </c>
      <c r="O58" s="984">
        <f t="shared" si="13"/>
        <v>2179152</v>
      </c>
      <c r="P58" s="984">
        <f t="shared" si="13"/>
        <v>2481980</v>
      </c>
      <c r="Q58" s="984">
        <f t="shared" si="13"/>
        <v>3020271</v>
      </c>
      <c r="R58" s="984">
        <f t="shared" si="13"/>
        <v>2834349</v>
      </c>
      <c r="S58" s="984">
        <f t="shared" si="13"/>
        <v>3248100</v>
      </c>
      <c r="T58" s="984">
        <f t="shared" si="13"/>
        <v>2503400</v>
      </c>
      <c r="U58" s="984">
        <f t="shared" si="13"/>
        <v>2471000</v>
      </c>
      <c r="V58" s="984">
        <f t="shared" si="13"/>
        <v>2326000</v>
      </c>
      <c r="W58" s="984">
        <f t="shared" si="13"/>
        <v>2929000</v>
      </c>
      <c r="X58" s="984">
        <f t="shared" si="13"/>
        <v>2989000</v>
      </c>
      <c r="Y58" s="984">
        <f t="shared" si="13"/>
        <v>2942000</v>
      </c>
      <c r="Z58" s="984">
        <f t="shared" si="13"/>
        <v>3546000</v>
      </c>
      <c r="AA58" s="984">
        <f t="shared" si="13"/>
        <v>3834000</v>
      </c>
      <c r="AB58" s="776"/>
    </row>
    <row r="59" spans="1:28">
      <c r="A59" s="1020"/>
      <c r="B59" s="1020"/>
      <c r="C59" s="1020"/>
      <c r="D59" s="1020"/>
      <c r="E59" s="1020"/>
      <c r="F59" s="984"/>
      <c r="G59" s="984"/>
      <c r="H59" s="984"/>
      <c r="I59" s="984"/>
      <c r="J59" s="984"/>
      <c r="K59" s="984"/>
      <c r="L59" s="984"/>
      <c r="M59" s="984"/>
      <c r="N59" s="984"/>
      <c r="O59" s="984"/>
      <c r="P59" s="1020"/>
      <c r="Q59" s="984"/>
      <c r="R59" s="984"/>
      <c r="S59" s="984"/>
      <c r="T59" s="1022"/>
      <c r="U59" s="1022"/>
      <c r="V59" s="1022"/>
      <c r="W59" s="1022"/>
      <c r="X59" s="1022"/>
      <c r="Y59" s="1020"/>
      <c r="Z59" s="1020"/>
      <c r="AA59" s="1020"/>
      <c r="AB59" s="776"/>
    </row>
    <row r="60" spans="1:28">
      <c r="A60" s="1020">
        <v>2800</v>
      </c>
      <c r="B60" s="1020"/>
      <c r="C60" s="1020" t="s">
        <v>342</v>
      </c>
      <c r="D60" s="1020"/>
      <c r="E60" s="1020"/>
      <c r="F60" s="984">
        <f>'3_Fin-Stat'!F74</f>
        <v>1600000</v>
      </c>
      <c r="G60" s="984">
        <f>'3_Fin-Stat'!G74</f>
        <v>1600000</v>
      </c>
      <c r="H60" s="984">
        <f>'3_Fin-Stat'!H74</f>
        <v>1600000</v>
      </c>
      <c r="I60" s="984">
        <f>'3_Fin-Stat'!I74</f>
        <v>1600000</v>
      </c>
      <c r="J60" s="984">
        <f>'3_Fin-Stat'!J74</f>
        <v>1600000</v>
      </c>
      <c r="K60" s="984">
        <f>'3_Fin-Stat'!K74</f>
        <v>1600000</v>
      </c>
      <c r="L60" s="984">
        <f>'3_Fin-Stat'!L74</f>
        <v>1600000</v>
      </c>
      <c r="M60" s="984">
        <f>'3_Fin-Stat'!M74</f>
        <v>1600000</v>
      </c>
      <c r="N60" s="984">
        <f>'3_Fin-Stat'!N74</f>
        <v>1600000</v>
      </c>
      <c r="O60" s="984">
        <f>'3_Fin-Stat'!O74</f>
        <v>1600000</v>
      </c>
      <c r="P60" s="984">
        <f>'3_Fin-Stat'!P74</f>
        <v>1600000</v>
      </c>
      <c r="Q60" s="984">
        <f>'3_Fin-Stat'!Q74</f>
        <v>1600000</v>
      </c>
      <c r="R60" s="984">
        <f>'3_Fin-Stat'!R74</f>
        <v>1600000</v>
      </c>
      <c r="S60" s="984">
        <f>'3_Fin-Stat'!S74</f>
        <v>1600000</v>
      </c>
      <c r="T60" s="984">
        <f>'3_Fin-Stat'!T74</f>
        <v>1600000</v>
      </c>
      <c r="U60" s="984">
        <f>'3_Fin-Stat'!U74</f>
        <v>1599000</v>
      </c>
      <c r="V60" s="984">
        <f>'3_Fin-Stat'!V74</f>
        <v>1597000</v>
      </c>
      <c r="W60" s="984">
        <f>'3_Fin-Stat'!W74</f>
        <v>1597000</v>
      </c>
      <c r="X60" s="984">
        <f>'3_Fin-Stat'!X74</f>
        <v>1598000</v>
      </c>
      <c r="Y60" s="984">
        <f>'3_Fin-Stat'!Y74</f>
        <v>1598000</v>
      </c>
      <c r="Z60" s="984">
        <f>'3_Fin-Stat'!Z74</f>
        <v>1599000</v>
      </c>
      <c r="AA60" s="984">
        <f>'3_Fin-Stat'!AA74</f>
        <v>1598000</v>
      </c>
      <c r="AB60" s="776"/>
    </row>
    <row r="61" spans="1:28">
      <c r="A61" s="1020"/>
      <c r="B61" s="1020"/>
      <c r="C61" s="1020"/>
      <c r="D61" s="1020"/>
      <c r="E61" s="1020"/>
      <c r="F61" s="984"/>
      <c r="G61" s="984"/>
      <c r="H61" s="984"/>
      <c r="I61" s="984"/>
      <c r="J61" s="984"/>
      <c r="K61" s="984"/>
      <c r="L61" s="984"/>
      <c r="M61" s="984"/>
      <c r="N61" s="984"/>
      <c r="O61" s="984"/>
      <c r="P61" s="984"/>
      <c r="Q61" s="984"/>
      <c r="R61" s="984"/>
      <c r="S61" s="1020"/>
      <c r="T61" s="1022"/>
      <c r="U61" s="1022"/>
      <c r="V61" s="1022"/>
      <c r="W61" s="1022"/>
      <c r="X61" s="1022"/>
      <c r="Y61" s="1020"/>
      <c r="Z61" s="1020"/>
      <c r="AA61" s="1020"/>
      <c r="AB61" s="776"/>
    </row>
    <row r="62" spans="1:28">
      <c r="A62" s="1020">
        <v>2830</v>
      </c>
      <c r="B62" s="1020"/>
      <c r="C62" s="1020" t="s">
        <v>546</v>
      </c>
      <c r="D62" s="1020"/>
      <c r="E62" s="1020"/>
      <c r="F62" s="1021">
        <f>'3_Fin-Stat'!F75</f>
        <v>0</v>
      </c>
      <c r="G62" s="1021">
        <f>'3_Fin-Stat'!G75</f>
        <v>77813</v>
      </c>
      <c r="H62" s="1021">
        <f>'3_Fin-Stat'!H75</f>
        <v>77813</v>
      </c>
      <c r="I62" s="1021">
        <f>'3_Fin-Stat'!I75</f>
        <v>77802</v>
      </c>
      <c r="J62" s="1021">
        <f>'3_Fin-Stat'!J75</f>
        <v>677802</v>
      </c>
      <c r="K62" s="1021">
        <f>'3_Fin-Stat'!K75</f>
        <v>677802</v>
      </c>
      <c r="L62" s="1021">
        <f>'3_Fin-Stat'!L75</f>
        <v>677802</v>
      </c>
      <c r="M62" s="1021">
        <f>'3_Fin-Stat'!M75</f>
        <v>1652713</v>
      </c>
      <c r="N62" s="1021">
        <f>'3_Fin-Stat'!N75</f>
        <v>2746509</v>
      </c>
      <c r="O62" s="1021">
        <f>'3_Fin-Stat'!O75</f>
        <v>2737795</v>
      </c>
      <c r="P62" s="1021">
        <f>'3_Fin-Stat'!P75</f>
        <v>2737092</v>
      </c>
      <c r="Q62" s="1021">
        <f>'3_Fin-Stat'!Q75</f>
        <v>3686651</v>
      </c>
      <c r="R62" s="1021">
        <f>'3_Fin-Stat'!R75</f>
        <v>3392516</v>
      </c>
      <c r="S62" s="1021">
        <f>'3_Fin-Stat'!S75</f>
        <v>3418000</v>
      </c>
      <c r="T62" s="1021">
        <f>'3_Fin-Stat'!T75</f>
        <v>3073900</v>
      </c>
      <c r="U62" s="1021">
        <f>'3_Fin-Stat'!U75</f>
        <v>3074000</v>
      </c>
      <c r="V62" s="1021">
        <f>'3_Fin-Stat'!V75</f>
        <v>3311000</v>
      </c>
      <c r="W62" s="1021">
        <f>'3_Fin-Stat'!W75</f>
        <v>3941000</v>
      </c>
      <c r="X62" s="1021">
        <f>'3_Fin-Stat'!X75</f>
        <v>4249000</v>
      </c>
      <c r="Y62" s="1021">
        <f>'3_Fin-Stat'!Y75</f>
        <v>4249000</v>
      </c>
      <c r="Z62" s="1021">
        <f>'3_Fin-Stat'!Z75</f>
        <v>5068000</v>
      </c>
      <c r="AA62" s="1021">
        <f>'3_Fin-Stat'!AA75</f>
        <v>5053000</v>
      </c>
      <c r="AB62" s="776"/>
    </row>
    <row r="63" spans="1:28">
      <c r="A63" s="1020"/>
      <c r="B63" s="1020"/>
      <c r="C63" s="1020"/>
      <c r="D63" s="1020"/>
      <c r="E63" s="1020"/>
      <c r="F63" s="984">
        <f t="shared" ref="F63:AA63" si="14">SUM(F62:F62)</f>
        <v>0</v>
      </c>
      <c r="G63" s="984">
        <f t="shared" si="14"/>
        <v>77813</v>
      </c>
      <c r="H63" s="984">
        <f t="shared" si="14"/>
        <v>77813</v>
      </c>
      <c r="I63" s="984">
        <f t="shared" si="14"/>
        <v>77802</v>
      </c>
      <c r="J63" s="984">
        <f t="shared" si="14"/>
        <v>677802</v>
      </c>
      <c r="K63" s="984">
        <f t="shared" si="14"/>
        <v>677802</v>
      </c>
      <c r="L63" s="984">
        <f t="shared" si="14"/>
        <v>677802</v>
      </c>
      <c r="M63" s="984">
        <f t="shared" si="14"/>
        <v>1652713</v>
      </c>
      <c r="N63" s="984">
        <f t="shared" si="14"/>
        <v>2746509</v>
      </c>
      <c r="O63" s="984">
        <f t="shared" si="14"/>
        <v>2737795</v>
      </c>
      <c r="P63" s="984">
        <f t="shared" si="14"/>
        <v>2737092</v>
      </c>
      <c r="Q63" s="984">
        <f t="shared" si="14"/>
        <v>3686651</v>
      </c>
      <c r="R63" s="984">
        <f t="shared" si="14"/>
        <v>3392516</v>
      </c>
      <c r="S63" s="984">
        <f t="shared" si="14"/>
        <v>3418000</v>
      </c>
      <c r="T63" s="984">
        <f t="shared" si="14"/>
        <v>3073900</v>
      </c>
      <c r="U63" s="984">
        <f t="shared" si="14"/>
        <v>3074000</v>
      </c>
      <c r="V63" s="984">
        <f t="shared" si="14"/>
        <v>3311000</v>
      </c>
      <c r="W63" s="984">
        <f t="shared" si="14"/>
        <v>3941000</v>
      </c>
      <c r="X63" s="984">
        <f t="shared" si="14"/>
        <v>4249000</v>
      </c>
      <c r="Y63" s="984">
        <f t="shared" si="14"/>
        <v>4249000</v>
      </c>
      <c r="Z63" s="984">
        <f t="shared" si="14"/>
        <v>5068000</v>
      </c>
      <c r="AA63" s="984">
        <f t="shared" si="14"/>
        <v>5053000</v>
      </c>
      <c r="AB63" s="776"/>
    </row>
    <row r="64" spans="1:28">
      <c r="A64" s="1020">
        <v>2830</v>
      </c>
      <c r="B64" s="1020"/>
      <c r="C64" s="1020" t="s">
        <v>547</v>
      </c>
      <c r="D64" s="1020"/>
      <c r="E64" s="1020"/>
      <c r="F64" s="1021"/>
      <c r="G64" s="1021"/>
      <c r="H64" s="1021"/>
      <c r="I64" s="1021"/>
      <c r="J64" s="1021"/>
      <c r="K64" s="1021"/>
      <c r="L64" s="1021"/>
      <c r="M64" s="1021"/>
      <c r="N64" s="1021"/>
      <c r="O64" s="1021"/>
      <c r="P64" s="1021"/>
      <c r="Q64" s="1021"/>
      <c r="R64" s="1021"/>
      <c r="S64" s="1021"/>
      <c r="T64" s="1021"/>
      <c r="U64" s="1021"/>
      <c r="V64" s="1021"/>
      <c r="W64" s="1021"/>
      <c r="X64" s="1021"/>
      <c r="Y64" s="471"/>
      <c r="Z64" s="471"/>
      <c r="AA64" s="471"/>
      <c r="AB64" s="776"/>
    </row>
    <row r="65" spans="1:28">
      <c r="A65" s="1020"/>
      <c r="B65" s="1020"/>
      <c r="C65" s="1020"/>
      <c r="D65" s="1020"/>
      <c r="E65" s="1020"/>
      <c r="F65" s="984">
        <f t="shared" ref="F65:AA65" si="15">F63+F64</f>
        <v>0</v>
      </c>
      <c r="G65" s="984">
        <f t="shared" si="15"/>
        <v>77813</v>
      </c>
      <c r="H65" s="984">
        <f t="shared" si="15"/>
        <v>77813</v>
      </c>
      <c r="I65" s="984">
        <f t="shared" si="15"/>
        <v>77802</v>
      </c>
      <c r="J65" s="984">
        <f t="shared" si="15"/>
        <v>677802</v>
      </c>
      <c r="K65" s="984">
        <f t="shared" si="15"/>
        <v>677802</v>
      </c>
      <c r="L65" s="984">
        <f t="shared" si="15"/>
        <v>677802</v>
      </c>
      <c r="M65" s="984">
        <f t="shared" si="15"/>
        <v>1652713</v>
      </c>
      <c r="N65" s="984">
        <f t="shared" si="15"/>
        <v>2746509</v>
      </c>
      <c r="O65" s="984">
        <f t="shared" si="15"/>
        <v>2737795</v>
      </c>
      <c r="P65" s="984">
        <f t="shared" si="15"/>
        <v>2737092</v>
      </c>
      <c r="Q65" s="984">
        <f t="shared" si="15"/>
        <v>3686651</v>
      </c>
      <c r="R65" s="984">
        <f t="shared" si="15"/>
        <v>3392516</v>
      </c>
      <c r="S65" s="984">
        <f t="shared" si="15"/>
        <v>3418000</v>
      </c>
      <c r="T65" s="984">
        <f t="shared" si="15"/>
        <v>3073900</v>
      </c>
      <c r="U65" s="984">
        <f t="shared" si="15"/>
        <v>3074000</v>
      </c>
      <c r="V65" s="984">
        <f t="shared" si="15"/>
        <v>3311000</v>
      </c>
      <c r="W65" s="984">
        <f t="shared" si="15"/>
        <v>3941000</v>
      </c>
      <c r="X65" s="984">
        <f t="shared" si="15"/>
        <v>4249000</v>
      </c>
      <c r="Y65" s="984">
        <f t="shared" si="15"/>
        <v>4249000</v>
      </c>
      <c r="Z65" s="984">
        <f t="shared" si="15"/>
        <v>5068000</v>
      </c>
      <c r="AA65" s="984">
        <f t="shared" si="15"/>
        <v>5053000</v>
      </c>
      <c r="AB65" s="776"/>
    </row>
    <row r="66" spans="1:28">
      <c r="A66" s="1020">
        <v>2940</v>
      </c>
      <c r="B66" s="1020"/>
      <c r="C66" s="1020" t="s">
        <v>345</v>
      </c>
      <c r="D66" s="1020"/>
      <c r="E66" s="1020"/>
      <c r="F66" s="984">
        <f>'3_Fin-Stat'!F77</f>
        <v>0</v>
      </c>
      <c r="G66" s="984">
        <f>'3_Fin-Stat'!G77</f>
        <v>0</v>
      </c>
      <c r="H66" s="984">
        <f>'3_Fin-Stat'!H77</f>
        <v>1387</v>
      </c>
      <c r="I66" s="984">
        <f>'3_Fin-Stat'!I77</f>
        <v>-7570</v>
      </c>
      <c r="J66" s="984">
        <f>'3_Fin-Stat'!J77</f>
        <v>-2099</v>
      </c>
      <c r="K66" s="984">
        <f>'3_Fin-Stat'!K77</f>
        <v>-15627</v>
      </c>
      <c r="L66" s="984">
        <f>'3_Fin-Stat'!L77</f>
        <v>-17724</v>
      </c>
      <c r="M66" s="984">
        <f>'3_Fin-Stat'!M77</f>
        <v>6</v>
      </c>
      <c r="N66" s="984">
        <f>'3_Fin-Stat'!N77</f>
        <v>4</v>
      </c>
      <c r="O66" s="984">
        <f>'3_Fin-Stat'!O77</f>
        <v>85</v>
      </c>
      <c r="P66" s="984">
        <f>'3_Fin-Stat'!P77</f>
        <v>340</v>
      </c>
      <c r="Q66" s="984">
        <f>'3_Fin-Stat'!Q77</f>
        <v>-2720</v>
      </c>
      <c r="R66" s="984">
        <f>'3_Fin-Stat'!R77</f>
        <v>-655</v>
      </c>
      <c r="S66" s="984">
        <f>'3_Fin-Stat'!S77</f>
        <v>-1700</v>
      </c>
      <c r="T66" s="984">
        <f>'3_Fin-Stat'!T77</f>
        <v>-13200</v>
      </c>
      <c r="U66" s="984">
        <f>'3_Fin-Stat'!U77</f>
        <v>-23000</v>
      </c>
      <c r="V66" s="984">
        <f>'3_Fin-Stat'!V77</f>
        <v>-5000</v>
      </c>
      <c r="W66" s="984">
        <f>'3_Fin-Stat'!W77</f>
        <v>-28000</v>
      </c>
      <c r="X66" s="984">
        <f>'3_Fin-Stat'!X77</f>
        <v>-27000</v>
      </c>
      <c r="Y66" s="984">
        <f>'3_Fin-Stat'!Y77</f>
        <v>-16000</v>
      </c>
      <c r="Z66" s="984">
        <f>'3_Fin-Stat'!Z77</f>
        <v>-37000</v>
      </c>
      <c r="AA66" s="984">
        <f>'3_Fin-Stat'!AA77</f>
        <v>-26000</v>
      </c>
      <c r="AB66" s="776"/>
    </row>
    <row r="67" spans="1:28">
      <c r="A67" s="1020">
        <v>2840</v>
      </c>
      <c r="B67" s="1020"/>
      <c r="C67" s="1020" t="s">
        <v>346</v>
      </c>
      <c r="D67" s="1020"/>
      <c r="E67" s="1020"/>
      <c r="F67" s="984">
        <f>'3_Fin-Stat'!F78</f>
        <v>0</v>
      </c>
      <c r="G67" s="984">
        <f>'3_Fin-Stat'!G78</f>
        <v>0</v>
      </c>
      <c r="H67" s="984">
        <f>'3_Fin-Stat'!H78</f>
        <v>0</v>
      </c>
      <c r="I67" s="984">
        <f>'3_Fin-Stat'!I78</f>
        <v>0</v>
      </c>
      <c r="J67" s="984">
        <f>'3_Fin-Stat'!J78</f>
        <v>0</v>
      </c>
      <c r="K67" s="984">
        <f>'3_Fin-Stat'!K78</f>
        <v>0</v>
      </c>
      <c r="L67" s="984">
        <f>'3_Fin-Stat'!L78</f>
        <v>0</v>
      </c>
      <c r="M67" s="984">
        <f>'3_Fin-Stat'!M78</f>
        <v>14891</v>
      </c>
      <c r="N67" s="984">
        <f>'3_Fin-Stat'!N78</f>
        <v>2316</v>
      </c>
      <c r="O67" s="984">
        <f>'3_Fin-Stat'!O78</f>
        <v>-24352</v>
      </c>
      <c r="P67" s="984">
        <f>'3_Fin-Stat'!P78</f>
        <v>-5525</v>
      </c>
      <c r="Q67" s="984">
        <f>'3_Fin-Stat'!Q78</f>
        <v>659</v>
      </c>
      <c r="R67" s="984">
        <f>'3_Fin-Stat'!R78</f>
        <v>-217</v>
      </c>
      <c r="S67" s="984">
        <f>'3_Fin-Stat'!S78</f>
        <v>-41800</v>
      </c>
      <c r="T67" s="984">
        <f>'3_Fin-Stat'!T78</f>
        <v>8900</v>
      </c>
      <c r="U67" s="984">
        <f>'3_Fin-Stat'!U78</f>
        <v>-1000</v>
      </c>
      <c r="V67" s="984">
        <f>'3_Fin-Stat'!V78</f>
        <v>-3000</v>
      </c>
      <c r="W67" s="984">
        <f>'3_Fin-Stat'!W78</f>
        <v>-3000</v>
      </c>
      <c r="X67" s="984">
        <f>'3_Fin-Stat'!X78</f>
        <v>-1000</v>
      </c>
      <c r="Y67" s="984">
        <f>'3_Fin-Stat'!Y78</f>
        <v>1000</v>
      </c>
      <c r="Z67" s="984">
        <f>'3_Fin-Stat'!Z78</f>
        <v>-3000</v>
      </c>
      <c r="AA67" s="984">
        <f>'3_Fin-Stat'!AA78</f>
        <v>-2000</v>
      </c>
      <c r="AB67" s="776"/>
    </row>
    <row r="68" spans="1:28">
      <c r="A68" s="1020">
        <v>2840</v>
      </c>
      <c r="B68" s="1020"/>
      <c r="C68" s="1020" t="s">
        <v>347</v>
      </c>
      <c r="D68" s="1020"/>
      <c r="E68" s="1020"/>
      <c r="F68" s="984">
        <f>'3_Fin-Stat'!F79</f>
        <v>0</v>
      </c>
      <c r="G68" s="984">
        <f>'3_Fin-Stat'!G79</f>
        <v>0</v>
      </c>
      <c r="H68" s="984">
        <f>'3_Fin-Stat'!H79</f>
        <v>0</v>
      </c>
      <c r="I68" s="984">
        <f>'3_Fin-Stat'!I79</f>
        <v>0</v>
      </c>
      <c r="J68" s="984">
        <f>'3_Fin-Stat'!J79</f>
        <v>0</v>
      </c>
      <c r="K68" s="984">
        <f>'3_Fin-Stat'!K79</f>
        <v>0</v>
      </c>
      <c r="L68" s="984">
        <f>'3_Fin-Stat'!L79</f>
        <v>0</v>
      </c>
      <c r="M68" s="984">
        <f>'3_Fin-Stat'!M79</f>
        <v>1065</v>
      </c>
      <c r="N68" s="984">
        <f>'3_Fin-Stat'!N79</f>
        <v>1544</v>
      </c>
      <c r="O68" s="984">
        <f>'3_Fin-Stat'!O79</f>
        <v>-673</v>
      </c>
      <c r="P68" s="984">
        <f>'3_Fin-Stat'!P79</f>
        <v>380</v>
      </c>
      <c r="Q68" s="984">
        <f>'3_Fin-Stat'!Q79</f>
        <v>387</v>
      </c>
      <c r="R68" s="984">
        <f>'3_Fin-Stat'!R79</f>
        <v>162</v>
      </c>
      <c r="S68" s="984">
        <f>'3_Fin-Stat'!S79</f>
        <v>0</v>
      </c>
      <c r="T68" s="984">
        <f>'3_Fin-Stat'!T79</f>
        <v>1600</v>
      </c>
      <c r="U68" s="984">
        <f>'3_Fin-Stat'!U79</f>
        <v>0</v>
      </c>
      <c r="V68" s="984">
        <f>'3_Fin-Stat'!V79</f>
        <v>0</v>
      </c>
      <c r="W68" s="984">
        <f>'3_Fin-Stat'!W79</f>
        <v>0</v>
      </c>
      <c r="X68" s="984">
        <f>'3_Fin-Stat'!X79</f>
        <v>0</v>
      </c>
      <c r="Y68" s="984">
        <f>'3_Fin-Stat'!Y79</f>
        <v>0</v>
      </c>
      <c r="Z68" s="984">
        <f>'3_Fin-Stat'!Z79</f>
        <v>0</v>
      </c>
      <c r="AA68" s="984">
        <f>'3_Fin-Stat'!AA79</f>
        <v>0</v>
      </c>
      <c r="AB68" s="776"/>
    </row>
    <row r="69" spans="1:28">
      <c r="A69" s="1020"/>
      <c r="B69" s="1020"/>
      <c r="C69" s="1020" t="s">
        <v>344</v>
      </c>
      <c r="D69" s="1020"/>
      <c r="E69" s="1020"/>
      <c r="F69" s="984">
        <f>'3_Fin-Stat'!F76</f>
        <v>0</v>
      </c>
      <c r="G69" s="984">
        <f>'3_Fin-Stat'!G76</f>
        <v>0</v>
      </c>
      <c r="H69" s="984">
        <f>'3_Fin-Stat'!H76</f>
        <v>0</v>
      </c>
      <c r="I69" s="984">
        <f>'3_Fin-Stat'!I76</f>
        <v>0</v>
      </c>
      <c r="J69" s="984">
        <f>'3_Fin-Stat'!J76</f>
        <v>0</v>
      </c>
      <c r="K69" s="984">
        <f>'3_Fin-Stat'!K76</f>
        <v>0</v>
      </c>
      <c r="L69" s="984">
        <f>'3_Fin-Stat'!L76</f>
        <v>0</v>
      </c>
      <c r="M69" s="984">
        <f>'3_Fin-Stat'!M76</f>
        <v>0</v>
      </c>
      <c r="N69" s="984">
        <f>'3_Fin-Stat'!N76</f>
        <v>0</v>
      </c>
      <c r="O69" s="984">
        <f>'3_Fin-Stat'!O76</f>
        <v>0</v>
      </c>
      <c r="P69" s="984">
        <f>'3_Fin-Stat'!P76</f>
        <v>0</v>
      </c>
      <c r="Q69" s="984">
        <f>'3_Fin-Stat'!Q76</f>
        <v>0</v>
      </c>
      <c r="R69" s="984">
        <f>'3_Fin-Stat'!R76</f>
        <v>0</v>
      </c>
      <c r="S69" s="984">
        <f>'3_Fin-Stat'!S76</f>
        <v>0</v>
      </c>
      <c r="T69" s="984">
        <f>'3_Fin-Stat'!T76</f>
        <v>0</v>
      </c>
      <c r="U69" s="984">
        <f>'3_Fin-Stat'!U76</f>
        <v>0</v>
      </c>
      <c r="V69" s="984">
        <f>'3_Fin-Stat'!V76</f>
        <v>1000</v>
      </c>
      <c r="W69" s="984">
        <f>'3_Fin-Stat'!W76</f>
        <v>1000</v>
      </c>
      <c r="X69" s="984">
        <f>'3_Fin-Stat'!X76</f>
        <v>1000</v>
      </c>
      <c r="Y69" s="984">
        <f>'3_Fin-Stat'!Y76</f>
        <v>1000</v>
      </c>
      <c r="Z69" s="984">
        <f>'3_Fin-Stat'!Z76</f>
        <v>1000</v>
      </c>
      <c r="AA69" s="984">
        <f>'3_Fin-Stat'!AA76</f>
        <v>1000</v>
      </c>
      <c r="AB69" s="776"/>
    </row>
    <row r="70" spans="1:28">
      <c r="A70" s="1020">
        <v>2930</v>
      </c>
      <c r="B70" s="1020"/>
      <c r="C70" s="1020" t="s">
        <v>548</v>
      </c>
      <c r="D70" s="1020"/>
      <c r="E70" s="1020"/>
      <c r="F70" s="1021">
        <f>'3_Fin-Stat'!F80</f>
        <v>-38645</v>
      </c>
      <c r="G70" s="1021">
        <f>'3_Fin-Stat'!G80</f>
        <v>-4662</v>
      </c>
      <c r="H70" s="1021">
        <f>'3_Fin-Stat'!H80</f>
        <v>-61041</v>
      </c>
      <c r="I70" s="1021">
        <f>'3_Fin-Stat'!I80</f>
        <v>-7985</v>
      </c>
      <c r="J70" s="1021">
        <f>'3_Fin-Stat'!J80</f>
        <v>24099</v>
      </c>
      <c r="K70" s="1021">
        <f>'3_Fin-Stat'!K80</f>
        <v>139604</v>
      </c>
      <c r="L70" s="1021">
        <f>'3_Fin-Stat'!L80</f>
        <v>209002</v>
      </c>
      <c r="M70" s="1021">
        <f>'3_Fin-Stat'!M80</f>
        <v>169389</v>
      </c>
      <c r="N70" s="1021">
        <f>'3_Fin-Stat'!N80</f>
        <v>39807</v>
      </c>
      <c r="O70" s="1021">
        <f>'3_Fin-Stat'!O80</f>
        <v>-111560</v>
      </c>
      <c r="P70" s="1021">
        <f>'3_Fin-Stat'!P80</f>
        <v>-50648</v>
      </c>
      <c r="Q70" s="1021">
        <f>'3_Fin-Stat'!Q80</f>
        <v>-215998</v>
      </c>
      <c r="R70" s="1021">
        <f>'3_Fin-Stat'!R80</f>
        <v>-61402</v>
      </c>
      <c r="S70" s="1021">
        <f>'3_Fin-Stat'!S80</f>
        <v>-148800</v>
      </c>
      <c r="T70" s="1021">
        <f>'3_Fin-Stat'!T80</f>
        <v>16800</v>
      </c>
      <c r="U70" s="1021">
        <f>'3_Fin-Stat'!U80</f>
        <v>-15000</v>
      </c>
      <c r="V70" s="1021">
        <f>'3_Fin-Stat'!V80</f>
        <v>-153000</v>
      </c>
      <c r="W70" s="1021">
        <f>'3_Fin-Stat'!W80</f>
        <v>-458000</v>
      </c>
      <c r="X70" s="1021">
        <f>'3_Fin-Stat'!X80</f>
        <v>-725000</v>
      </c>
      <c r="Y70" s="1021">
        <f>'3_Fin-Stat'!Y80</f>
        <v>-1010000</v>
      </c>
      <c r="Z70" s="1021">
        <f>'3_Fin-Stat'!Z80</f>
        <v>-1171000</v>
      </c>
      <c r="AA70" s="1021">
        <f>'3_Fin-Stat'!AA80</f>
        <v>-1541000</v>
      </c>
      <c r="AB70" s="776"/>
    </row>
    <row r="71" spans="1:28">
      <c r="A71" s="1020"/>
      <c r="B71" s="1020"/>
      <c r="C71" s="1020"/>
      <c r="D71" s="1020"/>
      <c r="E71" s="1020"/>
      <c r="F71" s="984">
        <f t="shared" ref="F71:AA71" si="16">F60+F65+F66+F67+F68+F69+F70</f>
        <v>1561355</v>
      </c>
      <c r="G71" s="984">
        <f t="shared" si="16"/>
        <v>1673151</v>
      </c>
      <c r="H71" s="984">
        <f t="shared" si="16"/>
        <v>1618159</v>
      </c>
      <c r="I71" s="984">
        <f t="shared" si="16"/>
        <v>1662247</v>
      </c>
      <c r="J71" s="984">
        <f t="shared" si="16"/>
        <v>2299802</v>
      </c>
      <c r="K71" s="984">
        <f t="shared" si="16"/>
        <v>2401779</v>
      </c>
      <c r="L71" s="984">
        <f t="shared" si="16"/>
        <v>2469080</v>
      </c>
      <c r="M71" s="984">
        <f t="shared" si="16"/>
        <v>3438064</v>
      </c>
      <c r="N71" s="984">
        <f t="shared" si="16"/>
        <v>4390180</v>
      </c>
      <c r="O71" s="984">
        <f t="shared" si="16"/>
        <v>4201295</v>
      </c>
      <c r="P71" s="984">
        <f t="shared" si="16"/>
        <v>4281639</v>
      </c>
      <c r="Q71" s="984">
        <f t="shared" si="16"/>
        <v>5068979</v>
      </c>
      <c r="R71" s="984">
        <f t="shared" si="16"/>
        <v>4930404</v>
      </c>
      <c r="S71" s="984">
        <f t="shared" si="16"/>
        <v>4825700</v>
      </c>
      <c r="T71" s="984">
        <f t="shared" si="16"/>
        <v>4688000</v>
      </c>
      <c r="U71" s="984">
        <f t="shared" si="16"/>
        <v>4634000</v>
      </c>
      <c r="V71" s="984">
        <f t="shared" si="16"/>
        <v>4748000</v>
      </c>
      <c r="W71" s="984">
        <f t="shared" si="16"/>
        <v>5050000</v>
      </c>
      <c r="X71" s="984">
        <f t="shared" si="16"/>
        <v>5095000</v>
      </c>
      <c r="Y71" s="984">
        <f t="shared" si="16"/>
        <v>4823000</v>
      </c>
      <c r="Z71" s="984">
        <f t="shared" si="16"/>
        <v>5457000</v>
      </c>
      <c r="AA71" s="984">
        <f t="shared" si="16"/>
        <v>5083000</v>
      </c>
      <c r="AB71" s="776"/>
    </row>
    <row r="72" spans="1:28">
      <c r="A72" s="1020"/>
      <c r="B72" s="1020"/>
      <c r="C72" s="1020" t="s">
        <v>350</v>
      </c>
      <c r="D72" s="1020"/>
      <c r="E72" s="1020"/>
      <c r="F72" s="984">
        <f>'3_Fin-Stat'!F82</f>
        <v>0</v>
      </c>
      <c r="G72" s="984">
        <f>'3_Fin-Stat'!G82</f>
        <v>0</v>
      </c>
      <c r="H72" s="984">
        <f>'3_Fin-Stat'!H82</f>
        <v>0</v>
      </c>
      <c r="I72" s="984">
        <f>'3_Fin-Stat'!I82</f>
        <v>0</v>
      </c>
      <c r="J72" s="984">
        <f>'3_Fin-Stat'!J82</f>
        <v>0</v>
      </c>
      <c r="K72" s="984">
        <f>'3_Fin-Stat'!K82</f>
        <v>0</v>
      </c>
      <c r="L72" s="984">
        <f>'3_Fin-Stat'!L82</f>
        <v>0</v>
      </c>
      <c r="M72" s="984">
        <f>'3_Fin-Stat'!M82</f>
        <v>0</v>
      </c>
      <c r="N72" s="984">
        <f>'3_Fin-Stat'!N82</f>
        <v>11610</v>
      </c>
      <c r="O72" s="984">
        <f>'3_Fin-Stat'!O82</f>
        <v>3337</v>
      </c>
      <c r="P72" s="984">
        <f>'3_Fin-Stat'!P82</f>
        <v>1410</v>
      </c>
      <c r="Q72" s="984">
        <f>'3_Fin-Stat'!Q82</f>
        <v>607</v>
      </c>
      <c r="R72" s="984">
        <f>'3_Fin-Stat'!R82</f>
        <v>-99</v>
      </c>
      <c r="S72" s="984">
        <f>'3_Fin-Stat'!S82</f>
        <v>0</v>
      </c>
      <c r="T72" s="984">
        <f>'3_Fin-Stat'!T82</f>
        <v>0</v>
      </c>
      <c r="U72" s="984">
        <f>'3_Fin-Stat'!U82</f>
        <v>0</v>
      </c>
      <c r="V72" s="984">
        <f>'3_Fin-Stat'!V82</f>
        <v>0</v>
      </c>
      <c r="W72" s="984">
        <f>'3_Fin-Stat'!W82</f>
        <v>0</v>
      </c>
      <c r="X72" s="984">
        <f>'3_Fin-Stat'!X82</f>
        <v>0</v>
      </c>
      <c r="Y72" s="984">
        <f>'3_Fin-Stat'!Y82</f>
        <v>0</v>
      </c>
      <c r="Z72" s="984">
        <f>'3_Fin-Stat'!Z82</f>
        <v>0</v>
      </c>
      <c r="AA72" s="984">
        <f>'3_Fin-Stat'!AA82</f>
        <v>0</v>
      </c>
      <c r="AB72" s="776"/>
    </row>
    <row r="73" spans="1:28">
      <c r="A73" s="1020">
        <v>2770</v>
      </c>
      <c r="B73" s="1020"/>
      <c r="C73" s="1020" t="s">
        <v>351</v>
      </c>
      <c r="D73" s="1020"/>
      <c r="E73" s="1020"/>
      <c r="F73" s="984">
        <f>'3_Fin-Stat'!F83</f>
        <v>0</v>
      </c>
      <c r="G73" s="984">
        <f>'3_Fin-Stat'!G83</f>
        <v>0</v>
      </c>
      <c r="H73" s="984">
        <f>'3_Fin-Stat'!H83</f>
        <v>0</v>
      </c>
      <c r="I73" s="984">
        <f>'3_Fin-Stat'!I83</f>
        <v>0</v>
      </c>
      <c r="J73" s="984">
        <f>'3_Fin-Stat'!J83</f>
        <v>0</v>
      </c>
      <c r="K73" s="984">
        <f>'3_Fin-Stat'!K83</f>
        <v>0</v>
      </c>
      <c r="L73" s="984">
        <f>'3_Fin-Stat'!L83</f>
        <v>0</v>
      </c>
      <c r="M73" s="984">
        <f>'3_Fin-Stat'!M83</f>
        <v>0</v>
      </c>
      <c r="N73" s="984">
        <f>'3_Fin-Stat'!N83</f>
        <v>0</v>
      </c>
      <c r="O73" s="984">
        <f>'3_Fin-Stat'!O83</f>
        <v>0</v>
      </c>
      <c r="P73" s="984">
        <f>'3_Fin-Stat'!P83</f>
        <v>1079</v>
      </c>
      <c r="Q73" s="984">
        <f>'3_Fin-Stat'!Q83</f>
        <v>1098</v>
      </c>
      <c r="R73" s="984">
        <f>'3_Fin-Stat'!R83</f>
        <v>997</v>
      </c>
      <c r="S73" s="984">
        <f>'3_Fin-Stat'!S83</f>
        <v>0</v>
      </c>
      <c r="T73" s="984">
        <f>'3_Fin-Stat'!T83</f>
        <v>0</v>
      </c>
      <c r="U73" s="984">
        <f>'3_Fin-Stat'!U83</f>
        <v>0</v>
      </c>
      <c r="V73" s="984">
        <f>'3_Fin-Stat'!V83</f>
        <v>0</v>
      </c>
      <c r="W73" s="984">
        <f>'3_Fin-Stat'!W83</f>
        <v>0</v>
      </c>
      <c r="X73" s="984">
        <f>'3_Fin-Stat'!X83</f>
        <v>0</v>
      </c>
      <c r="Y73" s="984">
        <f>'3_Fin-Stat'!Y83</f>
        <v>0</v>
      </c>
      <c r="Z73" s="984">
        <f>'3_Fin-Stat'!Z83</f>
        <v>0</v>
      </c>
      <c r="AA73" s="984">
        <f>'3_Fin-Stat'!AA83</f>
        <v>0</v>
      </c>
      <c r="AB73" s="776"/>
    </row>
    <row r="74" spans="1:28" ht="13.5" thickBot="1">
      <c r="A74" s="1172"/>
      <c r="B74" s="1020"/>
      <c r="C74" s="1172" t="s">
        <v>323</v>
      </c>
      <c r="D74" s="1172"/>
      <c r="E74" s="1020"/>
      <c r="F74" s="1173">
        <f t="shared" ref="F74:AA74" si="17">F51+F58+F71+F72+F73</f>
        <v>2271673</v>
      </c>
      <c r="G74" s="1173">
        <f t="shared" si="17"/>
        <v>2358852</v>
      </c>
      <c r="H74" s="1173">
        <f t="shared" si="17"/>
        <v>2650055</v>
      </c>
      <c r="I74" s="1173">
        <f t="shared" si="17"/>
        <v>2632495</v>
      </c>
      <c r="J74" s="1173">
        <f t="shared" si="17"/>
        <v>4026903</v>
      </c>
      <c r="K74" s="1173">
        <f t="shared" si="17"/>
        <v>4145727</v>
      </c>
      <c r="L74" s="1173">
        <f t="shared" si="17"/>
        <v>4348625</v>
      </c>
      <c r="M74" s="1173">
        <f t="shared" si="17"/>
        <v>5387623</v>
      </c>
      <c r="N74" s="1173">
        <f t="shared" si="17"/>
        <v>6708791</v>
      </c>
      <c r="O74" s="1173">
        <f t="shared" si="17"/>
        <v>7197688</v>
      </c>
      <c r="P74" s="1173">
        <f t="shared" si="17"/>
        <v>7177268</v>
      </c>
      <c r="Q74" s="1173">
        <f t="shared" si="17"/>
        <v>8715599</v>
      </c>
      <c r="R74" s="1173">
        <f t="shared" si="17"/>
        <v>8459973</v>
      </c>
      <c r="S74" s="1173">
        <f t="shared" si="17"/>
        <v>8692800</v>
      </c>
      <c r="T74" s="1173">
        <f t="shared" si="17"/>
        <v>7737400</v>
      </c>
      <c r="U74" s="1173">
        <f t="shared" si="17"/>
        <v>7590000</v>
      </c>
      <c r="V74" s="1173">
        <f t="shared" si="17"/>
        <v>7568000</v>
      </c>
      <c r="W74" s="1173">
        <f t="shared" si="17"/>
        <v>8537000</v>
      </c>
      <c r="X74" s="1173">
        <f t="shared" si="17"/>
        <v>8682000</v>
      </c>
      <c r="Y74" s="1173">
        <f t="shared" si="17"/>
        <v>8632000</v>
      </c>
      <c r="Z74" s="1173">
        <f t="shared" si="17"/>
        <v>9657000</v>
      </c>
      <c r="AA74" s="1173">
        <f t="shared" si="17"/>
        <v>9623000</v>
      </c>
      <c r="AB74" s="776"/>
    </row>
    <row r="75" spans="1:28" ht="13.5" thickTop="1">
      <c r="A75" s="1020"/>
      <c r="B75" s="1172"/>
      <c r="C75" s="1172"/>
      <c r="D75" s="1172"/>
      <c r="E75" s="1181" t="s">
        <v>5</v>
      </c>
      <c r="F75" s="1023">
        <f t="shared" ref="F75:AA75" si="18">F37-F74</f>
        <v>0</v>
      </c>
      <c r="G75" s="1023">
        <f t="shared" si="18"/>
        <v>0</v>
      </c>
      <c r="H75" s="1023">
        <f t="shared" si="18"/>
        <v>0</v>
      </c>
      <c r="I75" s="1023">
        <f t="shared" si="18"/>
        <v>0</v>
      </c>
      <c r="J75" s="1023">
        <f t="shared" si="18"/>
        <v>0</v>
      </c>
      <c r="K75" s="1023">
        <f t="shared" si="18"/>
        <v>0</v>
      </c>
      <c r="L75" s="1023">
        <f t="shared" si="18"/>
        <v>0</v>
      </c>
      <c r="M75" s="1023">
        <f t="shared" si="18"/>
        <v>-2181</v>
      </c>
      <c r="N75" s="1023">
        <f t="shared" si="18"/>
        <v>0</v>
      </c>
      <c r="O75" s="1023">
        <f t="shared" si="18"/>
        <v>0</v>
      </c>
      <c r="P75" s="1023">
        <f t="shared" si="18"/>
        <v>0</v>
      </c>
      <c r="Q75" s="1023">
        <f t="shared" si="18"/>
        <v>0</v>
      </c>
      <c r="R75" s="1023">
        <f t="shared" si="18"/>
        <v>0</v>
      </c>
      <c r="S75" s="1023">
        <f t="shared" si="18"/>
        <v>0</v>
      </c>
      <c r="T75" s="1023">
        <f t="shared" si="18"/>
        <v>0</v>
      </c>
      <c r="U75" s="1023">
        <f t="shared" si="18"/>
        <v>0</v>
      </c>
      <c r="V75" s="1023">
        <f t="shared" si="18"/>
        <v>0</v>
      </c>
      <c r="W75" s="1023">
        <f t="shared" si="18"/>
        <v>0</v>
      </c>
      <c r="X75" s="1023">
        <f t="shared" si="18"/>
        <v>0</v>
      </c>
      <c r="Y75" s="1023">
        <f t="shared" si="18"/>
        <v>0</v>
      </c>
      <c r="Z75" s="1023">
        <f t="shared" si="18"/>
        <v>0</v>
      </c>
      <c r="AA75" s="1023">
        <f t="shared" si="18"/>
        <v>0</v>
      </c>
      <c r="AB75" s="776"/>
    </row>
  </sheetData>
  <mergeCells count="7">
    <mergeCell ref="P1:R1"/>
    <mergeCell ref="F38:G38"/>
    <mergeCell ref="L38:N38"/>
    <mergeCell ref="I38:K38"/>
    <mergeCell ref="F1:G1"/>
    <mergeCell ref="I1:K1"/>
    <mergeCell ref="L1:N1"/>
  </mergeCells>
  <pageMargins left="0.7" right="0.7" top="0.75" bottom="0.75" header="0.3" footer="0.3"/>
  <pageSetup paperSize="9" scale="54" fitToHeight="0" orientation="landscape" horizontalDpi="0" verticalDpi="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FC0F9-5D7A-48E2-9730-E0E88D184EB9}">
  <sheetPr>
    <pageSetUpPr fitToPage="1"/>
  </sheetPr>
  <dimension ref="A1:AC463"/>
  <sheetViews>
    <sheetView workbookViewId="0"/>
  </sheetViews>
  <sheetFormatPr defaultRowHeight="12.75"/>
  <cols>
    <col min="5" max="5" width="5.28515625" customWidth="1"/>
    <col min="7" max="7" width="10.28515625" customWidth="1"/>
  </cols>
  <sheetData>
    <row r="1" spans="1:29" ht="18">
      <c r="A1" s="799" t="s">
        <v>0</v>
      </c>
      <c r="B1" s="904"/>
      <c r="C1" s="904"/>
      <c r="D1" s="904"/>
      <c r="E1" s="1443" t="e">
        <f>#REF!</f>
        <v>#REF!</v>
      </c>
      <c r="F1" s="1444"/>
      <c r="G1" s="1444"/>
      <c r="H1" s="1444"/>
      <c r="I1" s="776"/>
      <c r="J1" s="776"/>
      <c r="K1" s="776"/>
      <c r="L1" s="44"/>
      <c r="M1" s="1201"/>
      <c r="N1" s="1201"/>
      <c r="O1" s="914"/>
      <c r="P1" s="915"/>
      <c r="Q1" s="7"/>
      <c r="R1" s="644"/>
      <c r="S1" s="7"/>
      <c r="T1" s="7"/>
      <c r="U1" s="7"/>
      <c r="V1" s="7"/>
      <c r="W1" s="1480" t="s">
        <v>507</v>
      </c>
      <c r="X1" s="1481"/>
      <c r="Y1" s="1481"/>
      <c r="Z1" s="1481"/>
      <c r="AA1" s="1482">
        <f>'3_Fin-Stat'!$AA$46+0.21</f>
        <v>0.21</v>
      </c>
      <c r="AB1" s="1236" t="s">
        <v>508</v>
      </c>
      <c r="AC1" s="776"/>
    </row>
    <row r="2" spans="1:29">
      <c r="A2" s="806" t="s">
        <v>2</v>
      </c>
      <c r="B2" s="961"/>
      <c r="C2" s="962"/>
      <c r="D2" s="963"/>
      <c r="E2" s="242"/>
      <c r="F2" s="69">
        <v>0</v>
      </c>
      <c r="G2" s="69">
        <f t="shared" ref="G2:AB3" si="0">F2+1</f>
        <v>1</v>
      </c>
      <c r="H2" s="69">
        <f t="shared" si="0"/>
        <v>2</v>
      </c>
      <c r="I2" s="69">
        <f t="shared" si="0"/>
        <v>3</v>
      </c>
      <c r="J2" s="73">
        <f t="shared" si="0"/>
        <v>4</v>
      </c>
      <c r="K2" s="69">
        <f t="shared" si="0"/>
        <v>5</v>
      </c>
      <c r="L2" s="69">
        <f t="shared" si="0"/>
        <v>6</v>
      </c>
      <c r="M2" s="69">
        <f t="shared" si="0"/>
        <v>7</v>
      </c>
      <c r="N2" s="69">
        <f t="shared" si="0"/>
        <v>8</v>
      </c>
      <c r="O2" s="69">
        <f t="shared" si="0"/>
        <v>9</v>
      </c>
      <c r="P2" s="69">
        <f t="shared" si="0"/>
        <v>10</v>
      </c>
      <c r="Q2" s="69">
        <f t="shared" si="0"/>
        <v>11</v>
      </c>
      <c r="R2" s="69">
        <f t="shared" si="0"/>
        <v>12</v>
      </c>
      <c r="S2" s="69">
        <f t="shared" si="0"/>
        <v>13</v>
      </c>
      <c r="T2" s="69">
        <f t="shared" si="0"/>
        <v>14</v>
      </c>
      <c r="U2" s="69">
        <f t="shared" si="0"/>
        <v>15</v>
      </c>
      <c r="V2" s="69">
        <f t="shared" si="0"/>
        <v>16</v>
      </c>
      <c r="W2" s="69">
        <f t="shared" si="0"/>
        <v>17</v>
      </c>
      <c r="X2" s="69">
        <f t="shared" si="0"/>
        <v>18</v>
      </c>
      <c r="Y2" s="69">
        <f t="shared" si="0"/>
        <v>19</v>
      </c>
      <c r="Z2" s="69">
        <f t="shared" si="0"/>
        <v>20</v>
      </c>
      <c r="AA2" s="69">
        <f t="shared" si="0"/>
        <v>21</v>
      </c>
      <c r="AB2" s="69">
        <f t="shared" si="0"/>
        <v>22</v>
      </c>
      <c r="AC2" s="776"/>
    </row>
    <row r="3" spans="1:29">
      <c r="A3" s="52" t="s">
        <v>31</v>
      </c>
      <c r="B3" s="776"/>
      <c r="C3" s="776"/>
      <c r="D3" s="1266" t="s">
        <v>32</v>
      </c>
      <c r="E3" s="1266" t="s">
        <v>3</v>
      </c>
      <c r="F3" s="1202">
        <v>1999</v>
      </c>
      <c r="G3" s="1202">
        <f t="shared" si="0"/>
        <v>2000</v>
      </c>
      <c r="H3" s="1202">
        <f t="shared" si="0"/>
        <v>2001</v>
      </c>
      <c r="I3" s="1202">
        <f t="shared" si="0"/>
        <v>2002</v>
      </c>
      <c r="J3" s="1202">
        <f t="shared" si="0"/>
        <v>2003</v>
      </c>
      <c r="K3" s="1202">
        <f t="shared" si="0"/>
        <v>2004</v>
      </c>
      <c r="L3" s="1202">
        <f t="shared" si="0"/>
        <v>2005</v>
      </c>
      <c r="M3" s="1202">
        <f t="shared" si="0"/>
        <v>2006</v>
      </c>
      <c r="N3" s="1202">
        <v>2007</v>
      </c>
      <c r="O3" s="1202">
        <f t="shared" si="0"/>
        <v>2008</v>
      </c>
      <c r="P3" s="1202">
        <f t="shared" si="0"/>
        <v>2009</v>
      </c>
      <c r="Q3" s="1202">
        <f t="shared" si="0"/>
        <v>2010</v>
      </c>
      <c r="R3" s="1202">
        <f t="shared" si="0"/>
        <v>2011</v>
      </c>
      <c r="S3" s="1202">
        <f t="shared" si="0"/>
        <v>2012</v>
      </c>
      <c r="T3" s="1202">
        <f t="shared" si="0"/>
        <v>2013</v>
      </c>
      <c r="U3" s="1202">
        <f t="shared" si="0"/>
        <v>2014</v>
      </c>
      <c r="V3" s="1202">
        <f t="shared" si="0"/>
        <v>2015</v>
      </c>
      <c r="W3" s="1202">
        <f t="shared" si="0"/>
        <v>2016</v>
      </c>
      <c r="X3" s="1202">
        <f t="shared" si="0"/>
        <v>2017</v>
      </c>
      <c r="Y3" s="1202">
        <f t="shared" si="0"/>
        <v>2018</v>
      </c>
      <c r="Z3" s="1202">
        <f t="shared" si="0"/>
        <v>2019</v>
      </c>
      <c r="AA3" s="1202">
        <f t="shared" si="0"/>
        <v>2020</v>
      </c>
      <c r="AB3" s="1202">
        <f t="shared" si="0"/>
        <v>2021</v>
      </c>
      <c r="AC3" s="776"/>
    </row>
    <row r="4" spans="1:29" ht="18">
      <c r="A4" s="1246" t="s">
        <v>509</v>
      </c>
      <c r="B4" s="1246"/>
      <c r="C4" s="1246"/>
      <c r="D4" s="1246"/>
      <c r="E4" s="1246"/>
      <c r="F4" s="64"/>
      <c r="G4" s="776"/>
      <c r="H4" s="73">
        <f>M2</f>
        <v>7</v>
      </c>
      <c r="I4" s="776"/>
      <c r="J4" s="776"/>
      <c r="K4" s="776"/>
      <c r="L4" s="776"/>
      <c r="M4" s="64"/>
      <c r="N4" s="64"/>
      <c r="O4" s="64"/>
      <c r="P4" s="64">
        <f>M2</f>
        <v>7</v>
      </c>
      <c r="Q4" s="64"/>
      <c r="R4" s="64"/>
      <c r="S4" s="64"/>
      <c r="T4" s="64">
        <f>N2</f>
        <v>8</v>
      </c>
      <c r="U4" s="64"/>
      <c r="V4" s="64"/>
      <c r="W4" s="1483"/>
      <c r="X4" s="1483"/>
      <c r="Y4" s="1483"/>
      <c r="Z4" s="1483"/>
      <c r="AA4" s="1483"/>
      <c r="AB4" s="1256"/>
      <c r="AC4" s="11"/>
    </row>
    <row r="5" spans="1:29">
      <c r="A5" s="1018" t="s">
        <v>510</v>
      </c>
      <c r="B5" s="26"/>
      <c r="C5" s="26"/>
      <c r="D5" s="26"/>
      <c r="E5" s="922"/>
      <c r="F5" s="879"/>
      <c r="G5" s="776"/>
      <c r="H5" s="776"/>
      <c r="I5" s="776"/>
      <c r="J5" s="776"/>
      <c r="K5" s="776"/>
      <c r="L5" s="776"/>
      <c r="M5" s="776"/>
      <c r="N5" s="776"/>
      <c r="O5" s="776"/>
      <c r="P5" s="776"/>
      <c r="Q5" s="776"/>
      <c r="R5" s="776"/>
      <c r="S5" s="776"/>
      <c r="T5" s="776"/>
      <c r="U5" s="776"/>
      <c r="V5" s="776"/>
      <c r="W5" s="45"/>
      <c r="X5" s="18"/>
      <c r="Y5" s="18"/>
      <c r="Z5" s="18"/>
      <c r="AA5" s="18"/>
      <c r="AB5" s="11"/>
      <c r="AC5" s="11"/>
    </row>
    <row r="6" spans="1:29" s="776" customFormat="1">
      <c r="A6" s="69"/>
      <c r="B6" s="67"/>
      <c r="C6" s="67"/>
      <c r="D6" s="67"/>
      <c r="E6" s="4"/>
      <c r="F6" s="1254"/>
      <c r="G6" s="4"/>
      <c r="H6" s="1019">
        <v>2006</v>
      </c>
      <c r="Y6" s="71"/>
      <c r="Z6" s="71"/>
      <c r="AA6" s="793"/>
      <c r="AB6" s="793"/>
      <c r="AC6" s="793"/>
    </row>
    <row r="7" spans="1:29">
      <c r="A7" s="73"/>
      <c r="B7" s="74" t="s">
        <v>511</v>
      </c>
      <c r="C7" s="74"/>
      <c r="D7" s="894"/>
      <c r="E7" s="894"/>
      <c r="F7" s="924"/>
      <c r="G7" s="4"/>
      <c r="H7" s="4"/>
      <c r="I7" s="776"/>
      <c r="X7" s="71"/>
      <c r="Y7" s="173"/>
      <c r="Z7" s="173"/>
      <c r="AA7" s="242"/>
      <c r="AB7" s="52"/>
      <c r="AC7" s="52"/>
    </row>
    <row r="8" spans="1:29">
      <c r="A8" s="73"/>
      <c r="B8" s="776"/>
      <c r="C8" s="776"/>
      <c r="D8" s="776"/>
      <c r="E8" s="266"/>
      <c r="F8" s="899"/>
      <c r="G8" s="776"/>
      <c r="H8" s="776"/>
      <c r="I8" s="776"/>
      <c r="X8" s="173"/>
      <c r="Y8" s="173"/>
      <c r="Z8" s="173"/>
      <c r="AA8" s="242"/>
      <c r="AB8" s="52"/>
      <c r="AC8" s="52"/>
    </row>
    <row r="9" spans="1:29">
      <c r="A9" s="73"/>
      <c r="B9" s="242" t="s">
        <v>294</v>
      </c>
      <c r="C9" s="73"/>
      <c r="D9" s="266"/>
      <c r="E9" s="776"/>
      <c r="F9" s="899"/>
      <c r="G9" s="776"/>
      <c r="H9" s="793">
        <v>-7994</v>
      </c>
      <c r="I9" s="776"/>
      <c r="X9" s="173"/>
      <c r="Y9" s="173"/>
      <c r="Z9" s="173"/>
      <c r="AA9" s="242"/>
      <c r="AB9" s="52"/>
      <c r="AC9" s="52"/>
    </row>
    <row r="10" spans="1:29">
      <c r="A10" s="73"/>
      <c r="B10" s="73" t="s">
        <v>514</v>
      </c>
      <c r="C10" s="73"/>
      <c r="D10" s="266"/>
      <c r="E10" s="776"/>
      <c r="F10" s="899"/>
      <c r="G10" s="776"/>
      <c r="H10" s="793">
        <v>60553</v>
      </c>
      <c r="I10" s="776"/>
      <c r="X10" s="173"/>
      <c r="Y10" s="173"/>
      <c r="Z10" s="173"/>
      <c r="AA10" s="242"/>
      <c r="AB10" s="52"/>
      <c r="AC10" s="52"/>
    </row>
    <row r="11" spans="1:29">
      <c r="A11" s="73"/>
      <c r="B11" s="73" t="s">
        <v>516</v>
      </c>
      <c r="C11" s="73"/>
      <c r="D11" s="266"/>
      <c r="E11" s="776"/>
      <c r="F11" s="899"/>
      <c r="G11" s="776"/>
      <c r="H11" s="793">
        <v>-6560</v>
      </c>
      <c r="I11" s="776"/>
      <c r="X11" s="173"/>
      <c r="Y11" s="173"/>
      <c r="Z11" s="173"/>
      <c r="AA11" s="242"/>
      <c r="AB11" s="52"/>
      <c r="AC11" s="52"/>
    </row>
    <row r="12" spans="1:29">
      <c r="A12" s="73"/>
      <c r="B12" s="73" t="s">
        <v>314</v>
      </c>
      <c r="C12" s="73"/>
      <c r="D12" s="266"/>
      <c r="E12" s="776"/>
      <c r="F12" s="899"/>
      <c r="G12" s="776"/>
      <c r="H12" s="899">
        <v>3614</v>
      </c>
      <c r="I12" s="776"/>
      <c r="X12" s="173"/>
      <c r="Y12" s="173"/>
      <c r="Z12" s="173"/>
      <c r="AA12" s="242"/>
      <c r="AB12" s="52"/>
      <c r="AC12" s="52"/>
    </row>
    <row r="13" spans="1:29">
      <c r="A13" s="73"/>
      <c r="B13" s="73" t="s">
        <v>433</v>
      </c>
      <c r="C13" s="73"/>
      <c r="D13" s="266"/>
      <c r="E13" s="776"/>
      <c r="F13" s="899"/>
      <c r="G13" s="776"/>
      <c r="H13" s="793">
        <v>132</v>
      </c>
      <c r="I13" s="776"/>
      <c r="X13" s="173"/>
      <c r="Y13" s="173"/>
      <c r="Z13" s="173"/>
      <c r="AA13" s="242"/>
      <c r="AB13" s="52"/>
      <c r="AC13" s="52"/>
    </row>
    <row r="14" spans="1:29">
      <c r="A14" s="73"/>
      <c r="B14" s="73" t="s">
        <v>460</v>
      </c>
      <c r="C14" s="73"/>
      <c r="D14" s="266"/>
      <c r="E14" s="776"/>
      <c r="F14" s="899"/>
      <c r="G14" s="776"/>
      <c r="H14" s="793">
        <v>-3614</v>
      </c>
      <c r="I14" s="776"/>
      <c r="X14" s="173"/>
      <c r="Y14" s="173"/>
      <c r="Z14" s="173"/>
      <c r="AA14" s="242"/>
      <c r="AB14" s="52"/>
      <c r="AC14" s="52"/>
    </row>
    <row r="15" spans="1:29" ht="13.5" thickBot="1">
      <c r="A15" s="73"/>
      <c r="B15" s="922" t="s">
        <v>6</v>
      </c>
      <c r="C15" s="73"/>
      <c r="D15" s="266"/>
      <c r="E15" s="776"/>
      <c r="F15" s="899"/>
      <c r="G15" s="776"/>
      <c r="H15" s="925">
        <f>SUM(H9:H14)</f>
        <v>46131</v>
      </c>
      <c r="I15" s="776"/>
      <c r="X15" s="173"/>
      <c r="Y15" s="173"/>
      <c r="Z15" s="173"/>
      <c r="AA15" s="242"/>
      <c r="AB15" s="52"/>
      <c r="AC15" s="52"/>
    </row>
    <row r="16" spans="1:29" ht="13.5" thickTop="1">
      <c r="A16" s="73"/>
      <c r="B16" s="73"/>
      <c r="C16" s="73"/>
      <c r="D16" s="266"/>
      <c r="E16" s="776"/>
      <c r="F16" s="899"/>
      <c r="G16" s="776"/>
      <c r="H16" s="793"/>
      <c r="I16" s="776"/>
      <c r="X16" s="173"/>
      <c r="Y16" s="173"/>
      <c r="Z16" s="173"/>
      <c r="AA16" s="242"/>
      <c r="AB16" s="52"/>
      <c r="AC16" s="52"/>
    </row>
    <row r="17" spans="1:29">
      <c r="A17" s="73"/>
      <c r="B17" s="73" t="s">
        <v>514</v>
      </c>
      <c r="C17" s="73"/>
      <c r="D17" s="266"/>
      <c r="E17" s="776"/>
      <c r="F17" s="899"/>
      <c r="G17" s="776"/>
      <c r="H17" s="793">
        <v>21004</v>
      </c>
      <c r="I17" s="776"/>
      <c r="X17" s="173"/>
      <c r="Y17" s="173"/>
      <c r="Z17" s="173"/>
      <c r="AA17" s="242"/>
      <c r="AB17" s="52"/>
      <c r="AC17" s="52"/>
    </row>
    <row r="18" spans="1:29">
      <c r="A18" s="73"/>
      <c r="B18" s="73" t="s">
        <v>341</v>
      </c>
      <c r="C18" s="73"/>
      <c r="D18" s="266"/>
      <c r="E18" s="776"/>
      <c r="F18" s="899"/>
      <c r="G18" s="776"/>
      <c r="H18" s="793">
        <v>5545</v>
      </c>
      <c r="I18" s="776"/>
      <c r="X18" s="173"/>
      <c r="Y18" s="173"/>
      <c r="Z18" s="173"/>
      <c r="AA18" s="242"/>
      <c r="AB18" s="52"/>
      <c r="AC18" s="52"/>
    </row>
    <row r="19" spans="1:29">
      <c r="A19" s="73"/>
      <c r="B19" s="73" t="s">
        <v>469</v>
      </c>
      <c r="C19" s="73"/>
      <c r="D19" s="266"/>
      <c r="E19" s="776"/>
      <c r="F19" s="899"/>
      <c r="G19" s="776"/>
      <c r="H19" s="899">
        <v>818870</v>
      </c>
      <c r="I19" s="776"/>
      <c r="X19" s="173"/>
      <c r="Y19" s="173"/>
      <c r="Z19" s="173"/>
      <c r="AA19" s="242"/>
      <c r="AB19" s="52"/>
      <c r="AC19" s="52"/>
    </row>
    <row r="20" spans="1:29">
      <c r="A20" s="73"/>
      <c r="B20" s="73" t="s">
        <v>520</v>
      </c>
      <c r="C20" s="73"/>
      <c r="D20" s="266"/>
      <c r="E20" s="776"/>
      <c r="F20" s="899"/>
      <c r="G20" s="776"/>
      <c r="H20" s="793">
        <v>-1</v>
      </c>
      <c r="I20" s="776"/>
      <c r="X20" s="173"/>
      <c r="Y20" s="173"/>
      <c r="Z20" s="173"/>
      <c r="AA20" s="242"/>
      <c r="AB20" s="52"/>
      <c r="AC20" s="52"/>
    </row>
    <row r="21" spans="1:29" ht="13.5" thickBot="1">
      <c r="A21" s="73"/>
      <c r="B21" s="922" t="s">
        <v>7</v>
      </c>
      <c r="C21" s="73"/>
      <c r="D21" s="266"/>
      <c r="E21" s="776"/>
      <c r="F21" s="899"/>
      <c r="G21" s="776"/>
      <c r="H21" s="925">
        <f>SUM(H17:H20)</f>
        <v>845418</v>
      </c>
      <c r="I21" s="776"/>
      <c r="X21" s="173"/>
      <c r="Y21" s="173"/>
      <c r="Z21" s="173"/>
      <c r="AA21" s="242"/>
      <c r="AB21" s="52"/>
      <c r="AC21" s="52"/>
    </row>
    <row r="22" spans="1:29" ht="13.5" thickTop="1">
      <c r="A22" s="73"/>
      <c r="B22" s="922" t="s">
        <v>522</v>
      </c>
      <c r="C22" s="73"/>
      <c r="D22" s="266"/>
      <c r="E22" s="776"/>
      <c r="F22" s="899"/>
      <c r="G22" s="776"/>
      <c r="H22" s="793">
        <f>H21-H15</f>
        <v>799287</v>
      </c>
      <c r="I22" s="776"/>
      <c r="X22" s="173"/>
      <c r="Y22" s="173"/>
      <c r="Z22" s="173"/>
      <c r="AA22" s="242"/>
      <c r="AB22" s="52"/>
      <c r="AC22" s="52"/>
    </row>
    <row r="23" spans="1:29">
      <c r="A23" s="73"/>
      <c r="B23" s="922"/>
      <c r="C23" s="73"/>
      <c r="D23" s="266"/>
      <c r="E23" s="776"/>
      <c r="F23" s="899"/>
      <c r="G23" s="776"/>
      <c r="H23" s="793"/>
      <c r="I23" s="776"/>
      <c r="X23" s="173"/>
      <c r="Y23" s="173"/>
      <c r="Z23" s="173"/>
      <c r="AA23" s="242"/>
      <c r="AB23" s="52"/>
      <c r="AC23" s="52"/>
    </row>
    <row r="24" spans="1:29" ht="13.5" thickBot="1">
      <c r="A24" s="73"/>
      <c r="B24" s="922" t="s">
        <v>352</v>
      </c>
      <c r="C24" s="73"/>
      <c r="D24" s="266"/>
      <c r="E24" s="776"/>
      <c r="F24" s="899"/>
      <c r="G24" s="776"/>
      <c r="H24" s="987">
        <v>799287</v>
      </c>
      <c r="I24" s="776"/>
      <c r="X24" s="173"/>
      <c r="Y24" s="173"/>
      <c r="Z24" s="173"/>
      <c r="AA24" s="242"/>
      <c r="AB24" s="52"/>
      <c r="AC24" s="52"/>
    </row>
    <row r="25" spans="1:29" ht="13.5" thickTop="1">
      <c r="A25" s="73"/>
      <c r="B25" s="776"/>
      <c r="C25" s="776"/>
      <c r="D25" s="776"/>
      <c r="E25" s="776"/>
      <c r="F25" s="776"/>
      <c r="G25" s="776"/>
      <c r="H25" s="776"/>
      <c r="I25" s="776"/>
      <c r="X25" s="173"/>
      <c r="Y25" s="173"/>
      <c r="Z25" s="173"/>
      <c r="AA25" s="242"/>
      <c r="AB25" s="52"/>
      <c r="AC25" s="52"/>
    </row>
    <row r="26" spans="1:29" s="776" customFormat="1">
      <c r="A26" s="10"/>
      <c r="B26" s="10"/>
      <c r="C26" s="10"/>
      <c r="D26" s="10"/>
      <c r="E26" s="10"/>
      <c r="F26" s="1266" t="s">
        <v>3</v>
      </c>
      <c r="G26" s="1202">
        <v>2006</v>
      </c>
      <c r="H26" s="1202"/>
      <c r="I26" s="1202">
        <v>2006</v>
      </c>
      <c r="J26" s="1217"/>
      <c r="K26" s="1217"/>
      <c r="L26" s="1217"/>
      <c r="M26" s="1217"/>
      <c r="N26" s="1217"/>
      <c r="O26" s="1217"/>
      <c r="P26" s="1217"/>
      <c r="Q26" s="13"/>
      <c r="R26" s="793"/>
      <c r="S26" s="793"/>
      <c r="T26" s="793"/>
      <c r="U26" s="793"/>
      <c r="V26" s="793"/>
      <c r="W26" s="793"/>
      <c r="X26" s="10"/>
      <c r="Y26" s="10"/>
      <c r="Z26" s="10"/>
      <c r="AA26" s="10"/>
      <c r="AB26" s="10"/>
    </row>
    <row r="27" spans="1:29" s="776" customFormat="1">
      <c r="E27" s="10"/>
      <c r="F27" s="10"/>
      <c r="G27" s="1262" t="s">
        <v>289</v>
      </c>
      <c r="H27" s="1262" t="s">
        <v>525</v>
      </c>
      <c r="I27" s="1262" t="s">
        <v>291</v>
      </c>
      <c r="J27" s="10"/>
      <c r="K27" s="10"/>
      <c r="L27" s="10"/>
      <c r="M27" s="899"/>
      <c r="N27" s="899"/>
      <c r="O27" s="899"/>
      <c r="P27" s="793"/>
      <c r="Q27" s="793"/>
      <c r="R27" s="793"/>
      <c r="S27" s="793"/>
      <c r="T27" s="793"/>
      <c r="U27" s="793"/>
      <c r="V27" s="793"/>
      <c r="W27" s="793"/>
      <c r="X27" s="10"/>
      <c r="Y27" s="10"/>
      <c r="Z27" s="10"/>
      <c r="AA27" s="10"/>
      <c r="AB27" s="10"/>
    </row>
    <row r="28" spans="1:29" s="776" customFormat="1">
      <c r="A28" s="1456" t="s">
        <v>142</v>
      </c>
      <c r="B28" s="1456"/>
      <c r="C28" s="1456"/>
      <c r="D28" s="1456"/>
      <c r="E28" s="10"/>
      <c r="F28" s="10"/>
      <c r="G28" s="1262"/>
      <c r="H28" s="1262"/>
      <c r="I28" s="1262"/>
      <c r="J28" s="10"/>
      <c r="K28" s="10"/>
      <c r="L28" s="10"/>
      <c r="M28" s="899"/>
      <c r="N28" s="899"/>
      <c r="O28" s="899"/>
      <c r="P28" s="793"/>
      <c r="Q28" s="793"/>
      <c r="R28" s="793"/>
      <c r="S28" s="793"/>
      <c r="T28" s="793"/>
      <c r="U28" s="793"/>
      <c r="V28" s="793"/>
      <c r="W28" s="793"/>
      <c r="X28" s="10"/>
      <c r="Y28" s="10"/>
      <c r="Z28" s="10"/>
      <c r="AA28" s="10"/>
      <c r="AB28" s="10"/>
    </row>
    <row r="29" spans="1:29" s="776" customFormat="1">
      <c r="A29" s="242"/>
      <c r="B29" s="242" t="s">
        <v>292</v>
      </c>
      <c r="C29" s="242"/>
      <c r="D29" s="242"/>
      <c r="E29" s="10"/>
      <c r="F29" s="10"/>
      <c r="G29" s="793">
        <v>251824</v>
      </c>
      <c r="H29" s="793"/>
      <c r="I29" s="793">
        <f>G29+H29</f>
        <v>251824</v>
      </c>
      <c r="J29" s="10"/>
      <c r="K29" s="10"/>
      <c r="L29" s="10"/>
      <c r="M29" s="899"/>
      <c r="N29" s="899"/>
      <c r="O29" s="899"/>
      <c r="P29" s="793"/>
      <c r="Q29" s="793"/>
      <c r="R29" s="793"/>
      <c r="S29" s="793"/>
      <c r="T29" s="793"/>
      <c r="U29" s="793"/>
      <c r="V29" s="793"/>
      <c r="W29" s="793"/>
      <c r="X29" s="10"/>
      <c r="Y29" s="10"/>
      <c r="Z29" s="10"/>
      <c r="AA29" s="10"/>
      <c r="AB29" s="10"/>
    </row>
    <row r="30" spans="1:29" s="776" customFormat="1">
      <c r="A30" s="242"/>
      <c r="B30" s="242" t="s">
        <v>293</v>
      </c>
      <c r="C30" s="242"/>
      <c r="D30" s="242"/>
      <c r="E30" s="10"/>
      <c r="F30" s="10"/>
      <c r="G30" s="793"/>
      <c r="H30" s="793"/>
      <c r="I30" s="793">
        <f t="shared" ref="I30:I93" si="1">G30+H30</f>
        <v>0</v>
      </c>
      <c r="J30" s="10"/>
      <c r="K30" s="10"/>
      <c r="L30" s="10"/>
      <c r="M30" s="899"/>
      <c r="N30" s="899"/>
      <c r="O30" s="899"/>
      <c r="P30" s="793"/>
      <c r="Q30" s="793"/>
      <c r="R30" s="793"/>
      <c r="S30" s="793"/>
      <c r="T30" s="793"/>
      <c r="U30" s="793"/>
      <c r="V30" s="793"/>
      <c r="W30" s="793"/>
      <c r="X30" s="10"/>
      <c r="Y30" s="10"/>
      <c r="Z30" s="10"/>
      <c r="AA30" s="10"/>
      <c r="AB30" s="10"/>
    </row>
    <row r="31" spans="1:29" s="776" customFormat="1" ht="13.5">
      <c r="A31" s="242"/>
      <c r="B31" s="242" t="s">
        <v>294</v>
      </c>
      <c r="C31" s="970"/>
      <c r="D31" s="970"/>
      <c r="E31" s="10"/>
      <c r="F31" s="10"/>
      <c r="G31" s="793">
        <v>230433</v>
      </c>
      <c r="H31" s="793">
        <v>-7994</v>
      </c>
      <c r="I31" s="793">
        <f t="shared" si="1"/>
        <v>222439</v>
      </c>
      <c r="J31" s="10"/>
      <c r="K31" s="10"/>
      <c r="L31" s="10"/>
      <c r="M31" s="899"/>
      <c r="N31" s="899"/>
      <c r="O31" s="899"/>
      <c r="P31" s="793"/>
      <c r="Q31" s="793"/>
      <c r="R31" s="793"/>
      <c r="S31" s="793"/>
      <c r="T31" s="793"/>
      <c r="U31" s="793"/>
      <c r="V31" s="793"/>
      <c r="W31" s="793"/>
      <c r="X31" s="10"/>
      <c r="Y31" s="10"/>
      <c r="Z31" s="10"/>
      <c r="AA31" s="10"/>
      <c r="AB31" s="10"/>
    </row>
    <row r="32" spans="1:29" s="776" customFormat="1" ht="13.5">
      <c r="A32" s="242"/>
      <c r="B32" s="242" t="s">
        <v>295</v>
      </c>
      <c r="C32" s="970"/>
      <c r="D32" s="970"/>
      <c r="E32" s="10"/>
      <c r="F32" s="10"/>
      <c r="G32" s="892">
        <v>-3730</v>
      </c>
      <c r="H32" s="793"/>
      <c r="I32" s="892">
        <f t="shared" si="1"/>
        <v>-3730</v>
      </c>
      <c r="J32" s="10"/>
      <c r="K32" s="10"/>
      <c r="L32" s="10"/>
      <c r="M32" s="899"/>
      <c r="N32" s="899"/>
      <c r="O32" s="899"/>
      <c r="P32" s="793"/>
      <c r="Q32" s="793"/>
      <c r="R32" s="793"/>
      <c r="S32" s="793"/>
      <c r="T32" s="793"/>
      <c r="U32" s="793"/>
      <c r="V32" s="793"/>
      <c r="W32" s="793"/>
      <c r="X32" s="10"/>
      <c r="Y32" s="10"/>
      <c r="Z32" s="10"/>
      <c r="AA32" s="10"/>
      <c r="AB32" s="10"/>
    </row>
    <row r="33" spans="1:28" s="776" customFormat="1" ht="13.5">
      <c r="A33" s="242"/>
      <c r="B33" s="242" t="s">
        <v>296</v>
      </c>
      <c r="C33" s="970"/>
      <c r="D33" s="970"/>
      <c r="E33" s="10"/>
      <c r="F33" s="10"/>
      <c r="G33" s="793">
        <f>SUM(G31:G32)</f>
        <v>226703</v>
      </c>
      <c r="H33" s="793"/>
      <c r="I33" s="793">
        <f>SUM(I31:I32)</f>
        <v>218709</v>
      </c>
      <c r="J33" s="10"/>
      <c r="K33" s="10"/>
      <c r="L33" s="10"/>
      <c r="M33" s="899"/>
      <c r="N33" s="899"/>
      <c r="O33" s="899"/>
      <c r="P33" s="793"/>
      <c r="Q33" s="793"/>
      <c r="R33" s="793"/>
      <c r="S33" s="793"/>
      <c r="T33" s="793"/>
      <c r="U33" s="793"/>
      <c r="V33" s="793"/>
      <c r="W33" s="793"/>
      <c r="X33" s="10"/>
      <c r="Y33" s="10"/>
      <c r="Z33" s="10"/>
      <c r="AA33" s="10"/>
      <c r="AB33" s="10"/>
    </row>
    <row r="34" spans="1:28" s="776" customFormat="1" ht="13.5">
      <c r="A34" s="242"/>
      <c r="B34" s="242" t="s">
        <v>297</v>
      </c>
      <c r="C34" s="970"/>
      <c r="D34" s="970"/>
      <c r="E34" s="10"/>
      <c r="F34" s="10"/>
      <c r="G34" s="793">
        <v>7425</v>
      </c>
      <c r="H34" s="793"/>
      <c r="I34" s="793">
        <f t="shared" si="1"/>
        <v>7425</v>
      </c>
      <c r="J34" s="10"/>
      <c r="K34" s="10"/>
      <c r="L34" s="10"/>
      <c r="M34" s="899"/>
      <c r="N34" s="899"/>
      <c r="O34" s="899"/>
      <c r="P34" s="793"/>
      <c r="Q34" s="793"/>
      <c r="R34" s="793"/>
      <c r="S34" s="793"/>
      <c r="T34" s="793"/>
      <c r="U34" s="793"/>
      <c r="V34" s="793"/>
      <c r="W34" s="793"/>
      <c r="X34" s="10"/>
      <c r="Y34" s="10"/>
      <c r="Z34" s="10"/>
      <c r="AA34" s="10"/>
      <c r="AB34" s="10"/>
    </row>
    <row r="35" spans="1:28" s="776" customFormat="1" ht="13.5">
      <c r="A35" s="242"/>
      <c r="B35" s="242" t="s">
        <v>298</v>
      </c>
      <c r="C35" s="970"/>
      <c r="D35" s="970"/>
      <c r="E35" s="10"/>
      <c r="F35" s="10"/>
      <c r="G35" s="793">
        <v>0</v>
      </c>
      <c r="H35" s="793"/>
      <c r="I35" s="793">
        <f t="shared" si="1"/>
        <v>0</v>
      </c>
      <c r="J35" s="10"/>
      <c r="K35" s="10"/>
      <c r="L35" s="10"/>
      <c r="M35" s="899"/>
      <c r="N35" s="899"/>
      <c r="O35" s="899"/>
      <c r="P35" s="793"/>
      <c r="Q35" s="793"/>
      <c r="R35" s="793"/>
      <c r="S35" s="793"/>
      <c r="T35" s="793"/>
      <c r="U35" s="793"/>
      <c r="V35" s="793"/>
      <c r="W35" s="793"/>
      <c r="X35" s="10"/>
      <c r="Y35" s="10"/>
      <c r="Z35" s="10"/>
      <c r="AA35" s="10"/>
      <c r="AB35" s="10"/>
    </row>
    <row r="36" spans="1:28" s="776" customFormat="1">
      <c r="A36" s="242"/>
      <c r="B36" s="242" t="s">
        <v>299</v>
      </c>
      <c r="C36" s="242"/>
      <c r="D36" s="242"/>
      <c r="E36" s="10"/>
      <c r="F36" s="10"/>
      <c r="G36" s="793">
        <v>3106</v>
      </c>
      <c r="H36" s="793"/>
      <c r="I36" s="793">
        <f t="shared" si="1"/>
        <v>3106</v>
      </c>
      <c r="J36" s="10"/>
      <c r="K36" s="10"/>
      <c r="L36" s="10"/>
      <c r="M36" s="899"/>
      <c r="N36" s="899"/>
      <c r="O36" s="899"/>
      <c r="P36" s="793"/>
      <c r="Q36" s="793"/>
      <c r="R36" s="793"/>
      <c r="S36" s="793"/>
      <c r="T36" s="793"/>
      <c r="U36" s="793"/>
      <c r="V36" s="793"/>
      <c r="W36" s="793"/>
      <c r="X36" s="10"/>
      <c r="Y36" s="10"/>
      <c r="Z36" s="10"/>
      <c r="AA36" s="10"/>
      <c r="AB36" s="10"/>
    </row>
    <row r="37" spans="1:28" s="776" customFormat="1">
      <c r="A37" s="242"/>
      <c r="B37" s="242" t="s">
        <v>300</v>
      </c>
      <c r="C37" s="242"/>
      <c r="D37" s="242"/>
      <c r="E37" s="10"/>
      <c r="F37" s="10"/>
      <c r="G37" s="892">
        <v>0</v>
      </c>
      <c r="H37" s="793"/>
      <c r="I37" s="892">
        <f t="shared" si="1"/>
        <v>0</v>
      </c>
      <c r="J37" s="10"/>
      <c r="K37" s="10"/>
      <c r="L37" s="10"/>
      <c r="M37" s="899"/>
      <c r="N37" s="899"/>
      <c r="O37" s="899"/>
      <c r="P37" s="793"/>
      <c r="Q37" s="793"/>
      <c r="R37" s="793"/>
      <c r="S37" s="793"/>
      <c r="T37" s="793"/>
      <c r="U37" s="793"/>
      <c r="V37" s="793"/>
      <c r="W37" s="793"/>
      <c r="X37" s="10"/>
      <c r="Y37" s="10"/>
      <c r="Z37" s="10"/>
      <c r="AA37" s="10"/>
      <c r="AB37" s="10"/>
    </row>
    <row r="38" spans="1:28" s="776" customFormat="1">
      <c r="A38" s="242"/>
      <c r="B38" s="242"/>
      <c r="C38" s="242"/>
      <c r="D38" s="242"/>
      <c r="E38" s="10"/>
      <c r="F38" s="10"/>
      <c r="G38" s="793">
        <f>SUM(G34:G37)</f>
        <v>10531</v>
      </c>
      <c r="H38" s="793"/>
      <c r="I38" s="793">
        <f>SUM(I34:I37)</f>
        <v>10531</v>
      </c>
      <c r="J38" s="10"/>
      <c r="K38" s="10"/>
      <c r="L38" s="10"/>
      <c r="M38" s="899"/>
      <c r="N38" s="899"/>
      <c r="O38" s="899"/>
      <c r="P38" s="793"/>
      <c r="Q38" s="793"/>
      <c r="R38" s="793"/>
      <c r="S38" s="793"/>
      <c r="T38" s="793"/>
      <c r="U38" s="793"/>
      <c r="V38" s="793"/>
      <c r="W38" s="793"/>
      <c r="X38" s="10"/>
      <c r="Y38" s="10"/>
      <c r="Z38" s="10"/>
      <c r="AA38" s="10"/>
      <c r="AB38" s="10"/>
    </row>
    <row r="39" spans="1:28" s="776" customFormat="1">
      <c r="A39" s="242"/>
      <c r="B39" s="242" t="s">
        <v>301</v>
      </c>
      <c r="C39" s="242"/>
      <c r="D39" s="242"/>
      <c r="E39" s="10"/>
      <c r="F39" s="10"/>
      <c r="G39" s="793">
        <v>0</v>
      </c>
      <c r="H39" s="793"/>
      <c r="I39" s="793">
        <f t="shared" si="1"/>
        <v>0</v>
      </c>
      <c r="J39" s="10"/>
      <c r="K39" s="10"/>
      <c r="L39" s="10"/>
      <c r="M39" s="899"/>
      <c r="N39" s="899"/>
      <c r="O39" s="899"/>
      <c r="P39" s="793"/>
      <c r="Q39" s="793"/>
      <c r="R39" s="793"/>
      <c r="S39" s="793"/>
      <c r="T39" s="793"/>
      <c r="U39" s="793"/>
      <c r="V39" s="793"/>
      <c r="W39" s="793"/>
      <c r="X39" s="10"/>
      <c r="Y39" s="10"/>
      <c r="Z39" s="10"/>
      <c r="AA39" s="10"/>
      <c r="AB39" s="10"/>
    </row>
    <row r="40" spans="1:28" s="776" customFormat="1">
      <c r="A40" s="242"/>
      <c r="B40" s="242" t="s">
        <v>302</v>
      </c>
      <c r="C40" s="242"/>
      <c r="D40" s="242"/>
      <c r="E40" s="10"/>
      <c r="F40" s="10"/>
      <c r="G40" s="793">
        <v>0</v>
      </c>
      <c r="H40" s="793"/>
      <c r="I40" s="793">
        <f t="shared" si="1"/>
        <v>0</v>
      </c>
      <c r="J40" s="10"/>
      <c r="K40" s="10"/>
      <c r="L40" s="10"/>
      <c r="M40" s="899"/>
      <c r="N40" s="899"/>
      <c r="O40" s="899"/>
      <c r="P40" s="793"/>
      <c r="Q40" s="793"/>
      <c r="R40" s="793"/>
      <c r="S40" s="793"/>
      <c r="T40" s="793"/>
      <c r="U40" s="793"/>
      <c r="V40" s="793"/>
      <c r="W40" s="793"/>
      <c r="X40" s="10"/>
      <c r="Y40" s="10"/>
      <c r="Z40" s="10"/>
      <c r="AA40" s="10"/>
      <c r="AB40" s="10"/>
    </row>
    <row r="41" spans="1:28" s="776" customFormat="1">
      <c r="A41" s="242"/>
      <c r="B41" s="242" t="s">
        <v>303</v>
      </c>
      <c r="C41" s="242"/>
      <c r="D41" s="242"/>
      <c r="E41" s="10"/>
      <c r="F41" s="10"/>
      <c r="G41" s="793">
        <v>0</v>
      </c>
      <c r="H41" s="793"/>
      <c r="I41" s="793">
        <f t="shared" si="1"/>
        <v>0</v>
      </c>
      <c r="J41" s="10"/>
      <c r="K41" s="10"/>
      <c r="L41" s="10"/>
      <c r="M41" s="899"/>
      <c r="N41" s="899"/>
      <c r="O41" s="899"/>
      <c r="P41" s="793"/>
      <c r="Q41" s="793"/>
      <c r="R41" s="793"/>
      <c r="S41" s="793"/>
      <c r="T41" s="793"/>
      <c r="U41" s="793"/>
      <c r="V41" s="793"/>
      <c r="W41" s="793"/>
      <c r="X41" s="10"/>
      <c r="Y41" s="10"/>
      <c r="Z41" s="10"/>
      <c r="AA41" s="10"/>
      <c r="AB41" s="10"/>
    </row>
    <row r="42" spans="1:28" s="776" customFormat="1">
      <c r="A42" s="242"/>
      <c r="B42" s="242" t="s">
        <v>304</v>
      </c>
      <c r="C42" s="242"/>
      <c r="D42" s="242"/>
      <c r="E42" s="10"/>
      <c r="F42" s="10"/>
      <c r="G42" s="793">
        <v>0</v>
      </c>
      <c r="H42" s="793"/>
      <c r="I42" s="793">
        <f t="shared" si="1"/>
        <v>0</v>
      </c>
      <c r="J42" s="10"/>
      <c r="K42" s="10"/>
      <c r="L42" s="10"/>
      <c r="M42" s="899"/>
      <c r="N42" s="899"/>
      <c r="O42" s="899"/>
      <c r="P42" s="793"/>
      <c r="Q42" s="793"/>
      <c r="R42" s="793"/>
      <c r="S42" s="793"/>
      <c r="T42" s="793"/>
      <c r="U42" s="793"/>
      <c r="V42" s="793"/>
      <c r="W42" s="793"/>
      <c r="X42" s="10"/>
      <c r="Y42" s="10"/>
      <c r="Z42" s="10"/>
      <c r="AA42" s="10"/>
      <c r="AB42" s="10"/>
    </row>
    <row r="43" spans="1:28" s="776" customFormat="1">
      <c r="A43" s="242"/>
      <c r="B43" s="242" t="s">
        <v>305</v>
      </c>
      <c r="C43" s="242"/>
      <c r="D43" s="242"/>
      <c r="E43" s="10"/>
      <c r="F43" s="10"/>
      <c r="G43" s="793">
        <v>0</v>
      </c>
      <c r="H43" s="793"/>
      <c r="I43" s="793">
        <f t="shared" si="1"/>
        <v>0</v>
      </c>
      <c r="J43" s="10"/>
      <c r="K43" s="10"/>
      <c r="L43" s="10"/>
      <c r="M43" s="899"/>
      <c r="N43" s="899"/>
      <c r="O43" s="899"/>
      <c r="P43" s="793"/>
      <c r="Q43" s="793"/>
      <c r="R43" s="793"/>
      <c r="S43" s="793"/>
      <c r="T43" s="793"/>
      <c r="U43" s="793"/>
      <c r="V43" s="793"/>
      <c r="W43" s="793"/>
      <c r="X43" s="10"/>
      <c r="Y43" s="10"/>
      <c r="Z43" s="10"/>
      <c r="AA43" s="10"/>
      <c r="AB43" s="10"/>
    </row>
    <row r="44" spans="1:28" s="776" customFormat="1">
      <c r="A44" s="242"/>
      <c r="B44" s="242" t="s">
        <v>306</v>
      </c>
      <c r="C44" s="242"/>
      <c r="D44" s="242"/>
      <c r="E44" s="10"/>
      <c r="F44" s="10"/>
      <c r="G44" s="793">
        <v>23395</v>
      </c>
      <c r="H44" s="793">
        <v>-6560</v>
      </c>
      <c r="I44" s="793">
        <f t="shared" si="1"/>
        <v>16835</v>
      </c>
      <c r="J44" s="10"/>
      <c r="K44" s="10"/>
      <c r="L44" s="10"/>
      <c r="M44" s="899"/>
      <c r="N44" s="899"/>
      <c r="O44" s="899"/>
      <c r="P44" s="793"/>
      <c r="Q44" s="793"/>
      <c r="R44" s="793"/>
      <c r="S44" s="793"/>
      <c r="T44" s="793"/>
      <c r="U44" s="793"/>
      <c r="V44" s="793"/>
      <c r="W44" s="793"/>
      <c r="X44" s="10"/>
      <c r="Y44" s="10"/>
      <c r="Z44" s="10"/>
      <c r="AA44" s="10"/>
      <c r="AB44" s="10"/>
    </row>
    <row r="45" spans="1:28" s="776" customFormat="1">
      <c r="A45" s="242"/>
      <c r="B45" s="242" t="s">
        <v>307</v>
      </c>
      <c r="C45" s="242"/>
      <c r="D45" s="242"/>
      <c r="E45" s="10"/>
      <c r="F45" s="10"/>
      <c r="G45" s="793">
        <v>0</v>
      </c>
      <c r="H45" s="793"/>
      <c r="I45" s="793">
        <f t="shared" si="1"/>
        <v>0</v>
      </c>
      <c r="J45" s="10"/>
      <c r="K45" s="10"/>
      <c r="L45" s="10"/>
      <c r="M45" s="899"/>
      <c r="N45" s="899"/>
      <c r="O45" s="899"/>
      <c r="P45" s="793"/>
      <c r="Q45" s="793"/>
      <c r="R45" s="793"/>
      <c r="S45" s="793"/>
      <c r="T45" s="793"/>
      <c r="U45" s="793"/>
      <c r="V45" s="793"/>
      <c r="W45" s="793"/>
      <c r="X45" s="10"/>
      <c r="Y45" s="10"/>
      <c r="Z45" s="10"/>
      <c r="AA45" s="10"/>
      <c r="AB45" s="10"/>
    </row>
    <row r="46" spans="1:28" s="776" customFormat="1">
      <c r="A46" s="242"/>
      <c r="B46" s="242" t="s">
        <v>308</v>
      </c>
      <c r="C46" s="242"/>
      <c r="D46" s="242"/>
      <c r="E46" s="10"/>
      <c r="F46" s="10"/>
      <c r="G46" s="793">
        <v>8288</v>
      </c>
      <c r="H46" s="793"/>
      <c r="I46" s="793">
        <f t="shared" si="1"/>
        <v>8288</v>
      </c>
      <c r="J46" s="10"/>
      <c r="K46" s="10"/>
      <c r="L46" s="10"/>
      <c r="M46" s="899"/>
      <c r="N46" s="899"/>
      <c r="O46" s="899"/>
      <c r="P46" s="793"/>
      <c r="Q46" s="793"/>
      <c r="R46" s="793"/>
      <c r="S46" s="793"/>
      <c r="T46" s="793"/>
      <c r="U46" s="793"/>
      <c r="V46" s="793"/>
      <c r="W46" s="793"/>
      <c r="X46" s="10"/>
      <c r="Y46" s="10"/>
      <c r="Z46" s="10"/>
      <c r="AA46" s="10"/>
      <c r="AB46" s="10"/>
    </row>
    <row r="47" spans="1:28" s="776" customFormat="1">
      <c r="A47" s="242"/>
      <c r="B47" s="242" t="s">
        <v>309</v>
      </c>
      <c r="C47" s="242"/>
      <c r="D47" s="242"/>
      <c r="E47" s="10"/>
      <c r="F47" s="10"/>
      <c r="G47" s="793">
        <f>'3_Fin-Stat'!G353</f>
        <v>0</v>
      </c>
      <c r="H47" s="793">
        <v>60553</v>
      </c>
      <c r="I47" s="793">
        <f t="shared" si="1"/>
        <v>60553</v>
      </c>
      <c r="J47" s="10"/>
      <c r="K47" s="10"/>
      <c r="L47" s="10"/>
      <c r="M47" s="899"/>
      <c r="N47" s="899"/>
      <c r="O47" s="899"/>
      <c r="P47" s="793"/>
      <c r="Q47" s="793"/>
      <c r="R47" s="793"/>
      <c r="S47" s="793"/>
      <c r="T47" s="793"/>
      <c r="U47" s="793"/>
      <c r="V47" s="793"/>
      <c r="W47" s="793"/>
      <c r="X47" s="10"/>
      <c r="Y47" s="10"/>
      <c r="Z47" s="10"/>
      <c r="AA47" s="10"/>
      <c r="AB47" s="10"/>
    </row>
    <row r="48" spans="1:28" s="776" customFormat="1">
      <c r="A48" s="242"/>
      <c r="B48" s="242" t="s">
        <v>310</v>
      </c>
      <c r="C48" s="242"/>
      <c r="D48" s="242"/>
      <c r="E48" s="10"/>
      <c r="F48" s="10"/>
      <c r="G48" s="892">
        <v>22808</v>
      </c>
      <c r="H48" s="793"/>
      <c r="I48" s="892">
        <f t="shared" si="1"/>
        <v>22808</v>
      </c>
      <c r="J48" s="10"/>
      <c r="K48" s="10"/>
      <c r="L48" s="10"/>
      <c r="M48" s="899"/>
      <c r="N48" s="899"/>
      <c r="O48" s="899"/>
      <c r="P48" s="793"/>
      <c r="Q48" s="793"/>
      <c r="R48" s="793"/>
      <c r="S48" s="793"/>
      <c r="T48" s="793"/>
      <c r="U48" s="793"/>
      <c r="V48" s="793"/>
      <c r="W48" s="793"/>
      <c r="X48" s="10"/>
      <c r="Y48" s="10"/>
      <c r="Z48" s="10"/>
      <c r="AA48" s="10"/>
      <c r="AB48" s="10"/>
    </row>
    <row r="49" spans="1:28" s="776" customFormat="1">
      <c r="A49" s="242"/>
      <c r="B49" s="242"/>
      <c r="C49" s="242"/>
      <c r="D49" s="242"/>
      <c r="E49" s="10"/>
      <c r="F49" s="10"/>
      <c r="G49" s="793">
        <f>SUM(G39:G48)</f>
        <v>54491</v>
      </c>
      <c r="H49" s="793"/>
      <c r="I49" s="793">
        <f>SUM(I39:I48)</f>
        <v>108484</v>
      </c>
      <c r="J49" s="10"/>
      <c r="K49" s="10"/>
      <c r="L49" s="10"/>
      <c r="M49" s="899"/>
      <c r="N49" s="899"/>
      <c r="O49" s="899"/>
      <c r="P49" s="793"/>
      <c r="Q49" s="793"/>
      <c r="R49" s="793"/>
      <c r="S49" s="793"/>
      <c r="T49" s="793"/>
      <c r="U49" s="793"/>
      <c r="V49" s="793"/>
      <c r="W49" s="793"/>
      <c r="X49" s="10"/>
      <c r="Y49" s="10"/>
      <c r="Z49" s="10"/>
      <c r="AA49" s="10"/>
      <c r="AB49" s="10"/>
    </row>
    <row r="50" spans="1:28" s="776" customFormat="1">
      <c r="A50" s="242"/>
      <c r="B50" s="242" t="s">
        <v>301</v>
      </c>
      <c r="C50" s="242"/>
      <c r="D50" s="242"/>
      <c r="E50" s="10"/>
      <c r="F50" s="10"/>
      <c r="G50" s="793">
        <v>0</v>
      </c>
      <c r="H50" s="793"/>
      <c r="I50" s="793">
        <f t="shared" si="1"/>
        <v>0</v>
      </c>
      <c r="J50" s="10"/>
      <c r="K50" s="10"/>
      <c r="L50" s="10"/>
      <c r="M50" s="899"/>
      <c r="N50" s="899"/>
      <c r="O50" s="899"/>
      <c r="P50" s="793"/>
      <c r="Q50" s="793"/>
      <c r="R50" s="793"/>
      <c r="S50" s="793"/>
      <c r="T50" s="793"/>
      <c r="U50" s="793"/>
      <c r="V50" s="793"/>
      <c r="W50" s="793"/>
      <c r="X50" s="10"/>
      <c r="Y50" s="10"/>
      <c r="Z50" s="10"/>
      <c r="AA50" s="10"/>
      <c r="AB50" s="10"/>
    </row>
    <row r="51" spans="1:28" s="776" customFormat="1">
      <c r="A51" s="242"/>
      <c r="B51" s="242" t="s">
        <v>311</v>
      </c>
      <c r="C51" s="242"/>
      <c r="D51" s="242"/>
      <c r="E51" s="10"/>
      <c r="F51" s="10"/>
      <c r="G51" s="793">
        <v>0</v>
      </c>
      <c r="H51" s="793"/>
      <c r="I51" s="793">
        <f t="shared" si="1"/>
        <v>0</v>
      </c>
      <c r="J51" s="10"/>
      <c r="K51" s="10"/>
      <c r="L51" s="10"/>
      <c r="M51" s="899"/>
      <c r="N51" s="899"/>
      <c r="O51" s="899"/>
      <c r="P51" s="793"/>
      <c r="Q51" s="793"/>
      <c r="R51" s="793"/>
      <c r="S51" s="793"/>
      <c r="T51" s="793"/>
      <c r="U51" s="793"/>
      <c r="V51" s="793"/>
      <c r="W51" s="793"/>
      <c r="X51" s="10"/>
      <c r="Y51" s="10"/>
      <c r="Z51" s="10"/>
      <c r="AA51" s="10"/>
      <c r="AB51" s="10"/>
    </row>
    <row r="52" spans="1:28" s="776" customFormat="1">
      <c r="A52" s="242"/>
      <c r="B52" s="242" t="s">
        <v>312</v>
      </c>
      <c r="C52" s="242"/>
      <c r="D52" s="242"/>
      <c r="E52" s="10"/>
      <c r="F52" s="10"/>
      <c r="G52" s="793">
        <v>0</v>
      </c>
      <c r="H52" s="793"/>
      <c r="I52" s="793">
        <f t="shared" si="1"/>
        <v>0</v>
      </c>
      <c r="J52" s="10"/>
      <c r="K52" s="10"/>
      <c r="L52" s="10"/>
      <c r="M52" s="899"/>
      <c r="N52" s="899"/>
      <c r="O52" s="899"/>
      <c r="P52" s="793"/>
      <c r="Q52" s="793"/>
      <c r="R52" s="793"/>
      <c r="S52" s="793"/>
      <c r="T52" s="793"/>
      <c r="U52" s="793"/>
      <c r="V52" s="793"/>
      <c r="W52" s="793"/>
      <c r="X52" s="10"/>
      <c r="Y52" s="10"/>
      <c r="Z52" s="10"/>
      <c r="AA52" s="10"/>
      <c r="AB52" s="10"/>
    </row>
    <row r="53" spans="1:28" s="776" customFormat="1">
      <c r="A53" s="242"/>
      <c r="B53" s="242" t="s">
        <v>313</v>
      </c>
      <c r="C53" s="242"/>
      <c r="D53" s="242"/>
      <c r="E53" s="10"/>
      <c r="F53" s="10"/>
      <c r="G53" s="793">
        <v>0</v>
      </c>
      <c r="H53" s="793"/>
      <c r="I53" s="793">
        <f t="shared" si="1"/>
        <v>0</v>
      </c>
      <c r="J53" s="10"/>
      <c r="K53" s="10"/>
      <c r="L53" s="10"/>
      <c r="M53" s="899"/>
      <c r="N53" s="899"/>
      <c r="O53" s="899"/>
      <c r="P53" s="793"/>
      <c r="Q53" s="793"/>
      <c r="R53" s="793"/>
      <c r="S53" s="793"/>
      <c r="T53" s="793"/>
      <c r="U53" s="793"/>
      <c r="V53" s="793"/>
      <c r="W53" s="793"/>
      <c r="X53" s="10"/>
      <c r="Y53" s="10"/>
      <c r="Z53" s="10"/>
      <c r="AA53" s="10"/>
      <c r="AB53" s="10"/>
    </row>
    <row r="54" spans="1:28" s="776" customFormat="1">
      <c r="A54" s="242"/>
      <c r="B54" s="242" t="s">
        <v>314</v>
      </c>
      <c r="C54" s="242"/>
      <c r="D54" s="242"/>
      <c r="E54" s="10"/>
      <c r="F54" s="10"/>
      <c r="G54" s="793">
        <v>172</v>
      </c>
      <c r="H54" s="793">
        <v>3614</v>
      </c>
      <c r="I54" s="793">
        <f t="shared" si="1"/>
        <v>3786</v>
      </c>
      <c r="J54" s="10"/>
      <c r="K54" s="10"/>
      <c r="L54" s="10"/>
      <c r="M54" s="899"/>
      <c r="N54" s="899"/>
      <c r="O54" s="899"/>
      <c r="P54" s="793"/>
      <c r="Q54" s="793"/>
      <c r="R54" s="793"/>
      <c r="S54" s="793"/>
      <c r="T54" s="793"/>
      <c r="U54" s="793"/>
      <c r="V54" s="793"/>
      <c r="W54" s="793"/>
      <c r="X54" s="10"/>
      <c r="Y54" s="10"/>
      <c r="Z54" s="10"/>
      <c r="AA54" s="10"/>
      <c r="AB54" s="10"/>
    </row>
    <row r="55" spans="1:28" s="776" customFormat="1">
      <c r="A55" s="242"/>
      <c r="B55" s="242" t="s">
        <v>315</v>
      </c>
      <c r="C55" s="242"/>
      <c r="D55" s="242"/>
      <c r="E55" s="10"/>
      <c r="F55" s="10"/>
      <c r="G55" s="892"/>
      <c r="H55" s="793">
        <v>132</v>
      </c>
      <c r="I55" s="892">
        <f t="shared" si="1"/>
        <v>132</v>
      </c>
      <c r="J55" s="10"/>
      <c r="K55" s="10"/>
      <c r="L55" s="10"/>
      <c r="M55" s="899"/>
      <c r="N55" s="899"/>
      <c r="O55" s="899"/>
      <c r="P55" s="793"/>
      <c r="Q55" s="793"/>
      <c r="R55" s="793"/>
      <c r="S55" s="793"/>
      <c r="T55" s="793"/>
      <c r="U55" s="793"/>
      <c r="V55" s="793"/>
      <c r="W55" s="793"/>
      <c r="X55" s="10"/>
      <c r="Y55" s="10"/>
      <c r="Z55" s="10"/>
      <c r="AA55" s="10"/>
      <c r="AB55" s="10"/>
    </row>
    <row r="56" spans="1:28" s="776" customFormat="1">
      <c r="A56" s="242"/>
      <c r="B56" s="242"/>
      <c r="C56" s="242"/>
      <c r="D56" s="242"/>
      <c r="E56" s="10"/>
      <c r="F56" s="10"/>
      <c r="G56" s="793">
        <f>SUM(G50:G55)</f>
        <v>172</v>
      </c>
      <c r="H56" s="793"/>
      <c r="I56" s="793">
        <f>SUM(I50:I55)</f>
        <v>3918</v>
      </c>
      <c r="J56" s="10"/>
      <c r="K56" s="10"/>
      <c r="L56" s="10"/>
      <c r="M56" s="899"/>
      <c r="N56" s="899"/>
      <c r="O56" s="899"/>
      <c r="P56" s="793"/>
      <c r="Q56" s="793"/>
      <c r="R56" s="793"/>
      <c r="S56" s="793"/>
      <c r="T56" s="793"/>
      <c r="U56" s="793"/>
      <c r="V56" s="793"/>
      <c r="W56" s="793"/>
      <c r="X56" s="10"/>
      <c r="Y56" s="10"/>
      <c r="Z56" s="10"/>
      <c r="AA56" s="10"/>
      <c r="AB56" s="10"/>
    </row>
    <row r="57" spans="1:28" s="776" customFormat="1">
      <c r="A57" s="242"/>
      <c r="B57" s="73" t="s">
        <v>169</v>
      </c>
      <c r="C57" s="242"/>
      <c r="D57" s="242"/>
      <c r="E57" s="10"/>
      <c r="F57" s="10"/>
      <c r="G57" s="793"/>
      <c r="H57" s="793"/>
      <c r="I57" s="793"/>
      <c r="J57" s="10"/>
      <c r="K57" s="10"/>
      <c r="L57" s="10"/>
      <c r="M57" s="899"/>
      <c r="N57" s="899"/>
      <c r="O57" s="899"/>
      <c r="P57" s="793"/>
      <c r="Q57" s="793"/>
      <c r="R57" s="793"/>
      <c r="S57" s="793"/>
      <c r="T57" s="793"/>
      <c r="U57" s="793"/>
      <c r="V57" s="793"/>
      <c r="W57" s="793"/>
      <c r="X57" s="10"/>
      <c r="Y57" s="10"/>
      <c r="Z57" s="10"/>
      <c r="AA57" s="10"/>
      <c r="AB57" s="10"/>
    </row>
    <row r="58" spans="1:28" s="776" customFormat="1">
      <c r="A58" s="242"/>
      <c r="B58" s="73" t="s">
        <v>316</v>
      </c>
      <c r="C58" s="242"/>
      <c r="D58" s="242"/>
      <c r="E58" s="10"/>
      <c r="F58" s="10"/>
      <c r="G58" s="793"/>
      <c r="H58" s="793"/>
      <c r="I58" s="793"/>
      <c r="J58" s="10"/>
      <c r="K58" s="10"/>
      <c r="L58" s="10"/>
      <c r="M58" s="899"/>
      <c r="N58" s="899"/>
      <c r="O58" s="899"/>
      <c r="P58" s="793"/>
      <c r="Q58" s="793"/>
      <c r="R58" s="793"/>
      <c r="S58" s="793"/>
      <c r="T58" s="793"/>
      <c r="U58" s="793"/>
      <c r="V58" s="793"/>
      <c r="W58" s="793"/>
      <c r="X58" s="10"/>
      <c r="Y58" s="10"/>
      <c r="Z58" s="10"/>
      <c r="AA58" s="10"/>
      <c r="AB58" s="10"/>
    </row>
    <row r="59" spans="1:28" s="776" customFormat="1">
      <c r="A59" s="242"/>
      <c r="B59" s="242" t="s">
        <v>317</v>
      </c>
      <c r="C59" s="242"/>
      <c r="D59" s="242"/>
      <c r="E59" s="10"/>
      <c r="F59" s="10"/>
      <c r="G59" s="793"/>
      <c r="H59" s="793"/>
      <c r="I59" s="793"/>
      <c r="J59" s="10"/>
      <c r="K59" s="10"/>
      <c r="L59" s="10"/>
      <c r="M59" s="899"/>
      <c r="N59" s="899"/>
      <c r="O59" s="899"/>
      <c r="P59" s="793"/>
      <c r="Q59" s="793"/>
      <c r="R59" s="793"/>
      <c r="S59" s="793"/>
      <c r="T59" s="793"/>
      <c r="U59" s="793"/>
      <c r="V59" s="793"/>
      <c r="W59" s="793"/>
      <c r="X59" s="10"/>
      <c r="Y59" s="10"/>
      <c r="Z59" s="10"/>
      <c r="AA59" s="10"/>
      <c r="AB59" s="10"/>
    </row>
    <row r="60" spans="1:28" s="776" customFormat="1">
      <c r="A60" s="242"/>
      <c r="B60" s="242" t="s">
        <v>318</v>
      </c>
      <c r="C60" s="242"/>
      <c r="D60" s="242"/>
      <c r="E60" s="10"/>
      <c r="F60" s="10"/>
      <c r="G60" s="793"/>
      <c r="H60" s="793"/>
      <c r="I60" s="793"/>
      <c r="J60" s="10"/>
      <c r="K60" s="10"/>
      <c r="L60" s="10"/>
      <c r="M60" s="899"/>
      <c r="N60" s="899"/>
      <c r="O60" s="899"/>
      <c r="P60" s="793"/>
      <c r="Q60" s="793"/>
      <c r="R60" s="793"/>
      <c r="S60" s="793"/>
      <c r="T60" s="793"/>
      <c r="U60" s="793"/>
      <c r="V60" s="793"/>
      <c r="W60" s="793"/>
      <c r="X60" s="10"/>
      <c r="Y60" s="10"/>
      <c r="Z60" s="10"/>
      <c r="AA60" s="10"/>
      <c r="AB60" s="10"/>
    </row>
    <row r="61" spans="1:28" s="776" customFormat="1">
      <c r="A61" s="242"/>
      <c r="B61" s="242" t="s">
        <v>319</v>
      </c>
      <c r="C61" s="242"/>
      <c r="D61" s="242"/>
      <c r="E61" s="10"/>
      <c r="F61" s="10"/>
      <c r="G61" s="793"/>
      <c r="H61" s="793"/>
      <c r="I61" s="793"/>
      <c r="J61" s="10"/>
      <c r="K61" s="10"/>
      <c r="L61" s="10"/>
      <c r="M61" s="899"/>
      <c r="N61" s="899"/>
      <c r="O61" s="899"/>
      <c r="P61" s="793"/>
      <c r="Q61" s="793"/>
      <c r="R61" s="793"/>
      <c r="S61" s="793"/>
      <c r="T61" s="793"/>
      <c r="U61" s="793"/>
      <c r="V61" s="793"/>
      <c r="W61" s="793"/>
      <c r="X61" s="10"/>
      <c r="Y61" s="10"/>
      <c r="Z61" s="10"/>
      <c r="AA61" s="10"/>
      <c r="AB61" s="10"/>
    </row>
    <row r="62" spans="1:28" s="776" customFormat="1">
      <c r="A62" s="242"/>
      <c r="B62" s="242"/>
      <c r="C62" s="242"/>
      <c r="D62" s="242"/>
      <c r="E62" s="10"/>
      <c r="F62" s="10"/>
      <c r="G62" s="793"/>
      <c r="H62" s="793"/>
      <c r="I62" s="793"/>
      <c r="J62" s="10"/>
      <c r="K62" s="10"/>
      <c r="L62" s="10"/>
      <c r="M62" s="899"/>
      <c r="N62" s="899"/>
      <c r="O62" s="899"/>
      <c r="P62" s="793"/>
      <c r="Q62" s="793"/>
      <c r="R62" s="793"/>
      <c r="S62" s="793"/>
      <c r="T62" s="793"/>
      <c r="U62" s="793"/>
      <c r="V62" s="793"/>
      <c r="W62" s="793"/>
      <c r="X62" s="10"/>
      <c r="Y62" s="10"/>
      <c r="Z62" s="10"/>
      <c r="AA62" s="10"/>
      <c r="AB62" s="10"/>
    </row>
    <row r="63" spans="1:28" s="776" customFormat="1">
      <c r="A63" s="242"/>
      <c r="B63" s="242" t="s">
        <v>320</v>
      </c>
      <c r="C63" s="242"/>
      <c r="D63" s="242"/>
      <c r="E63" s="10"/>
      <c r="F63" s="10"/>
      <c r="G63" s="793"/>
      <c r="H63" s="793"/>
      <c r="I63" s="793"/>
      <c r="J63" s="10"/>
      <c r="K63" s="10"/>
      <c r="L63" s="10"/>
      <c r="M63" s="899"/>
      <c r="N63" s="899"/>
      <c r="O63" s="899"/>
      <c r="P63" s="793"/>
      <c r="Q63" s="793"/>
      <c r="R63" s="793"/>
      <c r="S63" s="793"/>
      <c r="T63" s="793"/>
      <c r="U63" s="793"/>
      <c r="V63" s="793"/>
      <c r="W63" s="793"/>
      <c r="X63" s="10"/>
      <c r="Y63" s="10"/>
      <c r="Z63" s="10"/>
      <c r="AA63" s="10"/>
      <c r="AB63" s="10"/>
    </row>
    <row r="64" spans="1:28" s="776" customFormat="1">
      <c r="A64" s="242"/>
      <c r="B64" s="242" t="s">
        <v>321</v>
      </c>
      <c r="C64" s="242"/>
      <c r="D64" s="242"/>
      <c r="E64" s="10"/>
      <c r="F64" s="10"/>
      <c r="G64" s="793"/>
      <c r="H64" s="793"/>
      <c r="I64" s="793"/>
      <c r="J64" s="10"/>
      <c r="K64" s="10"/>
      <c r="L64" s="10"/>
      <c r="M64" s="899"/>
      <c r="N64" s="899"/>
      <c r="O64" s="899"/>
      <c r="P64" s="793"/>
      <c r="Q64" s="793"/>
      <c r="R64" s="793"/>
      <c r="S64" s="793"/>
      <c r="T64" s="793"/>
      <c r="U64" s="793"/>
      <c r="V64" s="793"/>
      <c r="W64" s="793"/>
      <c r="X64" s="10"/>
      <c r="Y64" s="10"/>
      <c r="Z64" s="10"/>
      <c r="AA64" s="10"/>
      <c r="AB64" s="10"/>
    </row>
    <row r="65" spans="1:28" s="776" customFormat="1">
      <c r="A65" s="242"/>
      <c r="B65" s="242" t="s">
        <v>322</v>
      </c>
      <c r="C65" s="242"/>
      <c r="D65" s="242"/>
      <c r="E65" s="10"/>
      <c r="F65" s="10"/>
      <c r="G65" s="793"/>
      <c r="H65" s="793"/>
      <c r="I65" s="793"/>
      <c r="J65" s="10"/>
      <c r="K65" s="10"/>
      <c r="L65" s="10"/>
      <c r="M65" s="899"/>
      <c r="N65" s="899"/>
      <c r="O65" s="899"/>
      <c r="P65" s="793"/>
      <c r="Q65" s="793"/>
      <c r="R65" s="793"/>
      <c r="S65" s="793"/>
      <c r="T65" s="793"/>
      <c r="U65" s="793"/>
      <c r="V65" s="793"/>
      <c r="W65" s="793"/>
      <c r="X65" s="10"/>
      <c r="Y65" s="10"/>
      <c r="Z65" s="10"/>
      <c r="AA65" s="10"/>
      <c r="AB65" s="10"/>
    </row>
    <row r="66" spans="1:28" s="776" customFormat="1">
      <c r="A66" s="242"/>
      <c r="B66" s="242"/>
      <c r="C66" s="242"/>
      <c r="D66" s="242"/>
      <c r="E66" s="10"/>
      <c r="F66" s="10"/>
      <c r="G66" s="793"/>
      <c r="H66" s="793"/>
      <c r="I66" s="793"/>
      <c r="J66" s="10"/>
      <c r="K66" s="10"/>
      <c r="L66" s="10"/>
      <c r="M66" s="899"/>
      <c r="N66" s="899"/>
      <c r="O66" s="899"/>
      <c r="P66" s="793"/>
      <c r="Q66" s="793"/>
      <c r="R66" s="793"/>
      <c r="S66" s="793"/>
      <c r="T66" s="793"/>
      <c r="U66" s="793"/>
      <c r="V66" s="793"/>
      <c r="W66" s="793"/>
      <c r="X66" s="10"/>
      <c r="Y66" s="10"/>
      <c r="Z66" s="10"/>
      <c r="AA66" s="10"/>
      <c r="AB66" s="10"/>
    </row>
    <row r="67" spans="1:28" s="776" customFormat="1">
      <c r="A67" s="242"/>
      <c r="B67" s="242" t="s">
        <v>8</v>
      </c>
      <c r="C67" s="242"/>
      <c r="D67" s="242"/>
      <c r="E67" s="10"/>
      <c r="F67" s="10"/>
      <c r="G67" s="793">
        <v>4795590</v>
      </c>
      <c r="H67" s="793">
        <v>-3614</v>
      </c>
      <c r="I67" s="793">
        <f t="shared" si="1"/>
        <v>4791976</v>
      </c>
      <c r="J67" s="10"/>
      <c r="K67" s="10"/>
      <c r="L67" s="10"/>
      <c r="M67" s="899"/>
      <c r="N67" s="899"/>
      <c r="O67" s="899"/>
      <c r="P67" s="793"/>
      <c r="Q67" s="793"/>
      <c r="R67" s="793"/>
      <c r="S67" s="793"/>
      <c r="T67" s="793"/>
      <c r="U67" s="793"/>
      <c r="V67" s="793"/>
      <c r="W67" s="793"/>
      <c r="X67" s="10"/>
      <c r="Y67" s="10"/>
      <c r="Z67" s="10"/>
      <c r="AA67" s="10"/>
      <c r="AB67" s="10"/>
    </row>
    <row r="68" spans="1:28" s="776" customFormat="1">
      <c r="A68" s="242"/>
      <c r="B68" s="242"/>
      <c r="C68" s="242"/>
      <c r="D68" s="242"/>
      <c r="E68" s="10"/>
      <c r="F68" s="10"/>
      <c r="G68" s="793"/>
      <c r="H68" s="793"/>
      <c r="I68" s="793">
        <f t="shared" si="1"/>
        <v>0</v>
      </c>
      <c r="J68" s="10"/>
      <c r="K68" s="10"/>
      <c r="L68" s="10"/>
      <c r="M68" s="899"/>
      <c r="N68" s="899"/>
      <c r="O68" s="899"/>
      <c r="P68" s="793"/>
      <c r="Q68" s="793"/>
      <c r="R68" s="793"/>
      <c r="S68" s="793"/>
      <c r="T68" s="793"/>
      <c r="U68" s="793"/>
      <c r="V68" s="793"/>
      <c r="W68" s="793"/>
      <c r="X68" s="10"/>
      <c r="Y68" s="10"/>
      <c r="Z68" s="10"/>
      <c r="AA68" s="10"/>
      <c r="AB68" s="10"/>
    </row>
    <row r="69" spans="1:28" s="776" customFormat="1" ht="13.5" thickBot="1">
      <c r="A69" s="242"/>
      <c r="B69" s="791" t="s">
        <v>323</v>
      </c>
      <c r="C69" s="242"/>
      <c r="D69" s="242"/>
      <c r="E69" s="10"/>
      <c r="F69" s="10"/>
      <c r="G69" s="925">
        <f>G29+G33+G38+G49+G56+G67</f>
        <v>5339311</v>
      </c>
      <c r="H69" s="1261">
        <f>SUM(H29:H68)</f>
        <v>46131</v>
      </c>
      <c r="I69" s="925">
        <f>I29+I33+I38+I49+I56+I67</f>
        <v>5385442</v>
      </c>
      <c r="J69" s="10"/>
      <c r="K69" s="10"/>
      <c r="L69" s="10"/>
      <c r="M69" s="899"/>
      <c r="N69" s="899"/>
      <c r="O69" s="899"/>
      <c r="P69" s="793"/>
      <c r="Q69" s="793"/>
      <c r="R69" s="793"/>
      <c r="S69" s="793"/>
      <c r="T69" s="793"/>
      <c r="U69" s="793"/>
      <c r="V69" s="793"/>
      <c r="W69" s="793"/>
      <c r="X69" s="10"/>
      <c r="Y69" s="10"/>
      <c r="Z69" s="10"/>
      <c r="AA69" s="10"/>
      <c r="AB69" s="10"/>
    </row>
    <row r="70" spans="1:28" s="776" customFormat="1" ht="16.5" thickTop="1">
      <c r="A70" s="1207"/>
      <c r="B70" s="1207"/>
      <c r="C70" s="1207"/>
      <c r="D70" s="1195"/>
      <c r="E70" s="10"/>
      <c r="F70" s="10"/>
      <c r="G70" s="793"/>
      <c r="H70" s="793"/>
      <c r="I70" s="793"/>
      <c r="J70" s="10"/>
      <c r="K70" s="10"/>
      <c r="L70" s="10"/>
      <c r="M70" s="899"/>
      <c r="N70" s="899"/>
      <c r="O70" s="899"/>
      <c r="P70" s="793"/>
      <c r="Q70" s="793"/>
      <c r="R70" s="793"/>
      <c r="S70" s="793"/>
      <c r="T70" s="793"/>
      <c r="U70" s="793"/>
      <c r="V70" s="793"/>
      <c r="W70" s="793"/>
      <c r="X70" s="10"/>
      <c r="Y70" s="10"/>
      <c r="Z70" s="10"/>
      <c r="AA70" s="10"/>
      <c r="AB70" s="10"/>
    </row>
    <row r="71" spans="1:28" s="776" customFormat="1" ht="15.75">
      <c r="A71" s="1194"/>
      <c r="B71" s="1194"/>
      <c r="C71" s="1194"/>
      <c r="D71" s="1195"/>
      <c r="E71" s="10"/>
      <c r="F71" s="1266" t="s">
        <v>3</v>
      </c>
      <c r="G71" s="1202">
        <v>2006</v>
      </c>
      <c r="H71" s="1202"/>
      <c r="I71" s="1202">
        <v>2006</v>
      </c>
      <c r="J71" s="10"/>
      <c r="K71" s="10"/>
      <c r="L71" s="10"/>
      <c r="M71" s="899"/>
      <c r="N71" s="899"/>
      <c r="O71" s="899"/>
      <c r="P71" s="793"/>
      <c r="Q71" s="793"/>
      <c r="R71" s="793"/>
      <c r="S71" s="793"/>
      <c r="T71" s="793"/>
      <c r="U71" s="793"/>
      <c r="V71" s="793"/>
      <c r="W71" s="793"/>
      <c r="X71" s="10"/>
      <c r="Y71" s="10"/>
      <c r="Z71" s="10"/>
      <c r="AA71" s="10"/>
      <c r="AB71" s="10"/>
    </row>
    <row r="72" spans="1:28" s="776" customFormat="1">
      <c r="E72" s="10"/>
      <c r="F72" s="10"/>
      <c r="G72" s="1262" t="s">
        <v>289</v>
      </c>
      <c r="H72" s="1262" t="s">
        <v>525</v>
      </c>
      <c r="I72" s="1262" t="s">
        <v>291</v>
      </c>
      <c r="J72" s="10"/>
      <c r="K72" s="10"/>
      <c r="L72" s="10"/>
      <c r="M72" s="899"/>
      <c r="N72" s="899"/>
      <c r="O72" s="899"/>
      <c r="P72" s="793"/>
      <c r="Q72" s="793"/>
      <c r="R72" s="793"/>
      <c r="S72" s="793"/>
      <c r="T72" s="793"/>
      <c r="U72" s="793"/>
      <c r="V72" s="793"/>
      <c r="W72" s="793"/>
      <c r="X72" s="10"/>
      <c r="Y72" s="10"/>
      <c r="Z72" s="10"/>
      <c r="AA72" s="10"/>
      <c r="AB72" s="10"/>
    </row>
    <row r="73" spans="1:28" s="776" customFormat="1">
      <c r="A73" s="973" t="s">
        <v>325</v>
      </c>
      <c r="B73" s="974"/>
      <c r="C73" s="975"/>
      <c r="D73" s="975"/>
      <c r="E73" s="10"/>
      <c r="F73" s="10"/>
      <c r="G73" s="793"/>
      <c r="H73" s="793"/>
      <c r="I73" s="793"/>
      <c r="J73" s="10"/>
      <c r="K73" s="10"/>
      <c r="L73" s="10"/>
      <c r="M73" s="899"/>
      <c r="N73" s="899"/>
      <c r="O73" s="899"/>
      <c r="P73" s="793"/>
      <c r="Q73" s="793"/>
      <c r="R73" s="793"/>
      <c r="S73" s="793"/>
      <c r="T73" s="793"/>
      <c r="U73" s="793"/>
      <c r="V73" s="793"/>
      <c r="W73" s="793"/>
      <c r="X73" s="10"/>
      <c r="Y73" s="10"/>
      <c r="Z73" s="10"/>
      <c r="AA73" s="10"/>
      <c r="AB73" s="10"/>
    </row>
    <row r="74" spans="1:28" s="776" customFormat="1">
      <c r="A74" s="242"/>
      <c r="B74" s="242" t="s">
        <v>326</v>
      </c>
      <c r="C74" s="242"/>
      <c r="D74" s="242"/>
      <c r="E74" s="10"/>
      <c r="F74" s="10"/>
      <c r="G74" s="793">
        <v>9347</v>
      </c>
      <c r="H74" s="793"/>
      <c r="I74" s="793">
        <f t="shared" si="1"/>
        <v>9347</v>
      </c>
      <c r="J74" s="10"/>
      <c r="K74" s="10"/>
      <c r="L74" s="10"/>
      <c r="M74" s="899"/>
      <c r="N74" s="899"/>
      <c r="O74" s="899"/>
      <c r="P74" s="793"/>
      <c r="Q74" s="793"/>
      <c r="R74" s="793"/>
      <c r="S74" s="793"/>
      <c r="T74" s="793"/>
      <c r="U74" s="793"/>
      <c r="V74" s="793"/>
      <c r="W74" s="793"/>
      <c r="X74" s="10"/>
      <c r="Y74" s="10"/>
      <c r="Z74" s="10"/>
      <c r="AA74" s="10"/>
      <c r="AB74" s="10"/>
    </row>
    <row r="75" spans="1:28" s="776" customFormat="1">
      <c r="A75" s="242"/>
      <c r="B75" s="242" t="s">
        <v>327</v>
      </c>
      <c r="C75" s="242"/>
      <c r="D75" s="242"/>
      <c r="E75" s="10"/>
      <c r="F75" s="10"/>
      <c r="G75" s="793">
        <v>6510</v>
      </c>
      <c r="H75" s="793"/>
      <c r="I75" s="793">
        <f t="shared" si="1"/>
        <v>6510</v>
      </c>
      <c r="J75" s="10"/>
      <c r="K75" s="10"/>
      <c r="L75" s="10"/>
      <c r="M75" s="899"/>
      <c r="N75" s="899"/>
      <c r="O75" s="899"/>
      <c r="P75" s="793"/>
      <c r="Q75" s="793"/>
      <c r="R75" s="793"/>
      <c r="S75" s="793"/>
      <c r="T75" s="793"/>
      <c r="U75" s="793"/>
      <c r="V75" s="793"/>
      <c r="W75" s="793"/>
      <c r="X75" s="10"/>
      <c r="Y75" s="10"/>
      <c r="Z75" s="10"/>
      <c r="AA75" s="10"/>
      <c r="AB75" s="10"/>
    </row>
    <row r="76" spans="1:28" s="776" customFormat="1">
      <c r="A76" s="242"/>
      <c r="B76" s="242" t="s">
        <v>328</v>
      </c>
      <c r="C76" s="242"/>
      <c r="D76" s="242"/>
      <c r="E76" s="10"/>
      <c r="F76" s="10"/>
      <c r="G76" s="793">
        <v>5596</v>
      </c>
      <c r="H76" s="793"/>
      <c r="I76" s="793">
        <f t="shared" si="1"/>
        <v>5596</v>
      </c>
      <c r="J76" s="10"/>
      <c r="K76" s="10"/>
      <c r="L76" s="10"/>
      <c r="M76" s="899"/>
      <c r="N76" s="899"/>
      <c r="O76" s="899"/>
      <c r="P76" s="793"/>
      <c r="Q76" s="793"/>
      <c r="R76" s="793"/>
      <c r="S76" s="793"/>
      <c r="T76" s="793"/>
      <c r="U76" s="793"/>
      <c r="V76" s="793"/>
      <c r="W76" s="793"/>
      <c r="X76" s="10"/>
      <c r="Y76" s="10"/>
      <c r="Z76" s="10"/>
      <c r="AA76" s="10"/>
      <c r="AB76" s="10"/>
    </row>
    <row r="77" spans="1:28" s="776" customFormat="1">
      <c r="A77" s="242"/>
      <c r="B77" s="242" t="s">
        <v>329</v>
      </c>
      <c r="C77" s="242"/>
      <c r="D77" s="242"/>
      <c r="E77" s="10"/>
      <c r="F77" s="10"/>
      <c r="G77" s="793">
        <v>0</v>
      </c>
      <c r="H77" s="793"/>
      <c r="I77" s="793">
        <f t="shared" si="1"/>
        <v>0</v>
      </c>
      <c r="J77" s="10"/>
      <c r="K77" s="10"/>
      <c r="L77" s="10"/>
      <c r="M77" s="899"/>
      <c r="N77" s="899"/>
      <c r="O77" s="899"/>
      <c r="P77" s="793"/>
      <c r="Q77" s="793"/>
      <c r="R77" s="793"/>
      <c r="S77" s="793"/>
      <c r="T77" s="793"/>
      <c r="U77" s="793"/>
      <c r="V77" s="793"/>
      <c r="W77" s="793"/>
      <c r="X77" s="10"/>
      <c r="Y77" s="10"/>
      <c r="Z77" s="10"/>
      <c r="AA77" s="10"/>
      <c r="AB77" s="10"/>
    </row>
    <row r="78" spans="1:28" s="776" customFormat="1">
      <c r="A78" s="242"/>
      <c r="B78" s="242" t="s">
        <v>330</v>
      </c>
      <c r="C78" s="242"/>
      <c r="D78" s="242"/>
      <c r="E78" s="10"/>
      <c r="F78" s="10"/>
      <c r="G78" s="793">
        <v>0</v>
      </c>
      <c r="H78" s="793"/>
      <c r="I78" s="793">
        <f t="shared" si="1"/>
        <v>0</v>
      </c>
      <c r="J78" s="10"/>
      <c r="K78" s="10"/>
      <c r="L78" s="10"/>
      <c r="M78" s="899"/>
      <c r="N78" s="899"/>
      <c r="O78" s="899"/>
      <c r="P78" s="793"/>
      <c r="Q78" s="793"/>
      <c r="R78" s="793"/>
      <c r="S78" s="793"/>
      <c r="T78" s="793"/>
      <c r="U78" s="793"/>
      <c r="V78" s="793"/>
      <c r="W78" s="793"/>
      <c r="X78" s="10"/>
      <c r="Y78" s="10"/>
      <c r="Z78" s="10"/>
      <c r="AA78" s="10"/>
      <c r="AB78" s="10"/>
    </row>
    <row r="79" spans="1:28" s="776" customFormat="1">
      <c r="A79" s="242"/>
      <c r="B79" s="242" t="s">
        <v>331</v>
      </c>
      <c r="C79" s="242"/>
      <c r="D79" s="242"/>
      <c r="E79" s="10"/>
      <c r="F79" s="10"/>
      <c r="G79" s="793">
        <v>165161</v>
      </c>
      <c r="H79" s="793"/>
      <c r="I79" s="793">
        <f t="shared" si="1"/>
        <v>165161</v>
      </c>
      <c r="J79" s="10"/>
      <c r="K79" s="10"/>
      <c r="L79" s="10"/>
      <c r="M79" s="899"/>
      <c r="N79" s="899"/>
      <c r="O79" s="899"/>
      <c r="P79" s="793"/>
      <c r="Q79" s="793"/>
      <c r="R79" s="793"/>
      <c r="S79" s="793"/>
      <c r="T79" s="793"/>
      <c r="U79" s="793"/>
      <c r="V79" s="793"/>
      <c r="W79" s="793"/>
      <c r="X79" s="10"/>
      <c r="Y79" s="10"/>
      <c r="Z79" s="10"/>
      <c r="AA79" s="10"/>
      <c r="AB79" s="10"/>
    </row>
    <row r="80" spans="1:28" s="776" customFormat="1">
      <c r="A80" s="242"/>
      <c r="B80" s="242" t="s">
        <v>332</v>
      </c>
      <c r="C80" s="242"/>
      <c r="D80" s="242"/>
      <c r="E80" s="10"/>
      <c r="F80" s="10"/>
      <c r="G80" s="793">
        <v>0</v>
      </c>
      <c r="H80" s="793"/>
      <c r="I80" s="793">
        <f t="shared" si="1"/>
        <v>0</v>
      </c>
      <c r="J80" s="10"/>
      <c r="K80" s="10"/>
      <c r="L80" s="10"/>
      <c r="M80" s="899"/>
      <c r="N80" s="899"/>
      <c r="O80" s="899"/>
      <c r="P80" s="793"/>
      <c r="Q80" s="793"/>
      <c r="R80" s="793"/>
      <c r="S80" s="793"/>
      <c r="T80" s="793"/>
      <c r="U80" s="793"/>
      <c r="V80" s="793"/>
      <c r="W80" s="793"/>
      <c r="X80" s="10"/>
      <c r="Y80" s="10"/>
      <c r="Z80" s="10"/>
      <c r="AA80" s="10"/>
      <c r="AB80" s="10"/>
    </row>
    <row r="81" spans="1:28" s="776" customFormat="1">
      <c r="A81" s="242"/>
      <c r="B81" s="242" t="s">
        <v>333</v>
      </c>
      <c r="C81" s="242"/>
      <c r="D81" s="242"/>
      <c r="E81" s="10"/>
      <c r="F81" s="10"/>
      <c r="G81" s="793">
        <v>6523</v>
      </c>
      <c r="H81" s="793"/>
      <c r="I81" s="793">
        <f t="shared" si="1"/>
        <v>6523</v>
      </c>
      <c r="J81" s="10"/>
      <c r="K81" s="10"/>
      <c r="L81" s="10"/>
      <c r="M81" s="899"/>
      <c r="N81" s="899"/>
      <c r="O81" s="899"/>
      <c r="P81" s="793"/>
      <c r="Q81" s="793"/>
      <c r="R81" s="793"/>
      <c r="S81" s="793"/>
      <c r="T81" s="793"/>
      <c r="U81" s="793"/>
      <c r="V81" s="793"/>
      <c r="W81" s="793"/>
      <c r="X81" s="10"/>
      <c r="Y81" s="10"/>
      <c r="Z81" s="10"/>
      <c r="AA81" s="10"/>
      <c r="AB81" s="10"/>
    </row>
    <row r="82" spans="1:28" s="776" customFormat="1">
      <c r="A82" s="242"/>
      <c r="B82" s="242" t="s">
        <v>334</v>
      </c>
      <c r="C82" s="242"/>
      <c r="D82" s="242"/>
      <c r="E82" s="10"/>
      <c r="F82" s="10"/>
      <c r="G82" s="793">
        <v>0</v>
      </c>
      <c r="H82" s="793"/>
      <c r="I82" s="793">
        <f t="shared" si="1"/>
        <v>0</v>
      </c>
      <c r="J82" s="10"/>
      <c r="K82" s="10"/>
      <c r="L82" s="10"/>
      <c r="M82" s="899"/>
      <c r="N82" s="899"/>
      <c r="O82" s="899"/>
      <c r="P82" s="793"/>
      <c r="Q82" s="793"/>
      <c r="R82" s="793"/>
      <c r="S82" s="793"/>
      <c r="T82" s="793"/>
      <c r="U82" s="793"/>
      <c r="V82" s="793"/>
      <c r="W82" s="793"/>
      <c r="X82" s="10"/>
      <c r="Y82" s="10"/>
      <c r="Z82" s="10"/>
      <c r="AA82" s="10"/>
      <c r="AB82" s="10"/>
    </row>
    <row r="83" spans="1:28" s="776" customFormat="1">
      <c r="A83" s="242"/>
      <c r="B83" s="242" t="s">
        <v>309</v>
      </c>
      <c r="C83" s="242"/>
      <c r="D83" s="242"/>
      <c r="E83" s="10"/>
      <c r="F83" s="10"/>
      <c r="G83" s="793">
        <f>'3_Fin-Stat'!G357</f>
        <v>0</v>
      </c>
      <c r="H83" s="793"/>
      <c r="I83" s="793">
        <f t="shared" si="1"/>
        <v>0</v>
      </c>
      <c r="J83" s="10"/>
      <c r="K83" s="10"/>
      <c r="L83" s="10"/>
      <c r="M83" s="899"/>
      <c r="N83" s="899"/>
      <c r="O83" s="899"/>
      <c r="P83" s="793"/>
      <c r="Q83" s="793"/>
      <c r="R83" s="793"/>
      <c r="S83" s="793"/>
      <c r="T83" s="793"/>
      <c r="U83" s="793"/>
      <c r="V83" s="793"/>
      <c r="W83" s="793"/>
      <c r="X83" s="10"/>
      <c r="Y83" s="10"/>
      <c r="Z83" s="10"/>
      <c r="AA83" s="10"/>
      <c r="AB83" s="10"/>
    </row>
    <row r="84" spans="1:28" s="776" customFormat="1">
      <c r="A84" s="242"/>
      <c r="B84" s="242" t="s">
        <v>335</v>
      </c>
      <c r="C84" s="242"/>
      <c r="D84" s="242"/>
      <c r="E84" s="10"/>
      <c r="F84" s="10"/>
      <c r="G84" s="793">
        <v>2085</v>
      </c>
      <c r="H84" s="793"/>
      <c r="I84" s="793">
        <f t="shared" si="1"/>
        <v>2085</v>
      </c>
      <c r="J84" s="10"/>
      <c r="K84" s="10"/>
      <c r="L84" s="10"/>
      <c r="M84" s="899"/>
      <c r="N84" s="899"/>
      <c r="O84" s="899"/>
      <c r="P84" s="793"/>
      <c r="Q84" s="793"/>
      <c r="R84" s="793"/>
      <c r="S84" s="793"/>
      <c r="T84" s="793"/>
      <c r="U84" s="793"/>
      <c r="V84" s="793"/>
      <c r="W84" s="793"/>
      <c r="X84" s="10"/>
      <c r="Y84" s="10"/>
      <c r="Z84" s="10"/>
      <c r="AA84" s="10"/>
      <c r="AB84" s="10"/>
    </row>
    <row r="85" spans="1:28" s="776" customFormat="1">
      <c r="A85" s="242"/>
      <c r="B85" s="242" t="s">
        <v>336</v>
      </c>
      <c r="C85" s="242"/>
      <c r="D85" s="242"/>
      <c r="E85" s="10"/>
      <c r="F85" s="10"/>
      <c r="G85" s="793">
        <v>0</v>
      </c>
      <c r="H85" s="793"/>
      <c r="I85" s="793">
        <f t="shared" si="1"/>
        <v>0</v>
      </c>
      <c r="J85" s="10"/>
      <c r="K85" s="10"/>
      <c r="L85" s="10"/>
      <c r="M85" s="899"/>
      <c r="N85" s="899"/>
      <c r="O85" s="899"/>
      <c r="P85" s="793"/>
      <c r="Q85" s="793"/>
      <c r="R85" s="793"/>
      <c r="S85" s="793"/>
      <c r="T85" s="793"/>
      <c r="U85" s="793"/>
      <c r="V85" s="793"/>
      <c r="W85" s="793"/>
      <c r="X85" s="10"/>
      <c r="Y85" s="10"/>
      <c r="Z85" s="10"/>
      <c r="AA85" s="10"/>
      <c r="AB85" s="10"/>
    </row>
    <row r="86" spans="1:28" s="776" customFormat="1">
      <c r="A86" s="242"/>
      <c r="B86" s="242" t="s">
        <v>337</v>
      </c>
      <c r="C86" s="242"/>
      <c r="D86" s="242"/>
      <c r="E86" s="10"/>
      <c r="F86" s="10"/>
      <c r="G86" s="793">
        <v>0</v>
      </c>
      <c r="H86" s="793"/>
      <c r="I86" s="793">
        <f t="shared" si="1"/>
        <v>0</v>
      </c>
      <c r="J86" s="10"/>
      <c r="K86" s="10"/>
      <c r="L86" s="10"/>
      <c r="M86" s="899"/>
      <c r="N86" s="899"/>
      <c r="O86" s="899"/>
      <c r="P86" s="793"/>
      <c r="Q86" s="793"/>
      <c r="R86" s="793"/>
      <c r="S86" s="793"/>
      <c r="T86" s="793"/>
      <c r="U86" s="793"/>
      <c r="V86" s="793"/>
      <c r="W86" s="793"/>
      <c r="X86" s="10"/>
      <c r="Y86" s="10"/>
      <c r="Z86" s="10"/>
      <c r="AA86" s="10"/>
      <c r="AB86" s="10"/>
    </row>
    <row r="87" spans="1:28" s="776" customFormat="1">
      <c r="A87" s="242"/>
      <c r="B87" s="242" t="s">
        <v>338</v>
      </c>
      <c r="C87" s="242"/>
      <c r="D87" s="242"/>
      <c r="E87" s="10"/>
      <c r="F87" s="10"/>
      <c r="G87" s="892">
        <v>0</v>
      </c>
      <c r="H87" s="793"/>
      <c r="I87" s="892">
        <f t="shared" si="1"/>
        <v>0</v>
      </c>
      <c r="J87" s="10"/>
      <c r="K87" s="10"/>
      <c r="L87" s="10"/>
      <c r="M87" s="899"/>
      <c r="N87" s="899"/>
      <c r="O87" s="899"/>
      <c r="P87" s="793"/>
      <c r="Q87" s="793"/>
      <c r="R87" s="793"/>
      <c r="S87" s="793"/>
      <c r="T87" s="793"/>
      <c r="U87" s="793"/>
      <c r="V87" s="793"/>
      <c r="W87" s="793"/>
      <c r="X87" s="10"/>
      <c r="Y87" s="10"/>
      <c r="Z87" s="10"/>
      <c r="AA87" s="10"/>
      <c r="AB87" s="10"/>
    </row>
    <row r="88" spans="1:28" s="776" customFormat="1">
      <c r="A88" s="242"/>
      <c r="B88" s="242"/>
      <c r="C88" s="242"/>
      <c r="D88" s="242"/>
      <c r="E88" s="10"/>
      <c r="F88" s="10"/>
      <c r="G88" s="793">
        <f>SUM(G74:G87)</f>
        <v>195222</v>
      </c>
      <c r="H88" s="793"/>
      <c r="I88" s="793">
        <f>SUM(I74:I87)</f>
        <v>195222</v>
      </c>
      <c r="J88" s="10"/>
      <c r="K88" s="10"/>
      <c r="L88" s="10"/>
      <c r="M88" s="899"/>
      <c r="N88" s="899"/>
      <c r="O88" s="899"/>
      <c r="P88" s="793"/>
      <c r="Q88" s="793"/>
      <c r="R88" s="793"/>
      <c r="S88" s="793"/>
      <c r="T88" s="793"/>
      <c r="U88" s="793"/>
      <c r="V88" s="793"/>
      <c r="W88" s="793"/>
      <c r="X88" s="10"/>
      <c r="Y88" s="10"/>
      <c r="Z88" s="10"/>
      <c r="AA88" s="10"/>
      <c r="AB88" s="10"/>
    </row>
    <row r="89" spans="1:28" s="776" customFormat="1">
      <c r="A89" s="242"/>
      <c r="B89" s="242"/>
      <c r="C89" s="242"/>
      <c r="D89" s="242"/>
      <c r="E89" s="10"/>
      <c r="F89" s="10"/>
      <c r="G89" s="793"/>
      <c r="H89" s="793"/>
      <c r="I89" s="793">
        <f t="shared" si="1"/>
        <v>0</v>
      </c>
      <c r="J89" s="10"/>
      <c r="K89" s="10"/>
      <c r="L89" s="10"/>
      <c r="M89" s="899"/>
      <c r="N89" s="899"/>
      <c r="O89" s="899"/>
      <c r="P89" s="793"/>
      <c r="Q89" s="793"/>
      <c r="R89" s="793"/>
      <c r="S89" s="793"/>
      <c r="T89" s="793"/>
      <c r="U89" s="793"/>
      <c r="V89" s="793"/>
      <c r="W89" s="793"/>
      <c r="X89" s="10"/>
      <c r="Y89" s="10"/>
      <c r="Z89" s="10"/>
      <c r="AA89" s="10"/>
      <c r="AB89" s="10"/>
    </row>
    <row r="90" spans="1:28" s="776" customFormat="1">
      <c r="A90" s="242"/>
      <c r="B90" s="242" t="s">
        <v>10</v>
      </c>
      <c r="C90" s="242"/>
      <c r="D90" s="242"/>
      <c r="E90" s="10"/>
      <c r="F90" s="10"/>
      <c r="G90" s="793">
        <v>152089</v>
      </c>
      <c r="H90" s="793"/>
      <c r="I90" s="793">
        <f t="shared" si="1"/>
        <v>152089</v>
      </c>
      <c r="J90" s="10"/>
      <c r="K90" s="10"/>
      <c r="L90" s="10"/>
      <c r="M90" s="899"/>
      <c r="N90" s="899"/>
      <c r="O90" s="899"/>
      <c r="P90" s="793"/>
      <c r="Q90" s="793"/>
      <c r="R90" s="793"/>
      <c r="S90" s="793"/>
      <c r="T90" s="793"/>
      <c r="U90" s="793"/>
      <c r="V90" s="793"/>
      <c r="W90" s="793"/>
      <c r="X90" s="10"/>
      <c r="Y90" s="10"/>
      <c r="Z90" s="10"/>
      <c r="AA90" s="10"/>
      <c r="AB90" s="10"/>
    </row>
    <row r="91" spans="1:28" s="776" customFormat="1">
      <c r="A91" s="242"/>
      <c r="B91" s="242" t="s">
        <v>334</v>
      </c>
      <c r="C91" s="242"/>
      <c r="D91" s="242"/>
      <c r="E91" s="10"/>
      <c r="F91" s="10"/>
      <c r="G91" s="793">
        <v>0</v>
      </c>
      <c r="H91" s="793"/>
      <c r="I91" s="793">
        <f t="shared" si="1"/>
        <v>0</v>
      </c>
      <c r="J91" s="10"/>
      <c r="K91" s="10"/>
      <c r="L91" s="10"/>
      <c r="M91" s="899"/>
      <c r="N91" s="899"/>
      <c r="O91" s="899"/>
      <c r="P91" s="793"/>
      <c r="Q91" s="793"/>
      <c r="R91" s="793"/>
      <c r="S91" s="793"/>
      <c r="T91" s="793"/>
      <c r="U91" s="793"/>
      <c r="V91" s="793"/>
      <c r="W91" s="793"/>
      <c r="X91" s="10"/>
      <c r="Y91" s="10"/>
      <c r="Z91" s="10"/>
      <c r="AA91" s="10"/>
      <c r="AB91" s="10"/>
    </row>
    <row r="92" spans="1:28" s="776" customFormat="1">
      <c r="A92" s="242"/>
      <c r="B92" s="242" t="s">
        <v>313</v>
      </c>
      <c r="C92" s="242"/>
      <c r="D92" s="242"/>
      <c r="E92" s="10"/>
      <c r="F92" s="10"/>
      <c r="G92" s="793">
        <v>0</v>
      </c>
      <c r="H92" s="793"/>
      <c r="I92" s="793">
        <f t="shared" si="1"/>
        <v>0</v>
      </c>
      <c r="J92" s="10"/>
      <c r="K92" s="10"/>
      <c r="L92" s="10"/>
      <c r="M92" s="899"/>
      <c r="N92" s="899"/>
      <c r="O92" s="899"/>
      <c r="P92" s="793"/>
      <c r="Q92" s="793"/>
      <c r="R92" s="793"/>
      <c r="S92" s="793"/>
      <c r="T92" s="793"/>
      <c r="U92" s="793"/>
      <c r="V92" s="793"/>
      <c r="W92" s="793"/>
      <c r="X92" s="10"/>
      <c r="Y92" s="10"/>
      <c r="Z92" s="10"/>
      <c r="AA92" s="10"/>
      <c r="AB92" s="10"/>
    </row>
    <row r="93" spans="1:28" s="776" customFormat="1">
      <c r="A93" s="242"/>
      <c r="B93" s="242" t="s">
        <v>339</v>
      </c>
      <c r="C93" s="242"/>
      <c r="D93" s="242"/>
      <c r="E93" s="10"/>
      <c r="F93" s="10"/>
      <c r="G93" s="793">
        <v>0</v>
      </c>
      <c r="H93" s="793"/>
      <c r="I93" s="793">
        <f t="shared" si="1"/>
        <v>0</v>
      </c>
      <c r="J93" s="10"/>
      <c r="K93" s="10"/>
      <c r="L93" s="10"/>
      <c r="M93" s="899"/>
      <c r="N93" s="899"/>
      <c r="O93" s="899"/>
      <c r="P93" s="793"/>
      <c r="Q93" s="793"/>
      <c r="R93" s="793"/>
      <c r="S93" s="793"/>
      <c r="T93" s="793"/>
      <c r="U93" s="793"/>
      <c r="V93" s="793"/>
      <c r="W93" s="793"/>
      <c r="X93" s="10"/>
      <c r="Y93" s="10"/>
      <c r="Z93" s="10"/>
      <c r="AA93" s="10"/>
      <c r="AB93" s="10"/>
    </row>
    <row r="94" spans="1:28" s="776" customFormat="1">
      <c r="A94" s="242"/>
      <c r="B94" s="242" t="s">
        <v>340</v>
      </c>
      <c r="C94" s="242"/>
      <c r="D94" s="242"/>
      <c r="E94" s="10"/>
      <c r="F94" s="10"/>
      <c r="G94" s="793">
        <v>0</v>
      </c>
      <c r="H94" s="793"/>
      <c r="I94" s="793">
        <f t="shared" ref="I94:I109" si="2">G94+H94</f>
        <v>0</v>
      </c>
      <c r="J94" s="10"/>
      <c r="K94" s="10"/>
      <c r="L94" s="10"/>
      <c r="M94" s="899"/>
      <c r="N94" s="899"/>
      <c r="O94" s="899"/>
      <c r="P94" s="793"/>
      <c r="Q94" s="793"/>
      <c r="R94" s="793"/>
      <c r="S94" s="793"/>
      <c r="T94" s="793"/>
      <c r="U94" s="793"/>
      <c r="V94" s="793"/>
      <c r="W94" s="793"/>
      <c r="X94" s="10"/>
      <c r="Y94" s="10"/>
      <c r="Z94" s="10"/>
      <c r="AA94" s="10"/>
      <c r="AB94" s="10"/>
    </row>
    <row r="95" spans="1:28" s="776" customFormat="1">
      <c r="A95" s="242"/>
      <c r="B95" s="242" t="s">
        <v>341</v>
      </c>
      <c r="C95" s="242"/>
      <c r="D95" s="242"/>
      <c r="E95" s="10"/>
      <c r="F95" s="10"/>
      <c r="G95" s="892">
        <v>754649</v>
      </c>
      <c r="H95" s="793"/>
      <c r="I95" s="892">
        <f t="shared" si="2"/>
        <v>754649</v>
      </c>
      <c r="J95" s="10"/>
      <c r="K95" s="10"/>
      <c r="L95" s="10"/>
      <c r="M95" s="899"/>
      <c r="N95" s="899"/>
      <c r="O95" s="899"/>
      <c r="P95" s="793"/>
      <c r="Q95" s="793"/>
      <c r="R95" s="793"/>
      <c r="S95" s="793"/>
      <c r="T95" s="793"/>
      <c r="U95" s="793"/>
      <c r="V95" s="793"/>
      <c r="W95" s="793"/>
      <c r="X95" s="10"/>
      <c r="Y95" s="10"/>
      <c r="Z95" s="10"/>
      <c r="AA95" s="10"/>
      <c r="AB95" s="10"/>
    </row>
    <row r="96" spans="1:28" s="776" customFormat="1">
      <c r="A96" s="242"/>
      <c r="B96" s="242"/>
      <c r="C96" s="242"/>
      <c r="D96" s="242"/>
      <c r="E96" s="10"/>
      <c r="F96" s="10"/>
      <c r="G96" s="793">
        <f>SUM(G90:G95)</f>
        <v>906738</v>
      </c>
      <c r="H96" s="793"/>
      <c r="I96" s="793">
        <f>SUM(I90:I95)</f>
        <v>906738</v>
      </c>
      <c r="J96" s="10"/>
      <c r="K96" s="10"/>
      <c r="L96" s="10"/>
      <c r="M96" s="899"/>
      <c r="N96" s="899"/>
      <c r="O96" s="899"/>
      <c r="P96" s="793"/>
      <c r="Q96" s="793"/>
      <c r="R96" s="793"/>
      <c r="S96" s="793"/>
      <c r="T96" s="793"/>
      <c r="U96" s="793"/>
      <c r="V96" s="793"/>
      <c r="W96" s="793"/>
      <c r="X96" s="10"/>
      <c r="Y96" s="10"/>
      <c r="Z96" s="10"/>
      <c r="AA96" s="10"/>
      <c r="AB96" s="10"/>
    </row>
    <row r="97" spans="1:28" s="776" customFormat="1">
      <c r="A97" s="242"/>
      <c r="B97" s="242"/>
      <c r="C97" s="242"/>
      <c r="D97" s="242"/>
      <c r="E97" s="10"/>
      <c r="F97" s="10"/>
      <c r="G97" s="793"/>
      <c r="H97" s="793"/>
      <c r="I97" s="793">
        <f t="shared" si="2"/>
        <v>0</v>
      </c>
      <c r="J97" s="10"/>
      <c r="K97" s="10"/>
      <c r="L97" s="10"/>
      <c r="M97" s="899"/>
      <c r="N97" s="899"/>
      <c r="O97" s="899"/>
      <c r="P97" s="793"/>
      <c r="Q97" s="793"/>
      <c r="R97" s="793"/>
      <c r="S97" s="793"/>
      <c r="T97" s="793"/>
      <c r="U97" s="793"/>
      <c r="V97" s="793"/>
      <c r="W97" s="793"/>
      <c r="X97" s="10"/>
      <c r="Y97" s="10"/>
      <c r="Z97" s="10"/>
      <c r="AA97" s="10"/>
      <c r="AB97" s="10"/>
    </row>
    <row r="98" spans="1:28" s="776" customFormat="1">
      <c r="A98" s="242"/>
      <c r="B98" s="242" t="s">
        <v>342</v>
      </c>
      <c r="C98" s="242"/>
      <c r="D98" s="242"/>
      <c r="E98" s="10"/>
      <c r="F98" s="10"/>
      <c r="G98" s="793">
        <v>1600000</v>
      </c>
      <c r="H98" s="793"/>
      <c r="I98" s="793">
        <f t="shared" si="2"/>
        <v>1600000</v>
      </c>
      <c r="J98" s="10"/>
      <c r="K98" s="10"/>
      <c r="L98" s="10"/>
      <c r="M98" s="899"/>
      <c r="N98" s="899"/>
      <c r="O98" s="899"/>
      <c r="P98" s="793"/>
      <c r="Q98" s="793"/>
      <c r="R98" s="793"/>
      <c r="S98" s="793"/>
      <c r="T98" s="793"/>
      <c r="U98" s="793"/>
      <c r="V98" s="793"/>
      <c r="W98" s="793"/>
      <c r="X98" s="10"/>
      <c r="Y98" s="10"/>
      <c r="Z98" s="10"/>
      <c r="AA98" s="10"/>
      <c r="AB98" s="10"/>
    </row>
    <row r="99" spans="1:28" s="776" customFormat="1">
      <c r="A99" s="242"/>
      <c r="B99" s="242" t="s">
        <v>343</v>
      </c>
      <c r="C99" s="242"/>
      <c r="D99" s="242"/>
      <c r="E99" s="10"/>
      <c r="F99" s="10"/>
      <c r="G99" s="899">
        <v>2477802</v>
      </c>
      <c r="H99" s="793">
        <v>-824177</v>
      </c>
      <c r="I99" s="793">
        <f t="shared" si="2"/>
        <v>1653625</v>
      </c>
      <c r="J99" s="10"/>
      <c r="K99" s="10"/>
      <c r="L99" s="10"/>
      <c r="M99" s="899"/>
      <c r="N99" s="899"/>
      <c r="O99" s="899"/>
      <c r="P99" s="793"/>
      <c r="Q99" s="793"/>
      <c r="R99" s="793"/>
      <c r="S99" s="793"/>
      <c r="T99" s="793"/>
      <c r="U99" s="793"/>
      <c r="V99" s="793"/>
      <c r="W99" s="793"/>
      <c r="X99" s="10"/>
      <c r="Y99" s="10"/>
      <c r="Z99" s="10"/>
      <c r="AA99" s="10"/>
      <c r="AB99" s="10"/>
    </row>
    <row r="100" spans="1:28" s="776" customFormat="1">
      <c r="A100" s="242"/>
      <c r="B100" s="242" t="s">
        <v>344</v>
      </c>
      <c r="C100" s="242"/>
      <c r="D100" s="242"/>
      <c r="E100" s="10"/>
      <c r="F100" s="10"/>
      <c r="G100" s="793">
        <v>0</v>
      </c>
      <c r="H100" s="793"/>
      <c r="I100" s="793">
        <f t="shared" si="2"/>
        <v>0</v>
      </c>
      <c r="J100" s="10"/>
      <c r="K100" s="10"/>
      <c r="L100" s="10"/>
      <c r="M100" s="899"/>
      <c r="N100" s="899"/>
      <c r="O100" s="899"/>
      <c r="P100" s="793"/>
      <c r="Q100" s="793"/>
      <c r="R100" s="793"/>
      <c r="S100" s="793"/>
      <c r="T100" s="793"/>
      <c r="U100" s="793"/>
      <c r="V100" s="793"/>
      <c r="W100" s="793"/>
      <c r="X100" s="10"/>
      <c r="Y100" s="10"/>
      <c r="Z100" s="10"/>
      <c r="AA100" s="10"/>
      <c r="AB100" s="10"/>
    </row>
    <row r="101" spans="1:28" s="776" customFormat="1">
      <c r="A101" s="242"/>
      <c r="B101" s="242" t="s">
        <v>345</v>
      </c>
      <c r="C101" s="242"/>
      <c r="D101" s="242"/>
      <c r="E101" s="10"/>
      <c r="F101" s="10"/>
      <c r="G101" s="793">
        <v>6</v>
      </c>
      <c r="H101" s="793"/>
      <c r="I101" s="793">
        <f t="shared" si="2"/>
        <v>6</v>
      </c>
      <c r="J101" s="10"/>
      <c r="K101" s="10"/>
      <c r="L101" s="10"/>
      <c r="M101" s="899"/>
      <c r="N101" s="899"/>
      <c r="O101" s="899"/>
      <c r="P101" s="793"/>
      <c r="Q101" s="793"/>
      <c r="R101" s="793"/>
      <c r="S101" s="793"/>
      <c r="T101" s="793"/>
      <c r="U101" s="793"/>
      <c r="V101" s="793"/>
      <c r="W101" s="793"/>
      <c r="X101" s="10"/>
      <c r="Y101" s="10"/>
      <c r="Z101" s="10"/>
      <c r="AA101" s="10"/>
      <c r="AB101" s="10"/>
    </row>
    <row r="102" spans="1:28" s="776" customFormat="1">
      <c r="A102" s="242"/>
      <c r="B102" s="242" t="s">
        <v>346</v>
      </c>
      <c r="C102" s="242"/>
      <c r="D102" s="242"/>
      <c r="E102" s="10"/>
      <c r="F102" s="10"/>
      <c r="G102" s="793"/>
      <c r="H102" s="793">
        <v>14891</v>
      </c>
      <c r="I102" s="793">
        <f t="shared" si="2"/>
        <v>14891</v>
      </c>
      <c r="J102" s="10"/>
      <c r="K102" s="10"/>
      <c r="L102" s="10"/>
      <c r="M102" s="899"/>
      <c r="N102" s="899"/>
      <c r="O102" s="899"/>
      <c r="P102" s="793"/>
      <c r="Q102" s="793"/>
      <c r="R102" s="793"/>
      <c r="S102" s="793"/>
      <c r="T102" s="793"/>
      <c r="U102" s="793"/>
      <c r="V102" s="793"/>
      <c r="W102" s="793"/>
      <c r="X102" s="10"/>
      <c r="Y102" s="10"/>
      <c r="Z102" s="10"/>
      <c r="AA102" s="10"/>
      <c r="AB102" s="10"/>
    </row>
    <row r="103" spans="1:28" s="776" customFormat="1">
      <c r="A103" s="242"/>
      <c r="B103" s="242" t="s">
        <v>347</v>
      </c>
      <c r="C103" s="242"/>
      <c r="D103" s="242"/>
      <c r="E103" s="10"/>
      <c r="F103" s="10"/>
      <c r="G103" s="793"/>
      <c r="H103" s="793">
        <v>1065</v>
      </c>
      <c r="I103" s="793">
        <f t="shared" si="2"/>
        <v>1065</v>
      </c>
      <c r="J103" s="10"/>
      <c r="K103" s="10"/>
      <c r="L103" s="10"/>
      <c r="M103" s="899"/>
      <c r="N103" s="899"/>
      <c r="O103" s="899"/>
      <c r="P103" s="793"/>
      <c r="Q103" s="793"/>
      <c r="R103" s="793"/>
      <c r="S103" s="793"/>
      <c r="T103" s="793"/>
      <c r="U103" s="793"/>
      <c r="V103" s="793"/>
      <c r="W103" s="793"/>
      <c r="X103" s="10"/>
      <c r="Y103" s="10"/>
      <c r="Z103" s="10"/>
      <c r="AA103" s="10"/>
      <c r="AB103" s="10"/>
    </row>
    <row r="104" spans="1:28" s="776" customFormat="1">
      <c r="A104" s="242"/>
      <c r="B104" s="242" t="s">
        <v>348</v>
      </c>
      <c r="C104" s="242"/>
      <c r="D104" s="242"/>
      <c r="E104" s="10"/>
      <c r="F104" s="10"/>
      <c r="G104" s="924">
        <v>159543</v>
      </c>
      <c r="H104" s="793">
        <v>8934</v>
      </c>
      <c r="I104" s="892">
        <f t="shared" si="2"/>
        <v>168477</v>
      </c>
      <c r="J104" s="10"/>
      <c r="K104" s="10"/>
      <c r="L104" s="10"/>
      <c r="M104" s="899"/>
      <c r="N104" s="899"/>
      <c r="O104" s="899"/>
      <c r="P104" s="793"/>
      <c r="Q104" s="793"/>
      <c r="R104" s="793"/>
      <c r="S104" s="793"/>
      <c r="T104" s="793"/>
      <c r="U104" s="793"/>
      <c r="V104" s="793"/>
      <c r="W104" s="793"/>
      <c r="X104" s="10"/>
      <c r="Y104" s="10"/>
      <c r="Z104" s="10"/>
      <c r="AA104" s="10"/>
      <c r="AB104" s="10"/>
    </row>
    <row r="105" spans="1:28" s="776" customFormat="1">
      <c r="A105" s="242"/>
      <c r="B105" s="242" t="s">
        <v>349</v>
      </c>
      <c r="C105" s="242"/>
      <c r="D105" s="242"/>
      <c r="E105" s="10"/>
      <c r="F105" s="10"/>
      <c r="G105" s="793">
        <f>SUM(G98:G104)</f>
        <v>4237351</v>
      </c>
      <c r="H105" s="793"/>
      <c r="I105" s="793">
        <f>SUM(I98:I104)</f>
        <v>3438064</v>
      </c>
      <c r="J105" s="10"/>
      <c r="K105" s="10"/>
      <c r="L105" s="10"/>
      <c r="M105" s="899"/>
      <c r="N105" s="899"/>
      <c r="O105" s="899"/>
      <c r="P105" s="793"/>
      <c r="Q105" s="793"/>
      <c r="R105" s="793"/>
      <c r="S105" s="793"/>
      <c r="T105" s="793"/>
      <c r="U105" s="793"/>
      <c r="V105" s="793"/>
      <c r="W105" s="793"/>
      <c r="X105" s="10"/>
      <c r="Y105" s="10"/>
      <c r="Z105" s="10"/>
      <c r="AA105" s="10"/>
      <c r="AB105" s="10"/>
    </row>
    <row r="106" spans="1:28" s="776" customFormat="1">
      <c r="A106" s="242"/>
      <c r="B106" s="242" t="s">
        <v>350</v>
      </c>
      <c r="C106" s="242"/>
      <c r="D106" s="242"/>
      <c r="E106" s="10"/>
      <c r="F106" s="10"/>
      <c r="G106" s="793">
        <v>0</v>
      </c>
      <c r="H106" s="793"/>
      <c r="I106" s="793">
        <f t="shared" si="2"/>
        <v>0</v>
      </c>
      <c r="J106" s="10"/>
      <c r="K106" s="10"/>
      <c r="L106" s="10"/>
      <c r="M106" s="899"/>
      <c r="N106" s="899"/>
      <c r="O106" s="899"/>
      <c r="P106" s="793"/>
      <c r="Q106" s="793"/>
      <c r="R106" s="793"/>
      <c r="S106" s="793"/>
      <c r="T106" s="793"/>
      <c r="U106" s="793"/>
      <c r="V106" s="793"/>
      <c r="W106" s="793"/>
      <c r="X106" s="10"/>
      <c r="Y106" s="10"/>
      <c r="Z106" s="10"/>
      <c r="AA106" s="10"/>
      <c r="AB106" s="10"/>
    </row>
    <row r="107" spans="1:28" s="776" customFormat="1">
      <c r="A107" s="242"/>
      <c r="B107" s="242" t="s">
        <v>351</v>
      </c>
      <c r="C107" s="242"/>
      <c r="D107" s="242"/>
      <c r="E107" s="10"/>
      <c r="F107" s="10"/>
      <c r="G107" s="892">
        <v>0</v>
      </c>
      <c r="H107" s="892"/>
      <c r="I107" s="892">
        <f t="shared" si="2"/>
        <v>0</v>
      </c>
      <c r="J107" s="10"/>
      <c r="K107" s="10"/>
      <c r="L107" s="10"/>
      <c r="M107" s="899"/>
      <c r="N107" s="899"/>
      <c r="O107" s="899"/>
      <c r="P107" s="793"/>
      <c r="Q107" s="793"/>
      <c r="R107" s="793"/>
      <c r="S107" s="793"/>
      <c r="T107" s="793"/>
      <c r="U107" s="793"/>
      <c r="V107" s="793"/>
      <c r="W107" s="793"/>
      <c r="X107" s="10"/>
      <c r="Y107" s="10"/>
      <c r="Z107" s="10"/>
      <c r="AA107" s="10"/>
      <c r="AB107" s="10"/>
    </row>
    <row r="108" spans="1:28" s="776" customFormat="1">
      <c r="A108" s="242"/>
      <c r="B108" s="242" t="s">
        <v>352</v>
      </c>
      <c r="C108" s="242"/>
      <c r="D108" s="242"/>
      <c r="E108" s="10"/>
      <c r="F108" s="10"/>
      <c r="G108" s="1260">
        <f t="shared" ref="G108" si="3">SUM(G105:G107)</f>
        <v>4237351</v>
      </c>
      <c r="H108" s="1260">
        <f>SUM(H74:H107)</f>
        <v>-799287</v>
      </c>
      <c r="I108" s="1260">
        <f t="shared" si="2"/>
        <v>3438064</v>
      </c>
      <c r="J108" s="10"/>
      <c r="K108" s="10"/>
      <c r="L108" s="10"/>
      <c r="M108" s="899"/>
      <c r="N108" s="899"/>
      <c r="O108" s="899"/>
      <c r="P108" s="793"/>
      <c r="Q108" s="793"/>
      <c r="R108" s="793"/>
      <c r="S108" s="793"/>
      <c r="T108" s="793"/>
      <c r="U108" s="793"/>
      <c r="V108" s="793"/>
      <c r="W108" s="793"/>
      <c r="X108" s="10"/>
      <c r="Y108" s="10"/>
      <c r="Z108" s="10"/>
      <c r="AA108" s="10"/>
      <c r="AB108" s="10"/>
    </row>
    <row r="109" spans="1:28" s="776" customFormat="1">
      <c r="A109" s="242"/>
      <c r="B109" s="242"/>
      <c r="C109" s="242"/>
      <c r="D109" s="242"/>
      <c r="E109" s="10"/>
      <c r="F109" s="10"/>
      <c r="G109" s="793"/>
      <c r="H109" s="793"/>
      <c r="I109" s="793">
        <f t="shared" si="2"/>
        <v>0</v>
      </c>
      <c r="J109" s="10"/>
      <c r="K109" s="10"/>
      <c r="L109" s="10"/>
      <c r="M109" s="899"/>
      <c r="N109" s="899"/>
      <c r="O109" s="899"/>
      <c r="P109" s="793"/>
      <c r="Q109" s="793"/>
      <c r="R109" s="793"/>
      <c r="S109" s="793"/>
      <c r="T109" s="793"/>
      <c r="U109" s="793"/>
      <c r="V109" s="793"/>
      <c r="W109" s="793"/>
      <c r="X109" s="10"/>
      <c r="Y109" s="10"/>
      <c r="Z109" s="10"/>
      <c r="AA109" s="10"/>
      <c r="AB109" s="10"/>
    </row>
    <row r="110" spans="1:28" s="776" customFormat="1">
      <c r="A110" s="242"/>
      <c r="B110" s="791" t="s">
        <v>7</v>
      </c>
      <c r="C110" s="242"/>
      <c r="D110" s="242"/>
      <c r="E110" s="10"/>
      <c r="F110" s="10"/>
      <c r="G110" s="793">
        <f>G69-G108</f>
        <v>1101960</v>
      </c>
      <c r="H110" s="793">
        <f t="shared" ref="H110:I110" si="4">H69-H108</f>
        <v>845418</v>
      </c>
      <c r="I110" s="793">
        <f t="shared" si="4"/>
        <v>1947378</v>
      </c>
      <c r="J110" s="10"/>
      <c r="K110" s="10"/>
      <c r="L110" s="10"/>
      <c r="M110" s="899"/>
      <c r="N110" s="899"/>
      <c r="O110" s="899"/>
      <c r="P110" s="793"/>
      <c r="Q110" s="793"/>
      <c r="R110" s="793"/>
      <c r="S110" s="793"/>
      <c r="T110" s="793"/>
      <c r="U110" s="793"/>
      <c r="V110" s="793"/>
      <c r="W110" s="793"/>
      <c r="X110" s="10"/>
      <c r="Y110" s="10"/>
      <c r="Z110" s="10"/>
      <c r="AA110" s="10"/>
      <c r="AB110" s="10"/>
    </row>
    <row r="111" spans="1:28" s="776" customFormat="1">
      <c r="A111" s="74"/>
      <c r="B111" s="16"/>
      <c r="C111" s="4"/>
      <c r="D111" s="4"/>
      <c r="E111" s="4"/>
      <c r="F111" s="4"/>
      <c r="G111" s="4"/>
      <c r="H111" s="4"/>
      <c r="I111" s="892"/>
      <c r="J111" s="4"/>
      <c r="K111" s="10"/>
      <c r="L111" s="10"/>
      <c r="M111" s="899"/>
      <c r="N111" s="899"/>
      <c r="O111" s="899"/>
      <c r="P111" s="793"/>
      <c r="Q111" s="793"/>
      <c r="R111" s="793"/>
      <c r="S111" s="793"/>
      <c r="T111" s="793"/>
      <c r="U111" s="793"/>
      <c r="V111" s="793"/>
      <c r="W111" s="793"/>
      <c r="X111" s="10"/>
      <c r="Y111" s="10"/>
      <c r="Z111" s="10"/>
      <c r="AA111" s="10"/>
      <c r="AB111" s="10"/>
    </row>
    <row r="112" spans="1:28" s="776" customFormat="1">
      <c r="A112" s="10"/>
      <c r="B112" s="10"/>
      <c r="C112" s="10"/>
      <c r="D112" s="10"/>
      <c r="E112" s="10"/>
      <c r="F112" s="10"/>
      <c r="G112" s="10"/>
      <c r="H112" s="10"/>
      <c r="I112" s="18"/>
      <c r="J112" s="10"/>
      <c r="K112" s="10"/>
      <c r="L112" s="10"/>
      <c r="M112" s="899"/>
      <c r="N112" s="899"/>
      <c r="O112" s="899"/>
      <c r="P112" s="793"/>
      <c r="Q112" s="793"/>
      <c r="R112" s="793"/>
      <c r="S112" s="793"/>
      <c r="T112" s="793"/>
      <c r="U112" s="793"/>
      <c r="V112" s="793"/>
      <c r="W112" s="793"/>
      <c r="X112" s="10"/>
      <c r="Y112" s="10"/>
      <c r="Z112" s="10"/>
      <c r="AA112" s="10"/>
      <c r="AB112" s="10"/>
    </row>
    <row r="113" spans="1:28">
      <c r="A113" s="1018" t="s">
        <v>526</v>
      </c>
      <c r="B113" s="26"/>
      <c r="C113" s="26"/>
      <c r="D113" s="26"/>
      <c r="E113" s="776"/>
      <c r="F113" s="776"/>
      <c r="G113" s="776"/>
      <c r="H113" s="776"/>
      <c r="I113" s="776"/>
      <c r="J113" s="776"/>
      <c r="K113" s="776"/>
      <c r="L113" s="776"/>
      <c r="M113" s="776"/>
      <c r="N113" s="776"/>
      <c r="O113" s="776"/>
      <c r="P113" s="776"/>
      <c r="Q113" s="776"/>
      <c r="R113" s="776"/>
      <c r="S113" s="776"/>
      <c r="T113" s="776"/>
      <c r="U113" s="776"/>
      <c r="V113" s="776"/>
      <c r="W113" s="776"/>
      <c r="X113" s="776"/>
      <c r="Y113" s="776"/>
      <c r="Z113" s="776"/>
      <c r="AA113" s="776"/>
      <c r="AB113" s="776"/>
    </row>
    <row r="114" spans="1:28">
      <c r="A114" s="776"/>
      <c r="B114" s="776"/>
      <c r="C114" s="776"/>
      <c r="D114" s="776"/>
      <c r="E114" s="776"/>
      <c r="F114" s="776"/>
      <c r="G114" s="776"/>
      <c r="H114" s="776"/>
      <c r="I114" s="776"/>
      <c r="J114" s="776"/>
      <c r="K114" s="776"/>
      <c r="L114" s="776"/>
      <c r="M114" s="776"/>
      <c r="N114" s="776"/>
      <c r="O114" s="776"/>
      <c r="P114" s="776"/>
      <c r="Q114" s="776"/>
      <c r="R114" s="776"/>
      <c r="S114" s="879"/>
      <c r="T114" s="1012">
        <v>2007</v>
      </c>
      <c r="U114" s="1012"/>
      <c r="V114" s="1012"/>
      <c r="W114" s="776"/>
      <c r="X114" s="776"/>
      <c r="Y114" s="776"/>
      <c r="Z114" s="776"/>
      <c r="AA114" s="776"/>
      <c r="AB114" s="776"/>
    </row>
    <row r="115" spans="1:28">
      <c r="A115" s="776"/>
      <c r="B115" s="776"/>
      <c r="C115" s="776"/>
      <c r="D115" s="776"/>
      <c r="E115" s="776"/>
      <c r="F115" s="776"/>
      <c r="G115" s="776"/>
      <c r="H115" s="776"/>
      <c r="I115" s="776"/>
      <c r="J115" s="776"/>
      <c r="K115" s="776"/>
      <c r="L115" s="776"/>
      <c r="M115" s="776"/>
      <c r="N115" s="776"/>
      <c r="O115" s="776"/>
      <c r="P115" s="776"/>
      <c r="Q115" s="776"/>
      <c r="R115" s="776"/>
      <c r="S115" s="4"/>
      <c r="T115" s="4"/>
      <c r="U115" s="4"/>
      <c r="V115" s="4"/>
      <c r="W115" s="776"/>
      <c r="X115" s="776"/>
      <c r="Y115" s="776"/>
      <c r="Z115" s="776"/>
      <c r="AA115" s="776"/>
      <c r="AB115" s="776"/>
    </row>
    <row r="116" spans="1:28">
      <c r="A116" s="776"/>
      <c r="B116" s="776"/>
      <c r="C116" s="776"/>
      <c r="D116" s="776"/>
      <c r="E116" s="776"/>
      <c r="F116" s="776"/>
      <c r="G116" s="776"/>
      <c r="H116" s="776"/>
      <c r="I116" s="776"/>
      <c r="J116" s="776"/>
      <c r="K116" s="776"/>
      <c r="L116" s="776"/>
      <c r="M116" s="776"/>
      <c r="N116" s="776"/>
      <c r="O116" s="776"/>
      <c r="P116" s="776"/>
      <c r="Q116" s="776"/>
      <c r="R116" s="776"/>
      <c r="S116" s="776"/>
      <c r="T116" s="3" t="s">
        <v>512</v>
      </c>
      <c r="U116" s="776"/>
      <c r="V116" s="776"/>
      <c r="W116" s="776"/>
      <c r="X116" s="776"/>
      <c r="Y116" s="776"/>
      <c r="Z116" s="776"/>
      <c r="AA116" s="776"/>
      <c r="AB116" s="776"/>
    </row>
    <row r="117" spans="1:28">
      <c r="A117" s="776"/>
      <c r="B117" s="776"/>
      <c r="C117" s="776"/>
      <c r="D117" s="776"/>
      <c r="E117" s="776"/>
      <c r="F117" s="776"/>
      <c r="G117" s="776"/>
      <c r="H117" s="776"/>
      <c r="I117" s="776"/>
      <c r="J117" s="776"/>
      <c r="K117" s="776"/>
      <c r="L117" s="776"/>
      <c r="M117" s="776"/>
      <c r="N117" s="776"/>
      <c r="O117" s="776"/>
      <c r="P117" s="776"/>
      <c r="Q117" s="776"/>
      <c r="R117" s="776"/>
      <c r="S117" s="1013">
        <v>39263</v>
      </c>
      <c r="T117" s="1014" t="s">
        <v>289</v>
      </c>
      <c r="U117" s="1015" t="s">
        <v>513</v>
      </c>
      <c r="V117" s="1015" t="s">
        <v>290</v>
      </c>
      <c r="W117" s="776"/>
      <c r="X117" s="776"/>
      <c r="Y117" s="776"/>
      <c r="Z117" s="776"/>
      <c r="AA117" s="776"/>
      <c r="AB117" s="776"/>
    </row>
    <row r="118" spans="1:28">
      <c r="A118" s="776" t="s">
        <v>527</v>
      </c>
      <c r="B118" s="776"/>
      <c r="C118" s="776"/>
      <c r="D118" s="776"/>
      <c r="E118" s="776"/>
      <c r="F118" s="776"/>
      <c r="G118" s="776"/>
      <c r="H118" s="776"/>
      <c r="I118" s="776"/>
      <c r="J118" s="776"/>
      <c r="K118" s="776"/>
      <c r="L118" s="776"/>
      <c r="M118" s="776"/>
      <c r="N118" s="776"/>
      <c r="O118" s="776"/>
      <c r="P118" s="776"/>
      <c r="Q118" s="776"/>
      <c r="R118" s="776"/>
      <c r="S118" s="776"/>
      <c r="T118" s="793">
        <v>1773991</v>
      </c>
      <c r="U118" s="793">
        <v>16731</v>
      </c>
      <c r="V118" s="793">
        <f>T118+U118</f>
        <v>1790722</v>
      </c>
      <c r="W118" s="793"/>
      <c r="X118" s="776"/>
      <c r="Y118" s="776"/>
      <c r="Z118" s="776"/>
      <c r="AA118" s="776"/>
      <c r="AB118" s="776"/>
    </row>
    <row r="119" spans="1:28">
      <c r="A119" s="776" t="s">
        <v>47</v>
      </c>
      <c r="B119" s="776"/>
      <c r="C119" s="776"/>
      <c r="D119" s="776"/>
      <c r="E119" s="776"/>
      <c r="F119" s="776"/>
      <c r="G119" s="776"/>
      <c r="H119" s="776"/>
      <c r="I119" s="776"/>
      <c r="J119" s="776"/>
      <c r="K119" s="776"/>
      <c r="L119" s="776"/>
      <c r="M119" s="776"/>
      <c r="N119" s="776"/>
      <c r="O119" s="776"/>
      <c r="P119" s="776"/>
      <c r="Q119" s="776"/>
      <c r="R119" s="776"/>
      <c r="S119" s="776"/>
      <c r="T119" s="892">
        <v>-1297488</v>
      </c>
      <c r="U119" s="892">
        <v>-16813</v>
      </c>
      <c r="V119" s="892">
        <f>T119+U119</f>
        <v>-1314301</v>
      </c>
      <c r="W119" s="793"/>
      <c r="X119" s="776"/>
      <c r="Y119" s="776"/>
      <c r="Z119" s="776"/>
      <c r="AA119" s="776"/>
      <c r="AB119" s="776"/>
    </row>
    <row r="120" spans="1:28">
      <c r="A120" s="776" t="s">
        <v>528</v>
      </c>
      <c r="B120" s="776"/>
      <c r="C120" s="776"/>
      <c r="D120" s="776"/>
      <c r="E120" s="776"/>
      <c r="F120" s="776"/>
      <c r="G120" s="776"/>
      <c r="H120" s="776"/>
      <c r="I120" s="776"/>
      <c r="J120" s="776"/>
      <c r="K120" s="776"/>
      <c r="L120" s="776"/>
      <c r="M120" s="776"/>
      <c r="N120" s="776"/>
      <c r="O120" s="776"/>
      <c r="P120" s="776"/>
      <c r="Q120" s="776"/>
      <c r="R120" s="776"/>
      <c r="S120" s="776"/>
      <c r="T120" s="793">
        <f>SUM(T118:T119)</f>
        <v>476503</v>
      </c>
      <c r="U120" s="793">
        <f t="shared" ref="U120:V120" si="5">SUM(U118:U119)</f>
        <v>-82</v>
      </c>
      <c r="V120" s="793">
        <f t="shared" si="5"/>
        <v>476421</v>
      </c>
      <c r="W120" s="793"/>
      <c r="X120" s="776"/>
      <c r="Y120" s="776"/>
      <c r="Z120" s="776"/>
      <c r="AA120" s="776"/>
      <c r="AB120" s="776"/>
    </row>
    <row r="121" spans="1:28">
      <c r="A121" s="776"/>
      <c r="B121" s="776"/>
      <c r="C121" s="776"/>
      <c r="D121" s="776"/>
      <c r="E121" s="776"/>
      <c r="F121" s="776"/>
      <c r="G121" s="776"/>
      <c r="H121" s="776"/>
      <c r="I121" s="776"/>
      <c r="J121" s="776"/>
      <c r="K121" s="776"/>
      <c r="L121" s="776"/>
      <c r="M121" s="776"/>
      <c r="N121" s="776"/>
      <c r="O121" s="776"/>
      <c r="P121" s="776"/>
      <c r="Q121" s="776"/>
      <c r="R121" s="776"/>
      <c r="S121" s="776"/>
      <c r="T121" s="793"/>
      <c r="U121" s="793"/>
      <c r="V121" s="793"/>
      <c r="W121" s="793"/>
      <c r="X121" s="776"/>
      <c r="Y121" s="776"/>
      <c r="Z121" s="776"/>
      <c r="AA121" s="776"/>
      <c r="AB121" s="776"/>
    </row>
    <row r="122" spans="1:28">
      <c r="A122" s="776" t="s">
        <v>529</v>
      </c>
      <c r="B122" s="776"/>
      <c r="C122" s="776"/>
      <c r="D122" s="776"/>
      <c r="E122" s="776"/>
      <c r="F122" s="776"/>
      <c r="G122" s="776"/>
      <c r="H122" s="776"/>
      <c r="I122" s="776"/>
      <c r="J122" s="776"/>
      <c r="K122" s="776"/>
      <c r="L122" s="776"/>
      <c r="M122" s="776"/>
      <c r="N122" s="776"/>
      <c r="O122" s="776"/>
      <c r="P122" s="776"/>
      <c r="Q122" s="776"/>
      <c r="R122" s="776"/>
      <c r="S122" s="776"/>
      <c r="T122" s="793">
        <v>0</v>
      </c>
      <c r="U122" s="793">
        <v>658</v>
      </c>
      <c r="V122" s="793">
        <f t="shared" ref="V122:V125" si="6">T122+U122</f>
        <v>658</v>
      </c>
      <c r="W122" s="793"/>
      <c r="X122" s="776"/>
      <c r="Y122" s="776"/>
      <c r="Z122" s="776"/>
      <c r="AA122" s="776"/>
      <c r="AB122" s="776"/>
    </row>
    <row r="123" spans="1:28">
      <c r="A123" s="776" t="s">
        <v>116</v>
      </c>
      <c r="B123" s="776"/>
      <c r="C123" s="776"/>
      <c r="D123" s="776"/>
      <c r="E123" s="776"/>
      <c r="F123" s="776"/>
      <c r="G123" s="776"/>
      <c r="H123" s="776"/>
      <c r="I123" s="776"/>
      <c r="J123" s="776"/>
      <c r="K123" s="776"/>
      <c r="L123" s="776"/>
      <c r="M123" s="776"/>
      <c r="N123" s="776"/>
      <c r="O123" s="776"/>
      <c r="P123" s="776"/>
      <c r="Q123" s="776"/>
      <c r="R123" s="776"/>
      <c r="S123" s="776"/>
      <c r="T123" s="793">
        <v>-117610</v>
      </c>
      <c r="U123" s="793">
        <v>247</v>
      </c>
      <c r="V123" s="793">
        <f t="shared" si="6"/>
        <v>-117363</v>
      </c>
      <c r="W123" s="793"/>
      <c r="X123" s="776"/>
      <c r="Y123" s="776"/>
      <c r="Z123" s="776"/>
      <c r="AA123" s="776"/>
      <c r="AB123" s="776"/>
    </row>
    <row r="124" spans="1:28">
      <c r="A124" s="776" t="s">
        <v>530</v>
      </c>
      <c r="B124" s="776"/>
      <c r="C124" s="776"/>
      <c r="D124" s="776"/>
      <c r="E124" s="776"/>
      <c r="F124" s="776"/>
      <c r="G124" s="776"/>
      <c r="H124" s="776"/>
      <c r="I124" s="776"/>
      <c r="J124" s="776"/>
      <c r="K124" s="776"/>
      <c r="L124" s="776"/>
      <c r="M124" s="776"/>
      <c r="N124" s="776"/>
      <c r="O124" s="776"/>
      <c r="P124" s="776"/>
      <c r="Q124" s="776"/>
      <c r="R124" s="776"/>
      <c r="S124" s="776"/>
      <c r="T124" s="793">
        <v>1086</v>
      </c>
      <c r="U124" s="793">
        <v>0</v>
      </c>
      <c r="V124" s="793">
        <f t="shared" si="6"/>
        <v>1086</v>
      </c>
      <c r="W124" s="793"/>
      <c r="X124" s="776"/>
      <c r="Y124" s="776"/>
      <c r="Z124" s="776"/>
      <c r="AA124" s="776"/>
      <c r="AB124" s="776"/>
    </row>
    <row r="125" spans="1:28">
      <c r="A125" s="776" t="s">
        <v>531</v>
      </c>
      <c r="B125" s="776"/>
      <c r="C125" s="776"/>
      <c r="D125" s="776"/>
      <c r="E125" s="776"/>
      <c r="F125" s="776"/>
      <c r="G125" s="776"/>
      <c r="H125" s="776"/>
      <c r="I125" s="776"/>
      <c r="J125" s="776"/>
      <c r="K125" s="776"/>
      <c r="L125" s="776"/>
      <c r="M125" s="776"/>
      <c r="N125" s="776"/>
      <c r="O125" s="776"/>
      <c r="P125" s="776"/>
      <c r="Q125" s="776"/>
      <c r="R125" s="776"/>
      <c r="S125" s="776"/>
      <c r="T125" s="892">
        <v>-46</v>
      </c>
      <c r="U125" s="892">
        <v>0</v>
      </c>
      <c r="V125" s="892">
        <f t="shared" si="6"/>
        <v>-46</v>
      </c>
      <c r="W125" s="793"/>
      <c r="X125" s="776"/>
      <c r="Y125" s="776"/>
      <c r="Z125" s="776"/>
      <c r="AA125" s="776"/>
      <c r="AB125" s="776"/>
    </row>
    <row r="126" spans="1:28" s="776" customFormat="1">
      <c r="T126" s="793"/>
      <c r="U126" s="793"/>
      <c r="V126" s="793"/>
      <c r="W126" s="793"/>
    </row>
    <row r="127" spans="1:28">
      <c r="A127" s="1" t="s">
        <v>78</v>
      </c>
      <c r="B127" s="776"/>
      <c r="C127" s="776"/>
      <c r="D127" s="776"/>
      <c r="E127" s="776"/>
      <c r="F127" s="776"/>
      <c r="G127" s="776"/>
      <c r="H127" s="776"/>
      <c r="I127" s="776"/>
      <c r="J127" s="776"/>
      <c r="K127" s="776"/>
      <c r="L127" s="776"/>
      <c r="M127" s="776"/>
      <c r="N127" s="776"/>
      <c r="O127" s="776"/>
      <c r="P127" s="776"/>
      <c r="Q127" s="776"/>
      <c r="R127" s="776"/>
      <c r="S127" s="776"/>
      <c r="T127" s="793">
        <f>T120+T122+T123+T124+T125</f>
        <v>359933</v>
      </c>
      <c r="U127" s="793">
        <f t="shared" ref="U127:V127" si="7">U120+U122+U123+U124+U125</f>
        <v>823</v>
      </c>
      <c r="V127" s="793">
        <f t="shared" si="7"/>
        <v>360756</v>
      </c>
      <c r="W127" s="793"/>
      <c r="X127" s="776"/>
      <c r="Y127" s="776"/>
      <c r="Z127" s="776"/>
      <c r="AA127" s="776"/>
      <c r="AB127" s="776"/>
    </row>
    <row r="128" spans="1:28">
      <c r="A128" s="776"/>
      <c r="B128" s="776"/>
      <c r="C128" s="776"/>
      <c r="D128" s="776"/>
      <c r="E128" s="776"/>
      <c r="F128" s="776"/>
      <c r="G128" s="776"/>
      <c r="H128" s="776"/>
      <c r="I128" s="776"/>
      <c r="J128" s="776"/>
      <c r="K128" s="776"/>
      <c r="L128" s="776"/>
      <c r="M128" s="776"/>
      <c r="N128" s="776"/>
      <c r="O128" s="776"/>
      <c r="P128" s="776"/>
      <c r="Q128" s="776"/>
      <c r="R128" s="776"/>
      <c r="S128" s="776"/>
      <c r="T128" s="793"/>
      <c r="U128" s="793"/>
      <c r="V128" s="793"/>
      <c r="W128" s="793"/>
    </row>
    <row r="129" spans="1:23">
      <c r="A129" s="776" t="s">
        <v>532</v>
      </c>
      <c r="B129" s="776"/>
      <c r="C129" s="776"/>
      <c r="D129" s="776"/>
      <c r="E129" s="776"/>
      <c r="F129" s="776"/>
      <c r="G129" s="776"/>
      <c r="H129" s="776"/>
      <c r="I129" s="776"/>
      <c r="J129" s="776"/>
      <c r="K129" s="776"/>
      <c r="L129" s="776"/>
      <c r="M129" s="776"/>
      <c r="N129" s="776"/>
      <c r="O129" s="776"/>
      <c r="P129" s="776"/>
      <c r="Q129" s="776"/>
      <c r="R129" s="776"/>
      <c r="S129" s="776"/>
      <c r="T129" s="793"/>
      <c r="U129" s="793"/>
      <c r="V129" s="793"/>
      <c r="W129" s="793"/>
    </row>
    <row r="130" spans="1:23">
      <c r="A130" s="776" t="s">
        <v>130</v>
      </c>
      <c r="B130" s="776"/>
      <c r="C130" s="776"/>
      <c r="D130" s="776"/>
      <c r="E130" s="776"/>
      <c r="F130" s="776"/>
      <c r="G130" s="776"/>
      <c r="H130" s="776"/>
      <c r="I130" s="776"/>
      <c r="J130" s="776"/>
      <c r="K130" s="776"/>
      <c r="L130" s="776"/>
      <c r="M130" s="776"/>
      <c r="N130" s="776"/>
      <c r="O130" s="776"/>
      <c r="P130" s="776"/>
      <c r="Q130" s="776"/>
      <c r="R130" s="776"/>
      <c r="S130" s="776"/>
      <c r="T130" s="793">
        <v>-56323</v>
      </c>
      <c r="U130" s="793">
        <v>0</v>
      </c>
      <c r="V130" s="793">
        <f t="shared" ref="V130:V134" si="8">T130+U130</f>
        <v>-56323</v>
      </c>
      <c r="W130" s="793"/>
    </row>
    <row r="131" spans="1:23">
      <c r="A131" s="776" t="s">
        <v>80</v>
      </c>
      <c r="B131" s="776"/>
      <c r="C131" s="776"/>
      <c r="D131" s="776"/>
      <c r="E131" s="776"/>
      <c r="F131" s="776"/>
      <c r="G131" s="776"/>
      <c r="H131" s="776"/>
      <c r="I131" s="776"/>
      <c r="J131" s="776"/>
      <c r="K131" s="776"/>
      <c r="L131" s="776"/>
      <c r="M131" s="776"/>
      <c r="N131" s="776"/>
      <c r="O131" s="776"/>
      <c r="P131" s="776"/>
      <c r="Q131" s="776"/>
      <c r="R131" s="776"/>
      <c r="S131" s="776"/>
      <c r="T131" s="793">
        <v>0</v>
      </c>
      <c r="U131" s="793">
        <v>10364</v>
      </c>
      <c r="V131" s="793">
        <f t="shared" si="8"/>
        <v>10364</v>
      </c>
      <c r="W131" s="793"/>
    </row>
    <row r="132" spans="1:23">
      <c r="A132" s="776" t="s">
        <v>533</v>
      </c>
      <c r="B132" s="776"/>
      <c r="C132" s="776"/>
      <c r="D132" s="776"/>
      <c r="E132" s="776"/>
      <c r="F132" s="776"/>
      <c r="G132" s="776"/>
      <c r="H132" s="776"/>
      <c r="I132" s="776"/>
      <c r="J132" s="776"/>
      <c r="K132" s="776"/>
      <c r="L132" s="776"/>
      <c r="M132" s="776"/>
      <c r="N132" s="776"/>
      <c r="O132" s="776"/>
      <c r="P132" s="776"/>
      <c r="Q132" s="776"/>
      <c r="R132" s="776"/>
      <c r="S132" s="776"/>
      <c r="T132" s="793">
        <v>0</v>
      </c>
      <c r="U132" s="793">
        <v>23888</v>
      </c>
      <c r="V132" s="793">
        <f t="shared" si="8"/>
        <v>23888</v>
      </c>
      <c r="W132" s="793"/>
    </row>
    <row r="133" spans="1:23">
      <c r="A133" s="776"/>
      <c r="B133" s="776"/>
      <c r="C133" s="776"/>
      <c r="D133" s="776"/>
      <c r="E133" s="776"/>
      <c r="F133" s="776"/>
      <c r="G133" s="776"/>
      <c r="H133" s="776"/>
      <c r="I133" s="776"/>
      <c r="J133" s="776"/>
      <c r="K133" s="776"/>
      <c r="L133" s="776"/>
      <c r="M133" s="776"/>
      <c r="N133" s="776"/>
      <c r="O133" s="776"/>
      <c r="P133" s="776"/>
      <c r="Q133" s="776"/>
      <c r="R133" s="776"/>
      <c r="S133" s="776"/>
      <c r="T133" s="892"/>
      <c r="U133" s="892"/>
      <c r="V133" s="892">
        <f t="shared" si="8"/>
        <v>0</v>
      </c>
      <c r="W133" s="793"/>
    </row>
    <row r="134" spans="1:23">
      <c r="A134" s="1" t="s">
        <v>82</v>
      </c>
      <c r="B134" s="776"/>
      <c r="C134" s="776"/>
      <c r="D134" s="776"/>
      <c r="E134" s="776"/>
      <c r="F134" s="776"/>
      <c r="G134" s="776"/>
      <c r="H134" s="776"/>
      <c r="I134" s="776"/>
      <c r="J134" s="776"/>
      <c r="K134" s="776"/>
      <c r="L134" s="776"/>
      <c r="M134" s="776"/>
      <c r="N134" s="776"/>
      <c r="O134" s="776"/>
      <c r="P134" s="776"/>
      <c r="Q134" s="776"/>
      <c r="R134" s="776"/>
      <c r="S134" s="776"/>
      <c r="T134" s="793">
        <f>T127+T130+T131+T132</f>
        <v>303610</v>
      </c>
      <c r="U134" s="793">
        <f t="shared" ref="U134" si="9">U127+U130+U131+U132</f>
        <v>35075</v>
      </c>
      <c r="V134" s="793">
        <f t="shared" si="8"/>
        <v>338685</v>
      </c>
      <c r="W134" s="793"/>
    </row>
    <row r="135" spans="1:23">
      <c r="A135" s="776" t="s">
        <v>534</v>
      </c>
      <c r="B135" s="776"/>
      <c r="C135" s="776"/>
      <c r="D135" s="776"/>
      <c r="E135" s="776"/>
      <c r="F135" s="776"/>
      <c r="G135" s="776"/>
      <c r="H135" s="776"/>
      <c r="I135" s="776"/>
      <c r="J135" s="776"/>
      <c r="K135" s="776"/>
      <c r="L135" s="776"/>
      <c r="M135" s="776"/>
      <c r="N135" s="776"/>
      <c r="O135" s="776"/>
      <c r="P135" s="776"/>
      <c r="Q135" s="776"/>
      <c r="R135" s="776"/>
      <c r="S135" s="776"/>
      <c r="T135" s="793">
        <v>-103761</v>
      </c>
      <c r="U135" s="793">
        <v>6306</v>
      </c>
      <c r="V135" s="793">
        <f>T135+U135</f>
        <v>-97455</v>
      </c>
      <c r="W135" s="793"/>
    </row>
    <row r="136" spans="1:23" ht="13.5" thickBot="1">
      <c r="A136" s="1" t="s">
        <v>85</v>
      </c>
      <c r="B136" s="776"/>
      <c r="C136" s="776"/>
      <c r="D136" s="776"/>
      <c r="E136" s="776"/>
      <c r="F136" s="776"/>
      <c r="G136" s="776"/>
      <c r="H136" s="776"/>
      <c r="I136" s="776"/>
      <c r="J136" s="776"/>
      <c r="K136" s="776"/>
      <c r="L136" s="776"/>
      <c r="M136" s="776"/>
      <c r="N136" s="776"/>
      <c r="O136" s="776"/>
      <c r="P136" s="776"/>
      <c r="Q136" s="776"/>
      <c r="R136" s="776"/>
      <c r="S136" s="776"/>
      <c r="T136" s="925">
        <f>T134+T135</f>
        <v>199849</v>
      </c>
      <c r="U136" s="925">
        <f t="shared" ref="U136:V136" si="10">U134+U135</f>
        <v>41381</v>
      </c>
      <c r="V136" s="925">
        <f t="shared" si="10"/>
        <v>241230</v>
      </c>
      <c r="W136" s="793"/>
    </row>
    <row r="137" spans="1:23" ht="14.25" thickTop="1" thickBot="1">
      <c r="A137" s="1212"/>
      <c r="B137" s="1212"/>
      <c r="C137" s="1212"/>
      <c r="D137" s="1212"/>
      <c r="E137" s="1212"/>
      <c r="F137" s="1212"/>
      <c r="G137" s="1212"/>
      <c r="H137" s="1212"/>
      <c r="I137" s="1212"/>
      <c r="J137" s="1212"/>
      <c r="K137" s="1212"/>
      <c r="L137" s="1212"/>
      <c r="M137" s="1212"/>
      <c r="N137" s="1212"/>
      <c r="O137" s="1212"/>
      <c r="P137" s="1212"/>
      <c r="Q137" s="1212"/>
      <c r="R137" s="1212"/>
      <c r="S137" s="1212"/>
      <c r="T137" s="1257"/>
      <c r="U137" s="1257"/>
      <c r="V137" s="1257"/>
      <c r="W137" s="793"/>
    </row>
    <row r="138" spans="1:23" ht="15.75">
      <c r="A138" s="1272" t="s">
        <v>0</v>
      </c>
      <c r="B138" s="904"/>
      <c r="C138" s="904"/>
      <c r="D138" s="904"/>
      <c r="E138" s="952"/>
      <c r="F138" s="899"/>
      <c r="G138" s="899"/>
      <c r="H138" s="899"/>
      <c r="I138" s="899"/>
      <c r="J138" s="899"/>
      <c r="K138" s="57" t="s">
        <v>289</v>
      </c>
      <c r="L138" s="1282" t="s">
        <v>605</v>
      </c>
      <c r="M138" s="1283" t="s">
        <v>291</v>
      </c>
      <c r="N138" s="776"/>
      <c r="O138" s="776"/>
      <c r="P138" s="776"/>
    </row>
    <row r="139" spans="1:23">
      <c r="A139" s="680" t="s">
        <v>2</v>
      </c>
      <c r="B139" s="961"/>
      <c r="C139" s="962"/>
      <c r="D139" s="975"/>
      <c r="E139" s="952"/>
      <c r="F139" s="899"/>
      <c r="G139" s="899"/>
      <c r="H139" s="899"/>
      <c r="I139" s="899"/>
      <c r="J139" s="899"/>
      <c r="K139" s="1006">
        <v>2006</v>
      </c>
      <c r="L139" s="1006"/>
      <c r="M139" s="1006">
        <v>2006</v>
      </c>
      <c r="N139" s="776"/>
      <c r="O139" s="776"/>
      <c r="P139" s="776"/>
    </row>
    <row r="140" spans="1:23">
      <c r="A140" s="52" t="s">
        <v>31</v>
      </c>
      <c r="B140" s="776"/>
      <c r="C140" s="776"/>
      <c r="D140" s="1271" t="s">
        <v>32</v>
      </c>
      <c r="E140" s="952"/>
      <c r="F140" s="899"/>
      <c r="G140" s="899"/>
      <c r="H140" s="899"/>
      <c r="I140" s="899"/>
      <c r="J140" s="899"/>
      <c r="K140" s="791" t="s">
        <v>1282</v>
      </c>
      <c r="L140" s="37"/>
      <c r="M140" s="791" t="s">
        <v>1283</v>
      </c>
      <c r="N140" s="776"/>
      <c r="O140" s="776"/>
      <c r="P140" s="776"/>
    </row>
    <row r="141" spans="1:23">
      <c r="A141" s="1456" t="s">
        <v>142</v>
      </c>
      <c r="B141" s="1456"/>
      <c r="C141" s="1456"/>
      <c r="D141" s="1456"/>
      <c r="E141" s="952"/>
      <c r="F141" s="899"/>
      <c r="G141" s="899"/>
      <c r="H141" s="899"/>
      <c r="I141" s="899"/>
      <c r="J141" s="899"/>
      <c r="K141" s="953">
        <v>2006</v>
      </c>
      <c r="L141" s="909"/>
      <c r="M141" s="953">
        <v>2006</v>
      </c>
      <c r="N141" s="776"/>
      <c r="O141" s="776"/>
      <c r="P141" s="776"/>
    </row>
    <row r="142" spans="1:23">
      <c r="A142" s="52"/>
      <c r="B142" s="52" t="s">
        <v>292</v>
      </c>
      <c r="C142" s="52"/>
      <c r="D142" s="52"/>
      <c r="E142" s="952"/>
      <c r="F142" s="899"/>
      <c r="G142" s="899"/>
      <c r="H142" s="899"/>
      <c r="I142" s="899"/>
      <c r="J142" s="899"/>
      <c r="K142" s="793">
        <v>251824</v>
      </c>
      <c r="L142" s="793"/>
      <c r="M142" s="793">
        <f>K142+L142</f>
        <v>251824</v>
      </c>
      <c r="N142" s="776"/>
      <c r="O142" s="776"/>
      <c r="P142" s="776"/>
    </row>
    <row r="143" spans="1:23">
      <c r="A143" s="52"/>
      <c r="B143" s="52" t="s">
        <v>293</v>
      </c>
      <c r="C143" s="52"/>
      <c r="D143" s="52"/>
      <c r="E143" s="952"/>
      <c r="F143" s="899"/>
      <c r="G143" s="899"/>
      <c r="H143" s="899"/>
      <c r="I143" s="10"/>
      <c r="J143" s="899"/>
      <c r="K143" s="793"/>
      <c r="L143" s="793"/>
      <c r="M143" s="793">
        <f>K143+L143</f>
        <v>0</v>
      </c>
      <c r="N143" s="776"/>
      <c r="O143" s="776"/>
      <c r="P143" s="776"/>
    </row>
    <row r="144" spans="1:23" ht="13.5">
      <c r="A144" s="52"/>
      <c r="B144" s="52" t="s">
        <v>294</v>
      </c>
      <c r="C144" s="1273"/>
      <c r="D144" s="1273"/>
      <c r="E144" s="952"/>
      <c r="F144" s="899"/>
      <c r="G144" s="899"/>
      <c r="H144" s="899"/>
      <c r="I144" s="899"/>
      <c r="J144" s="899"/>
      <c r="K144" s="793">
        <v>230433</v>
      </c>
      <c r="L144" s="793">
        <v>-7994</v>
      </c>
      <c r="M144" s="793">
        <f>K144+L144</f>
        <v>222439</v>
      </c>
      <c r="N144" s="776"/>
      <c r="O144" s="776"/>
      <c r="P144" s="776"/>
    </row>
    <row r="145" spans="1:16" ht="13.5">
      <c r="A145" s="52"/>
      <c r="B145" s="52" t="s">
        <v>295</v>
      </c>
      <c r="C145" s="1273"/>
      <c r="D145" s="1273"/>
      <c r="E145" s="952"/>
      <c r="F145" s="899"/>
      <c r="G145" s="899"/>
      <c r="H145" s="899"/>
      <c r="I145" s="899"/>
      <c r="J145" s="899"/>
      <c r="K145" s="892">
        <v>-3730</v>
      </c>
      <c r="L145" s="793"/>
      <c r="M145" s="892">
        <f>K145+L145</f>
        <v>-3730</v>
      </c>
      <c r="N145" s="776"/>
      <c r="O145" s="776"/>
      <c r="P145" s="776"/>
    </row>
    <row r="146" spans="1:16" ht="13.5">
      <c r="A146" s="52"/>
      <c r="B146" s="52" t="s">
        <v>296</v>
      </c>
      <c r="C146" s="1273"/>
      <c r="D146" s="1273"/>
      <c r="E146" s="952"/>
      <c r="F146" s="899"/>
      <c r="G146" s="899"/>
      <c r="H146" s="899"/>
      <c r="I146" s="899"/>
      <c r="J146" s="899"/>
      <c r="K146" s="793">
        <f>SUM(K144:K145)</f>
        <v>226703</v>
      </c>
      <c r="L146" s="793"/>
      <c r="M146" s="793">
        <f>SUM(M144:M145)</f>
        <v>218709</v>
      </c>
      <c r="N146" s="776"/>
      <c r="O146" s="776"/>
      <c r="P146" s="776"/>
    </row>
    <row r="147" spans="1:16" ht="13.5">
      <c r="A147" s="52"/>
      <c r="B147" s="52" t="s">
        <v>297</v>
      </c>
      <c r="C147" s="1273"/>
      <c r="D147" s="1273"/>
      <c r="E147" s="952"/>
      <c r="F147" s="899"/>
      <c r="G147" s="899"/>
      <c r="H147" s="899"/>
      <c r="I147" s="899"/>
      <c r="J147" s="899"/>
      <c r="K147" s="793">
        <v>7425</v>
      </c>
      <c r="L147" s="793"/>
      <c r="M147" s="793">
        <f>K147+L147</f>
        <v>7425</v>
      </c>
      <c r="N147" s="776"/>
      <c r="O147" s="776"/>
      <c r="P147" s="776"/>
    </row>
    <row r="148" spans="1:16" ht="13.5">
      <c r="A148" s="52"/>
      <c r="B148" s="52" t="s">
        <v>298</v>
      </c>
      <c r="C148" s="1273"/>
      <c r="D148" s="1273"/>
      <c r="E148" s="952"/>
      <c r="F148" s="899"/>
      <c r="G148" s="899"/>
      <c r="H148" s="899"/>
      <c r="I148" s="899"/>
      <c r="J148" s="899"/>
      <c r="K148" s="793">
        <v>0</v>
      </c>
      <c r="L148" s="793"/>
      <c r="M148" s="793">
        <f>K148+L148</f>
        <v>0</v>
      </c>
      <c r="N148" s="776"/>
      <c r="O148" s="776"/>
      <c r="P148" s="776"/>
    </row>
    <row r="149" spans="1:16">
      <c r="A149" s="52"/>
      <c r="B149" s="52" t="s">
        <v>299</v>
      </c>
      <c r="C149" s="52"/>
      <c r="D149" s="52"/>
      <c r="E149" s="952"/>
      <c r="F149" s="899"/>
      <c r="G149" s="899"/>
      <c r="H149" s="899"/>
      <c r="I149" s="899"/>
      <c r="J149" s="899"/>
      <c r="K149" s="793">
        <v>3106</v>
      </c>
      <c r="L149" s="793"/>
      <c r="M149" s="793">
        <f>K149+L149</f>
        <v>3106</v>
      </c>
      <c r="N149" s="776"/>
      <c r="O149" s="776"/>
      <c r="P149" s="776"/>
    </row>
    <row r="150" spans="1:16">
      <c r="A150" s="52"/>
      <c r="B150" s="52" t="s">
        <v>300</v>
      </c>
      <c r="C150" s="52"/>
      <c r="D150" s="52"/>
      <c r="E150" s="952"/>
      <c r="F150" s="899"/>
      <c r="G150" s="899"/>
      <c r="H150" s="899"/>
      <c r="I150" s="899"/>
      <c r="J150" s="899"/>
      <c r="K150" s="892">
        <v>0</v>
      </c>
      <c r="L150" s="793"/>
      <c r="M150" s="892">
        <f>K150+L150</f>
        <v>0</v>
      </c>
      <c r="N150" s="776"/>
      <c r="O150" s="776"/>
      <c r="P150" s="776"/>
    </row>
    <row r="151" spans="1:16">
      <c r="A151" s="52"/>
      <c r="B151" s="52"/>
      <c r="C151" s="52"/>
      <c r="D151" s="52"/>
      <c r="E151" s="952"/>
      <c r="F151" s="899"/>
      <c r="G151" s="899"/>
      <c r="H151" s="899"/>
      <c r="I151" s="899"/>
      <c r="J151" s="899"/>
      <c r="K151" s="793">
        <f>SUM(K147:K150)</f>
        <v>10531</v>
      </c>
      <c r="L151" s="793"/>
      <c r="M151" s="793">
        <f>SUM(M147:M150)</f>
        <v>10531</v>
      </c>
      <c r="N151" s="776"/>
      <c r="O151" s="776"/>
      <c r="P151" s="776"/>
    </row>
    <row r="152" spans="1:16">
      <c r="A152" s="52"/>
      <c r="B152" s="52" t="s">
        <v>301</v>
      </c>
      <c r="C152" s="52"/>
      <c r="D152" s="52"/>
      <c r="E152" s="952"/>
      <c r="F152" s="899"/>
      <c r="G152" s="899"/>
      <c r="H152" s="899"/>
      <c r="I152" s="899"/>
      <c r="J152" s="899"/>
      <c r="K152" s="793">
        <v>0</v>
      </c>
      <c r="L152" s="793"/>
      <c r="M152" s="793">
        <f t="shared" ref="M152:M161" si="11">K152+L152</f>
        <v>0</v>
      </c>
      <c r="N152" s="776"/>
      <c r="O152" s="776"/>
      <c r="P152" s="776"/>
    </row>
    <row r="153" spans="1:16">
      <c r="A153" s="52"/>
      <c r="B153" s="52" t="s">
        <v>302</v>
      </c>
      <c r="C153" s="52"/>
      <c r="D153" s="52"/>
      <c r="E153" s="952"/>
      <c r="F153" s="899"/>
      <c r="G153" s="899"/>
      <c r="H153" s="899"/>
      <c r="I153" s="899"/>
      <c r="J153" s="899"/>
      <c r="K153" s="793">
        <v>0</v>
      </c>
      <c r="L153" s="793"/>
      <c r="M153" s="793">
        <f t="shared" si="11"/>
        <v>0</v>
      </c>
      <c r="N153" s="776"/>
      <c r="O153" s="776"/>
      <c r="P153" s="776"/>
    </row>
    <row r="154" spans="1:16">
      <c r="A154" s="52"/>
      <c r="B154" s="52" t="s">
        <v>303</v>
      </c>
      <c r="C154" s="52"/>
      <c r="D154" s="52"/>
      <c r="E154" s="952"/>
      <c r="F154" s="899"/>
      <c r="G154" s="899"/>
      <c r="H154" s="899"/>
      <c r="I154" s="899"/>
      <c r="J154" s="899"/>
      <c r="K154" s="793">
        <v>0</v>
      </c>
      <c r="L154" s="793"/>
      <c r="M154" s="793">
        <f t="shared" si="11"/>
        <v>0</v>
      </c>
      <c r="N154" s="776"/>
      <c r="O154" s="776"/>
      <c r="P154" s="776"/>
    </row>
    <row r="155" spans="1:16">
      <c r="A155" s="52"/>
      <c r="B155" s="52" t="s">
        <v>304</v>
      </c>
      <c r="C155" s="52"/>
      <c r="D155" s="52"/>
      <c r="E155" s="952"/>
      <c r="F155" s="899"/>
      <c r="G155" s="899"/>
      <c r="H155" s="899"/>
      <c r="I155" s="899"/>
      <c r="J155" s="899"/>
      <c r="K155" s="793">
        <v>0</v>
      </c>
      <c r="L155" s="793"/>
      <c r="M155" s="793">
        <f t="shared" si="11"/>
        <v>0</v>
      </c>
      <c r="N155" s="776"/>
      <c r="O155" s="776"/>
      <c r="P155" s="776"/>
    </row>
    <row r="156" spans="1:16">
      <c r="A156" s="52"/>
      <c r="B156" s="52" t="s">
        <v>305</v>
      </c>
      <c r="C156" s="52"/>
      <c r="D156" s="52"/>
      <c r="E156" s="952"/>
      <c r="F156" s="899"/>
      <c r="G156" s="899"/>
      <c r="H156" s="899"/>
      <c r="I156" s="899"/>
      <c r="J156" s="899"/>
      <c r="K156" s="793">
        <v>0</v>
      </c>
      <c r="L156" s="793"/>
      <c r="M156" s="793">
        <f t="shared" si="11"/>
        <v>0</v>
      </c>
      <c r="N156" s="776"/>
      <c r="O156" s="776"/>
      <c r="P156" s="776"/>
    </row>
    <row r="157" spans="1:16">
      <c r="A157" s="52"/>
      <c r="B157" s="52" t="s">
        <v>306</v>
      </c>
      <c r="C157" s="52"/>
      <c r="D157" s="52"/>
      <c r="E157" s="952"/>
      <c r="F157" s="899"/>
      <c r="G157" s="899"/>
      <c r="H157" s="899"/>
      <c r="I157" s="899"/>
      <c r="J157" s="899"/>
      <c r="K157" s="793">
        <v>23395</v>
      </c>
      <c r="L157" s="793">
        <v>-6560</v>
      </c>
      <c r="M157" s="793">
        <f t="shared" si="11"/>
        <v>16835</v>
      </c>
      <c r="N157" s="776"/>
      <c r="O157" s="776"/>
      <c r="P157" s="776"/>
    </row>
    <row r="158" spans="1:16">
      <c r="A158" s="52"/>
      <c r="B158" s="52" t="s">
        <v>307</v>
      </c>
      <c r="C158" s="52"/>
      <c r="D158" s="52"/>
      <c r="E158" s="952"/>
      <c r="F158" s="899"/>
      <c r="G158" s="899"/>
      <c r="H158" s="899"/>
      <c r="I158" s="899"/>
      <c r="J158" s="899"/>
      <c r="K158" s="793">
        <v>0</v>
      </c>
      <c r="L158" s="793"/>
      <c r="M158" s="793">
        <f t="shared" si="11"/>
        <v>0</v>
      </c>
      <c r="N158" s="776"/>
      <c r="O158" s="776"/>
      <c r="P158" s="776"/>
    </row>
    <row r="159" spans="1:16">
      <c r="A159" s="52"/>
      <c r="B159" s="52" t="s">
        <v>308</v>
      </c>
      <c r="C159" s="52"/>
      <c r="D159" s="52"/>
      <c r="E159" s="952"/>
      <c r="F159" s="899"/>
      <c r="G159" s="899"/>
      <c r="H159" s="899"/>
      <c r="I159" s="899"/>
      <c r="J159" s="899"/>
      <c r="K159" s="793">
        <v>8288</v>
      </c>
      <c r="L159" s="793"/>
      <c r="M159" s="793">
        <f t="shared" si="11"/>
        <v>8288</v>
      </c>
      <c r="N159" s="776"/>
      <c r="O159" s="776"/>
      <c r="P159" s="776"/>
    </row>
    <row r="160" spans="1:16">
      <c r="A160" s="52"/>
      <c r="B160" s="52" t="s">
        <v>309</v>
      </c>
      <c r="C160" s="52"/>
      <c r="D160" s="52"/>
      <c r="E160" s="952"/>
      <c r="F160" s="899"/>
      <c r="G160" s="899"/>
      <c r="H160" s="899"/>
      <c r="I160" s="899"/>
      <c r="J160" s="899"/>
      <c r="K160" s="793" t="e">
        <f>'3_Fin-Stat'!#REF!</f>
        <v>#REF!</v>
      </c>
      <c r="L160" s="793">
        <v>60553</v>
      </c>
      <c r="M160" s="793" t="e">
        <f t="shared" si="11"/>
        <v>#REF!</v>
      </c>
      <c r="N160" s="776"/>
      <c r="O160" s="776"/>
      <c r="P160" s="776"/>
    </row>
    <row r="161" spans="1:16">
      <c r="A161" s="52"/>
      <c r="B161" s="52" t="s">
        <v>310</v>
      </c>
      <c r="C161" s="52"/>
      <c r="D161" s="52"/>
      <c r="E161" s="952"/>
      <c r="F161" s="899"/>
      <c r="G161" s="899"/>
      <c r="H161" s="899"/>
      <c r="I161" s="899"/>
      <c r="J161" s="899"/>
      <c r="K161" s="892">
        <v>22808</v>
      </c>
      <c r="L161" s="793"/>
      <c r="M161" s="892">
        <f t="shared" si="11"/>
        <v>22808</v>
      </c>
      <c r="N161" s="776"/>
      <c r="O161" s="776"/>
      <c r="P161" s="776"/>
    </row>
    <row r="162" spans="1:16">
      <c r="A162" s="52"/>
      <c r="B162" s="52"/>
      <c r="C162" s="52"/>
      <c r="D162" s="52"/>
      <c r="E162" s="952"/>
      <c r="F162" s="899"/>
      <c r="G162" s="899"/>
      <c r="H162" s="899"/>
      <c r="I162" s="899"/>
      <c r="J162" s="899"/>
      <c r="K162" s="793" t="e">
        <f>SUM(K152:K161)</f>
        <v>#REF!</v>
      </c>
      <c r="L162" s="793"/>
      <c r="M162" s="793" t="e">
        <f>SUM(M152:M161)</f>
        <v>#REF!</v>
      </c>
      <c r="N162" s="776"/>
      <c r="O162" s="776"/>
      <c r="P162" s="776"/>
    </row>
    <row r="163" spans="1:16">
      <c r="A163" s="52"/>
      <c r="B163" s="52" t="s">
        <v>301</v>
      </c>
      <c r="C163" s="52"/>
      <c r="D163" s="52"/>
      <c r="E163" s="952"/>
      <c r="F163" s="899"/>
      <c r="G163" s="899"/>
      <c r="H163" s="899"/>
      <c r="I163" s="899"/>
      <c r="J163" s="899"/>
      <c r="K163" s="793">
        <v>0</v>
      </c>
      <c r="L163" s="793"/>
      <c r="M163" s="793">
        <f t="shared" ref="M163:M168" si="12">K163+L163</f>
        <v>0</v>
      </c>
      <c r="N163" s="776"/>
      <c r="O163" s="776"/>
      <c r="P163" s="776"/>
    </row>
    <row r="164" spans="1:16">
      <c r="A164" s="52"/>
      <c r="B164" s="52" t="s">
        <v>311</v>
      </c>
      <c r="C164" s="52"/>
      <c r="D164" s="52"/>
      <c r="E164" s="952"/>
      <c r="F164" s="899"/>
      <c r="G164" s="899"/>
      <c r="H164" s="899"/>
      <c r="I164" s="899"/>
      <c r="J164" s="899"/>
      <c r="K164" s="793">
        <v>0</v>
      </c>
      <c r="L164" s="793"/>
      <c r="M164" s="793">
        <f t="shared" si="12"/>
        <v>0</v>
      </c>
      <c r="N164" s="776"/>
      <c r="O164" s="776"/>
      <c r="P164" s="776"/>
    </row>
    <row r="165" spans="1:16">
      <c r="A165" s="52"/>
      <c r="B165" s="52" t="s">
        <v>312</v>
      </c>
      <c r="C165" s="52"/>
      <c r="D165" s="52"/>
      <c r="E165" s="952"/>
      <c r="F165" s="899"/>
      <c r="G165" s="899"/>
      <c r="H165" s="899"/>
      <c r="I165" s="899"/>
      <c r="J165" s="899"/>
      <c r="K165" s="793">
        <v>0</v>
      </c>
      <c r="L165" s="793"/>
      <c r="M165" s="793">
        <f t="shared" si="12"/>
        <v>0</v>
      </c>
      <c r="N165" s="776"/>
      <c r="O165" s="776"/>
      <c r="P165" s="776"/>
    </row>
    <row r="166" spans="1:16">
      <c r="A166" s="52"/>
      <c r="B166" s="52" t="s">
        <v>313</v>
      </c>
      <c r="C166" s="52"/>
      <c r="D166" s="52"/>
      <c r="E166" s="952"/>
      <c r="F166" s="899"/>
      <c r="G166" s="899"/>
      <c r="H166" s="899"/>
      <c r="I166" s="899"/>
      <c r="J166" s="899"/>
      <c r="K166" s="793">
        <v>0</v>
      </c>
      <c r="L166" s="793"/>
      <c r="M166" s="793">
        <f t="shared" si="12"/>
        <v>0</v>
      </c>
      <c r="N166" s="776"/>
      <c r="O166" s="776"/>
      <c r="P166" s="776"/>
    </row>
    <row r="167" spans="1:16">
      <c r="A167" s="52"/>
      <c r="B167" s="52" t="s">
        <v>314</v>
      </c>
      <c r="C167" s="52"/>
      <c r="D167" s="52"/>
      <c r="E167" s="952"/>
      <c r="F167" s="899"/>
      <c r="G167" s="899"/>
      <c r="H167" s="899"/>
      <c r="I167" s="899"/>
      <c r="J167" s="899"/>
      <c r="K167" s="793">
        <v>172</v>
      </c>
      <c r="L167" s="793">
        <v>3614</v>
      </c>
      <c r="M167" s="793">
        <f t="shared" si="12"/>
        <v>3786</v>
      </c>
      <c r="N167" s="776"/>
      <c r="O167" s="776"/>
      <c r="P167" s="776"/>
    </row>
    <row r="168" spans="1:16">
      <c r="A168" s="52"/>
      <c r="B168" s="52" t="s">
        <v>315</v>
      </c>
      <c r="C168" s="52"/>
      <c r="D168" s="52"/>
      <c r="E168" s="952"/>
      <c r="F168" s="899"/>
      <c r="G168" s="899"/>
      <c r="H168" s="899"/>
      <c r="I168" s="899"/>
      <c r="J168" s="899"/>
      <c r="K168" s="892"/>
      <c r="L168" s="793">
        <v>132</v>
      </c>
      <c r="M168" s="892">
        <f t="shared" si="12"/>
        <v>132</v>
      </c>
      <c r="N168" s="776"/>
      <c r="O168" s="776"/>
      <c r="P168" s="776"/>
    </row>
    <row r="169" spans="1:16">
      <c r="A169" s="52"/>
      <c r="B169" s="52"/>
      <c r="C169" s="52"/>
      <c r="D169" s="52"/>
      <c r="E169" s="952"/>
      <c r="F169" s="899"/>
      <c r="G169" s="899"/>
      <c r="H169" s="899"/>
      <c r="I169" s="899"/>
      <c r="J169" s="899"/>
      <c r="K169" s="793">
        <f>SUM(K163:K168)</f>
        <v>172</v>
      </c>
      <c r="L169" s="793"/>
      <c r="M169" s="793">
        <f>SUM(M163:M168)</f>
        <v>3918</v>
      </c>
      <c r="N169" s="776"/>
      <c r="O169" s="776"/>
      <c r="P169" s="776"/>
    </row>
    <row r="170" spans="1:16">
      <c r="A170" s="52"/>
      <c r="B170" s="52" t="s">
        <v>169</v>
      </c>
      <c r="C170" s="52"/>
      <c r="D170" s="52"/>
      <c r="E170" s="952"/>
      <c r="F170" s="899"/>
      <c r="G170" s="899"/>
      <c r="H170" s="899"/>
      <c r="I170" s="899"/>
      <c r="J170" s="899"/>
      <c r="K170" s="793"/>
      <c r="L170" s="793"/>
      <c r="M170" s="793"/>
      <c r="N170" s="776"/>
      <c r="O170" s="776"/>
      <c r="P170" s="776"/>
    </row>
    <row r="171" spans="1:16">
      <c r="A171" s="52"/>
      <c r="B171" s="52" t="s">
        <v>316</v>
      </c>
      <c r="C171" s="52"/>
      <c r="D171" s="52"/>
      <c r="E171" s="952"/>
      <c r="F171" s="899"/>
      <c r="G171" s="899"/>
      <c r="H171" s="899"/>
      <c r="I171" s="899"/>
      <c r="J171" s="899"/>
      <c r="K171" s="793"/>
      <c r="L171" s="793"/>
      <c r="M171" s="793"/>
      <c r="N171" s="776"/>
      <c r="O171" s="776"/>
      <c r="P171" s="776"/>
    </row>
    <row r="172" spans="1:16">
      <c r="A172" s="52"/>
      <c r="B172" s="52" t="s">
        <v>317</v>
      </c>
      <c r="C172" s="52"/>
      <c r="D172" s="52"/>
      <c r="E172" s="952"/>
      <c r="F172" s="899"/>
      <c r="G172" s="899"/>
      <c r="H172" s="899"/>
      <c r="I172" s="899"/>
      <c r="J172" s="899"/>
      <c r="K172" s="793"/>
      <c r="L172" s="793"/>
      <c r="M172" s="793"/>
      <c r="N172" s="776"/>
      <c r="O172" s="776"/>
      <c r="P172" s="776"/>
    </row>
    <row r="173" spans="1:16">
      <c r="A173" s="52"/>
      <c r="B173" s="52" t="s">
        <v>318</v>
      </c>
      <c r="C173" s="52"/>
      <c r="D173" s="52"/>
      <c r="E173" s="952"/>
      <c r="F173" s="899"/>
      <c r="G173" s="899"/>
      <c r="H173" s="899"/>
      <c r="I173" s="899"/>
      <c r="J173" s="899"/>
      <c r="K173" s="793"/>
      <c r="L173" s="793"/>
      <c r="M173" s="793"/>
      <c r="N173" s="776"/>
      <c r="O173" s="776"/>
      <c r="P173" s="776"/>
    </row>
    <row r="174" spans="1:16">
      <c r="A174" s="52"/>
      <c r="B174" s="52" t="s">
        <v>319</v>
      </c>
      <c r="C174" s="52"/>
      <c r="D174" s="52"/>
      <c r="E174" s="952"/>
      <c r="F174" s="899"/>
      <c r="G174" s="899"/>
      <c r="H174" s="899"/>
      <c r="I174" s="899"/>
      <c r="J174" s="899"/>
      <c r="K174" s="793"/>
      <c r="L174" s="793"/>
      <c r="M174" s="793"/>
      <c r="N174" s="776"/>
      <c r="O174" s="776"/>
      <c r="P174" s="776"/>
    </row>
    <row r="175" spans="1:16">
      <c r="A175" s="52"/>
      <c r="B175" s="52"/>
      <c r="C175" s="52"/>
      <c r="D175" s="52"/>
      <c r="E175" s="952"/>
      <c r="F175" s="899"/>
      <c r="G175" s="899"/>
      <c r="H175" s="899"/>
      <c r="I175" s="899"/>
      <c r="J175" s="899"/>
      <c r="K175" s="793"/>
      <c r="L175" s="793"/>
      <c r="M175" s="793"/>
      <c r="N175" s="776"/>
      <c r="O175" s="776"/>
      <c r="P175" s="776"/>
    </row>
    <row r="176" spans="1:16">
      <c r="A176" s="52"/>
      <c r="B176" s="52" t="s">
        <v>320</v>
      </c>
      <c r="C176" s="52"/>
      <c r="D176" s="52"/>
      <c r="E176" s="952"/>
      <c r="F176" s="899"/>
      <c r="G176" s="899"/>
      <c r="H176" s="899"/>
      <c r="I176" s="899"/>
      <c r="J176" s="899"/>
      <c r="K176" s="793"/>
      <c r="L176" s="793"/>
      <c r="M176" s="793"/>
      <c r="N176" s="776"/>
      <c r="O176" s="776"/>
      <c r="P176" s="776"/>
    </row>
    <row r="177" spans="1:16">
      <c r="A177" s="52"/>
      <c r="B177" s="52" t="s">
        <v>321</v>
      </c>
      <c r="C177" s="52"/>
      <c r="D177" s="52"/>
      <c r="E177" s="952"/>
      <c r="F177" s="899"/>
      <c r="G177" s="899"/>
      <c r="H177" s="899"/>
      <c r="I177" s="899"/>
      <c r="J177" s="899"/>
      <c r="K177" s="793"/>
      <c r="L177" s="793"/>
      <c r="M177" s="793"/>
      <c r="N177" s="776"/>
      <c r="O177" s="776"/>
      <c r="P177" s="776"/>
    </row>
    <row r="178" spans="1:16">
      <c r="A178" s="52"/>
      <c r="B178" s="52" t="s">
        <v>322</v>
      </c>
      <c r="C178" s="52"/>
      <c r="D178" s="52"/>
      <c r="E178" s="952"/>
      <c r="F178" s="899"/>
      <c r="G178" s="899"/>
      <c r="H178" s="899"/>
      <c r="I178" s="899"/>
      <c r="J178" s="899"/>
      <c r="K178" s="793"/>
      <c r="L178" s="793"/>
      <c r="M178" s="793"/>
      <c r="N178" s="776"/>
      <c r="O178" s="776"/>
      <c r="P178" s="776"/>
    </row>
    <row r="179" spans="1:16">
      <c r="A179" s="52"/>
      <c r="B179" s="52"/>
      <c r="C179" s="52"/>
      <c r="D179" s="52"/>
      <c r="E179" s="952"/>
      <c r="F179" s="899"/>
      <c r="G179" s="899"/>
      <c r="H179" s="899"/>
      <c r="I179" s="899"/>
      <c r="J179" s="899"/>
      <c r="K179" s="793"/>
      <c r="L179" s="793"/>
      <c r="M179" s="793"/>
      <c r="N179" s="776"/>
      <c r="O179" s="776"/>
      <c r="P179" s="776"/>
    </row>
    <row r="180" spans="1:16">
      <c r="A180" s="52"/>
      <c r="B180" s="52" t="s">
        <v>8</v>
      </c>
      <c r="C180" s="52"/>
      <c r="D180" s="52"/>
      <c r="E180" s="952"/>
      <c r="F180" s="899"/>
      <c r="G180" s="899"/>
      <c r="H180" s="899"/>
      <c r="I180" s="899"/>
      <c r="J180" s="899"/>
      <c r="K180" s="793">
        <v>4795590</v>
      </c>
      <c r="L180" s="793">
        <v>-3614</v>
      </c>
      <c r="M180" s="793">
        <f>K180+L180</f>
        <v>4791976</v>
      </c>
      <c r="N180" s="776"/>
      <c r="O180" s="776"/>
      <c r="P180" s="776"/>
    </row>
    <row r="181" spans="1:16">
      <c r="A181" s="52"/>
      <c r="B181" s="52"/>
      <c r="C181" s="52"/>
      <c r="D181" s="52"/>
      <c r="E181" s="952"/>
      <c r="F181" s="899"/>
      <c r="G181" s="899"/>
      <c r="H181" s="899"/>
      <c r="I181" s="899"/>
      <c r="J181" s="899"/>
      <c r="K181" s="793"/>
      <c r="L181" s="793"/>
      <c r="M181" s="793"/>
      <c r="N181" s="776"/>
      <c r="O181" s="776"/>
      <c r="P181" s="776"/>
    </row>
    <row r="182" spans="1:16" ht="13.5" thickBot="1">
      <c r="A182" s="52"/>
      <c r="B182" s="929" t="s">
        <v>323</v>
      </c>
      <c r="C182" s="52"/>
      <c r="D182" s="52"/>
      <c r="E182" s="952"/>
      <c r="F182" s="899"/>
      <c r="G182" s="899"/>
      <c r="H182" s="899"/>
      <c r="I182" s="899"/>
      <c r="J182" s="899"/>
      <c r="K182" s="925" t="e">
        <f>K142+K146+K151+K162+K169+K180</f>
        <v>#REF!</v>
      </c>
      <c r="L182" s="925">
        <f>SUM(L142:L181)</f>
        <v>46131</v>
      </c>
      <c r="M182" s="925" t="e">
        <f>M142+M146+M151+M162+M169+M180</f>
        <v>#REF!</v>
      </c>
      <c r="N182" s="776"/>
      <c r="O182" s="776"/>
      <c r="P182" s="776"/>
    </row>
    <row r="183" spans="1:16" ht="16.5" thickTop="1">
      <c r="A183" s="904" t="str">
        <f>A138</f>
        <v>Meridian Energy</v>
      </c>
      <c r="B183" s="904"/>
      <c r="C183" s="904"/>
      <c r="D183" s="1274"/>
      <c r="E183" s="952"/>
      <c r="F183" s="899"/>
      <c r="G183" s="899"/>
      <c r="H183" s="899"/>
      <c r="I183" s="899"/>
      <c r="J183" s="899"/>
      <c r="K183" s="57" t="s">
        <v>289</v>
      </c>
      <c r="L183" s="1282" t="s">
        <v>605</v>
      </c>
      <c r="M183" s="1283" t="s">
        <v>291</v>
      </c>
      <c r="N183" s="776"/>
      <c r="O183" s="776"/>
      <c r="P183" s="776"/>
    </row>
    <row r="184" spans="1:16" ht="15.75">
      <c r="A184" s="1275"/>
      <c r="B184" s="1275"/>
      <c r="C184" s="1275"/>
      <c r="D184" s="1276"/>
      <c r="E184" s="952"/>
      <c r="F184" s="899"/>
      <c r="G184" s="899"/>
      <c r="H184" s="899"/>
      <c r="I184" s="899"/>
      <c r="J184" s="899"/>
      <c r="K184" s="1006">
        <v>2006</v>
      </c>
      <c r="L184" s="1006"/>
      <c r="M184" s="1006">
        <v>2006</v>
      </c>
      <c r="N184" s="776"/>
      <c r="O184" s="776"/>
      <c r="P184" s="776"/>
    </row>
    <row r="185" spans="1:16">
      <c r="A185" s="776"/>
      <c r="B185" s="776"/>
      <c r="C185" s="776"/>
      <c r="D185" s="776"/>
      <c r="E185" s="952"/>
      <c r="F185" s="899"/>
      <c r="G185" s="899"/>
      <c r="H185" s="899"/>
      <c r="I185" s="899"/>
      <c r="J185" s="899"/>
      <c r="K185" s="791" t="s">
        <v>1282</v>
      </c>
      <c r="L185" s="37"/>
      <c r="M185" s="791" t="s">
        <v>1283</v>
      </c>
      <c r="N185" s="776"/>
      <c r="O185" s="776"/>
      <c r="P185" s="776"/>
    </row>
    <row r="186" spans="1:16">
      <c r="A186" s="973" t="s">
        <v>325</v>
      </c>
      <c r="B186" s="974"/>
      <c r="C186" s="975"/>
      <c r="D186" s="975"/>
      <c r="E186" s="952"/>
      <c r="F186" s="899"/>
      <c r="G186" s="899"/>
      <c r="H186" s="899"/>
      <c r="I186" s="899"/>
      <c r="J186" s="899"/>
      <c r="K186" s="953">
        <v>2006</v>
      </c>
      <c r="L186" s="909"/>
      <c r="M186" s="953">
        <v>2006</v>
      </c>
      <c r="N186" s="776"/>
      <c r="O186" s="776"/>
      <c r="P186" s="776"/>
    </row>
    <row r="187" spans="1:16">
      <c r="A187" s="52"/>
      <c r="B187" s="52" t="s">
        <v>326</v>
      </c>
      <c r="C187" s="52"/>
      <c r="D187" s="52"/>
      <c r="E187" s="952"/>
      <c r="F187" s="899"/>
      <c r="G187" s="899"/>
      <c r="H187" s="899"/>
      <c r="I187" s="899"/>
      <c r="J187" s="899"/>
      <c r="K187" s="793">
        <v>9347</v>
      </c>
      <c r="L187" s="793"/>
      <c r="M187" s="793">
        <f t="shared" ref="M187:M200" si="13">K187+L187</f>
        <v>9347</v>
      </c>
      <c r="N187" s="776"/>
      <c r="O187" s="776"/>
      <c r="P187" s="776"/>
    </row>
    <row r="188" spans="1:16">
      <c r="A188" s="52"/>
      <c r="B188" s="52" t="s">
        <v>327</v>
      </c>
      <c r="C188" s="52"/>
      <c r="D188" s="52"/>
      <c r="E188" s="952"/>
      <c r="F188" s="899"/>
      <c r="G188" s="899"/>
      <c r="H188" s="899"/>
      <c r="I188" s="899"/>
      <c r="J188" s="899"/>
      <c r="K188" s="793">
        <v>6510</v>
      </c>
      <c r="L188" s="793"/>
      <c r="M188" s="793">
        <f t="shared" si="13"/>
        <v>6510</v>
      </c>
      <c r="N188" s="776"/>
      <c r="O188" s="776"/>
      <c r="P188" s="776"/>
    </row>
    <row r="189" spans="1:16">
      <c r="A189" s="52"/>
      <c r="B189" s="52" t="s">
        <v>328</v>
      </c>
      <c r="C189" s="52"/>
      <c r="D189" s="52"/>
      <c r="E189" s="952"/>
      <c r="F189" s="899"/>
      <c r="G189" s="899"/>
      <c r="H189" s="899"/>
      <c r="I189" s="899"/>
      <c r="J189" s="899"/>
      <c r="K189" s="793">
        <v>5596</v>
      </c>
      <c r="L189" s="793"/>
      <c r="M189" s="793">
        <f t="shared" si="13"/>
        <v>5596</v>
      </c>
      <c r="N189" s="776"/>
      <c r="O189" s="776"/>
      <c r="P189" s="776"/>
    </row>
    <row r="190" spans="1:16">
      <c r="A190" s="52"/>
      <c r="B190" s="52" t="s">
        <v>329</v>
      </c>
      <c r="C190" s="52"/>
      <c r="D190" s="52"/>
      <c r="E190" s="952"/>
      <c r="F190" s="899"/>
      <c r="G190" s="899"/>
      <c r="H190" s="899"/>
      <c r="I190" s="899"/>
      <c r="J190" s="899"/>
      <c r="K190" s="793">
        <v>0</v>
      </c>
      <c r="L190" s="793"/>
      <c r="M190" s="793">
        <f t="shared" si="13"/>
        <v>0</v>
      </c>
      <c r="N190" s="776"/>
      <c r="O190" s="776"/>
      <c r="P190" s="776"/>
    </row>
    <row r="191" spans="1:16">
      <c r="A191" s="52"/>
      <c r="B191" s="52" t="s">
        <v>330</v>
      </c>
      <c r="C191" s="52"/>
      <c r="D191" s="52"/>
      <c r="E191" s="952"/>
      <c r="F191" s="899"/>
      <c r="G191" s="899"/>
      <c r="H191" s="899"/>
      <c r="I191" s="899"/>
      <c r="J191" s="899"/>
      <c r="K191" s="793">
        <v>0</v>
      </c>
      <c r="L191" s="793"/>
      <c r="M191" s="793">
        <f t="shared" si="13"/>
        <v>0</v>
      </c>
      <c r="N191" s="776"/>
      <c r="O191" s="776"/>
      <c r="P191" s="776"/>
    </row>
    <row r="192" spans="1:16">
      <c r="A192" s="52"/>
      <c r="B192" s="52" t="s">
        <v>331</v>
      </c>
      <c r="C192" s="52"/>
      <c r="D192" s="52"/>
      <c r="E192" s="952"/>
      <c r="F192" s="899"/>
      <c r="G192" s="899"/>
      <c r="H192" s="899"/>
      <c r="I192" s="899"/>
      <c r="J192" s="899"/>
      <c r="K192" s="793">
        <v>165161</v>
      </c>
      <c r="L192" s="793">
        <v>-1</v>
      </c>
      <c r="M192" s="793">
        <f t="shared" si="13"/>
        <v>165160</v>
      </c>
      <c r="N192" s="776"/>
      <c r="O192" s="776"/>
      <c r="P192" s="776"/>
    </row>
    <row r="193" spans="1:16">
      <c r="A193" s="52"/>
      <c r="B193" s="52" t="s">
        <v>332</v>
      </c>
      <c r="C193" s="52"/>
      <c r="D193" s="52"/>
      <c r="E193" s="952"/>
      <c r="F193" s="899"/>
      <c r="G193" s="899"/>
      <c r="H193" s="899"/>
      <c r="I193" s="899"/>
      <c r="J193" s="899"/>
      <c r="K193" s="793">
        <v>0</v>
      </c>
      <c r="L193" s="793"/>
      <c r="M193" s="793">
        <f t="shared" si="13"/>
        <v>0</v>
      </c>
      <c r="N193" s="776"/>
      <c r="O193" s="776"/>
      <c r="P193" s="776"/>
    </row>
    <row r="194" spans="1:16">
      <c r="A194" s="52"/>
      <c r="B194" s="52" t="s">
        <v>333</v>
      </c>
      <c r="C194" s="52"/>
      <c r="D194" s="52"/>
      <c r="E194" s="952"/>
      <c r="F194" s="899"/>
      <c r="G194" s="899"/>
      <c r="H194" s="899"/>
      <c r="I194" s="899"/>
      <c r="J194" s="899"/>
      <c r="K194" s="793">
        <v>6523</v>
      </c>
      <c r="L194" s="793"/>
      <c r="M194" s="793">
        <f t="shared" si="13"/>
        <v>6523</v>
      </c>
      <c r="N194" s="776"/>
      <c r="O194" s="776"/>
      <c r="P194" s="776"/>
    </row>
    <row r="195" spans="1:16">
      <c r="A195" s="52"/>
      <c r="B195" s="52" t="s">
        <v>334</v>
      </c>
      <c r="C195" s="52"/>
      <c r="D195" s="52"/>
      <c r="E195" s="952"/>
      <c r="F195" s="899"/>
      <c r="G195" s="899"/>
      <c r="H195" s="899"/>
      <c r="I195" s="899"/>
      <c r="J195" s="899"/>
      <c r="K195" s="793">
        <v>0</v>
      </c>
      <c r="L195" s="793"/>
      <c r="M195" s="793">
        <f t="shared" si="13"/>
        <v>0</v>
      </c>
      <c r="N195" s="776"/>
      <c r="O195" s="776"/>
      <c r="P195" s="776"/>
    </row>
    <row r="196" spans="1:16">
      <c r="A196" s="52"/>
      <c r="B196" s="52" t="s">
        <v>309</v>
      </c>
      <c r="C196" s="52"/>
      <c r="D196" s="52"/>
      <c r="E196" s="952"/>
      <c r="F196" s="899"/>
      <c r="G196" s="899"/>
      <c r="H196" s="899"/>
      <c r="I196" s="899"/>
      <c r="J196" s="899"/>
      <c r="K196" s="793" t="e">
        <f>'3_Fin-Stat'!#REF!</f>
        <v>#REF!</v>
      </c>
      <c r="L196" s="793"/>
      <c r="M196" s="793" t="e">
        <f t="shared" si="13"/>
        <v>#REF!</v>
      </c>
      <c r="N196" s="776"/>
      <c r="O196" s="776"/>
      <c r="P196" s="776"/>
    </row>
    <row r="197" spans="1:16">
      <c r="A197" s="52"/>
      <c r="B197" s="52" t="s">
        <v>335</v>
      </c>
      <c r="C197" s="52"/>
      <c r="D197" s="52"/>
      <c r="E197" s="952"/>
      <c r="F197" s="899"/>
      <c r="G197" s="899"/>
      <c r="H197" s="899"/>
      <c r="I197" s="899"/>
      <c r="J197" s="899"/>
      <c r="K197" s="793">
        <v>2085</v>
      </c>
      <c r="L197" s="793"/>
      <c r="M197" s="793">
        <f t="shared" si="13"/>
        <v>2085</v>
      </c>
      <c r="N197" s="776"/>
      <c r="O197" s="776"/>
      <c r="P197" s="776"/>
    </row>
    <row r="198" spans="1:16">
      <c r="A198" s="52"/>
      <c r="B198" s="52" t="s">
        <v>336</v>
      </c>
      <c r="C198" s="52"/>
      <c r="D198" s="52"/>
      <c r="E198" s="952"/>
      <c r="F198" s="899"/>
      <c r="G198" s="899"/>
      <c r="H198" s="899"/>
      <c r="I198" s="899"/>
      <c r="J198" s="899"/>
      <c r="K198" s="793">
        <v>0</v>
      </c>
      <c r="L198" s="793"/>
      <c r="M198" s="793">
        <f t="shared" si="13"/>
        <v>0</v>
      </c>
      <c r="N198" s="776"/>
      <c r="O198" s="776"/>
      <c r="P198" s="776"/>
    </row>
    <row r="199" spans="1:16">
      <c r="A199" s="52"/>
      <c r="B199" s="52" t="s">
        <v>337</v>
      </c>
      <c r="C199" s="52"/>
      <c r="D199" s="52"/>
      <c r="E199" s="952"/>
      <c r="F199" s="899"/>
      <c r="G199" s="899"/>
      <c r="H199" s="899"/>
      <c r="I199" s="899"/>
      <c r="J199" s="899"/>
      <c r="K199" s="793">
        <v>0</v>
      </c>
      <c r="L199" s="793"/>
      <c r="M199" s="793">
        <f t="shared" si="13"/>
        <v>0</v>
      </c>
      <c r="N199" s="776"/>
      <c r="O199" s="776"/>
      <c r="P199" s="776"/>
    </row>
    <row r="200" spans="1:16">
      <c r="A200" s="52"/>
      <c r="B200" s="52" t="s">
        <v>338</v>
      </c>
      <c r="C200" s="52"/>
      <c r="D200" s="52"/>
      <c r="E200" s="952"/>
      <c r="F200" s="899"/>
      <c r="G200" s="899"/>
      <c r="H200" s="899"/>
      <c r="I200" s="899"/>
      <c r="J200" s="899"/>
      <c r="K200" s="892">
        <v>0</v>
      </c>
      <c r="L200" s="793"/>
      <c r="M200" s="892">
        <f t="shared" si="13"/>
        <v>0</v>
      </c>
      <c r="N200" s="776"/>
      <c r="O200" s="776"/>
      <c r="P200" s="776"/>
    </row>
    <row r="201" spans="1:16">
      <c r="A201" s="52"/>
      <c r="B201" s="52"/>
      <c r="C201" s="52"/>
      <c r="D201" s="52"/>
      <c r="E201" s="952"/>
      <c r="F201" s="899"/>
      <c r="G201" s="899"/>
      <c r="H201" s="899"/>
      <c r="I201" s="899"/>
      <c r="J201" s="899"/>
      <c r="K201" s="793" t="e">
        <f>SUM(K187:K200)</f>
        <v>#REF!</v>
      </c>
      <c r="L201" s="793"/>
      <c r="M201" s="793" t="e">
        <f>SUM(M187:M200)</f>
        <v>#REF!</v>
      </c>
      <c r="N201" s="776"/>
      <c r="O201" s="776"/>
      <c r="P201" s="776"/>
    </row>
    <row r="202" spans="1:16">
      <c r="A202" s="52"/>
      <c r="B202" s="52"/>
      <c r="C202" s="52"/>
      <c r="D202" s="52"/>
      <c r="E202" s="952"/>
      <c r="F202" s="899"/>
      <c r="G202" s="899"/>
      <c r="H202" s="899"/>
      <c r="I202" s="899"/>
      <c r="J202" s="899"/>
      <c r="K202" s="793"/>
      <c r="L202" s="793"/>
      <c r="M202" s="793">
        <f t="shared" ref="M202:M208" si="14">K202+L202</f>
        <v>0</v>
      </c>
      <c r="N202" s="776"/>
      <c r="O202" s="776"/>
      <c r="P202" s="776"/>
    </row>
    <row r="203" spans="1:16">
      <c r="A203" s="52"/>
      <c r="B203" s="52" t="s">
        <v>10</v>
      </c>
      <c r="C203" s="52"/>
      <c r="D203" s="52"/>
      <c r="E203" s="952"/>
      <c r="F203" s="899"/>
      <c r="G203" s="899"/>
      <c r="H203" s="899"/>
      <c r="I203" s="899"/>
      <c r="J203" s="899"/>
      <c r="K203" s="793">
        <v>152089</v>
      </c>
      <c r="L203" s="793">
        <v>818870</v>
      </c>
      <c r="M203" s="793">
        <f t="shared" si="14"/>
        <v>970959</v>
      </c>
      <c r="N203" s="776"/>
      <c r="O203" s="776"/>
      <c r="P203" s="776"/>
    </row>
    <row r="204" spans="1:16">
      <c r="A204" s="52"/>
      <c r="B204" s="52" t="s">
        <v>334</v>
      </c>
      <c r="C204" s="52"/>
      <c r="D204" s="52"/>
      <c r="E204" s="952"/>
      <c r="F204" s="899"/>
      <c r="G204" s="899"/>
      <c r="H204" s="899"/>
      <c r="I204" s="899"/>
      <c r="J204" s="899"/>
      <c r="K204" s="793">
        <v>0</v>
      </c>
      <c r="L204" s="793"/>
      <c r="M204" s="793">
        <f t="shared" si="14"/>
        <v>0</v>
      </c>
      <c r="N204" s="776"/>
      <c r="O204" s="776"/>
      <c r="P204" s="776"/>
    </row>
    <row r="205" spans="1:16">
      <c r="A205" s="52"/>
      <c r="B205" s="52" t="s">
        <v>313</v>
      </c>
      <c r="C205" s="52"/>
      <c r="D205" s="52"/>
      <c r="E205" s="952"/>
      <c r="F205" s="899"/>
      <c r="G205" s="899"/>
      <c r="H205" s="899"/>
      <c r="I205" s="899"/>
      <c r="J205" s="899"/>
      <c r="K205" s="793">
        <v>0</v>
      </c>
      <c r="L205" s="793">
        <v>21004</v>
      </c>
      <c r="M205" s="793">
        <f t="shared" si="14"/>
        <v>21004</v>
      </c>
      <c r="N205" s="776"/>
      <c r="O205" s="776"/>
      <c r="P205" s="776"/>
    </row>
    <row r="206" spans="1:16">
      <c r="A206" s="52"/>
      <c r="B206" s="52" t="s">
        <v>339</v>
      </c>
      <c r="C206" s="52"/>
      <c r="D206" s="52"/>
      <c r="E206" s="952"/>
      <c r="F206" s="899"/>
      <c r="G206" s="899"/>
      <c r="H206" s="899"/>
      <c r="I206" s="899"/>
      <c r="J206" s="899"/>
      <c r="K206" s="793">
        <v>0</v>
      </c>
      <c r="L206" s="793"/>
      <c r="M206" s="793">
        <f t="shared" si="14"/>
        <v>0</v>
      </c>
      <c r="N206" s="776"/>
      <c r="O206" s="776"/>
      <c r="P206" s="776"/>
    </row>
    <row r="207" spans="1:16">
      <c r="A207" s="52"/>
      <c r="B207" s="52" t="s">
        <v>340</v>
      </c>
      <c r="C207" s="52"/>
      <c r="D207" s="52"/>
      <c r="E207" s="952"/>
      <c r="F207" s="899"/>
      <c r="G207" s="899"/>
      <c r="H207" s="899"/>
      <c r="I207" s="899"/>
      <c r="J207" s="899"/>
      <c r="K207" s="793">
        <v>0</v>
      </c>
      <c r="L207" s="793"/>
      <c r="M207" s="793">
        <f t="shared" si="14"/>
        <v>0</v>
      </c>
      <c r="N207" s="776"/>
      <c r="O207" s="776"/>
      <c r="P207" s="776"/>
    </row>
    <row r="208" spans="1:16">
      <c r="A208" s="52"/>
      <c r="B208" s="52" t="s">
        <v>341</v>
      </c>
      <c r="C208" s="52"/>
      <c r="D208" s="52"/>
      <c r="E208" s="952"/>
      <c r="F208" s="899"/>
      <c r="G208" s="899"/>
      <c r="H208" s="899"/>
      <c r="I208" s="899"/>
      <c r="J208" s="899"/>
      <c r="K208" s="892">
        <v>754649</v>
      </c>
      <c r="L208" s="793">
        <v>5545</v>
      </c>
      <c r="M208" s="892">
        <f t="shared" si="14"/>
        <v>760194</v>
      </c>
      <c r="N208" s="776"/>
      <c r="O208" s="776"/>
      <c r="P208" s="776"/>
    </row>
    <row r="209" spans="1:16">
      <c r="A209" s="52"/>
      <c r="B209" s="52"/>
      <c r="C209" s="52"/>
      <c r="D209" s="52"/>
      <c r="E209" s="952"/>
      <c r="F209" s="899"/>
      <c r="G209" s="899"/>
      <c r="H209" s="899"/>
      <c r="I209" s="899"/>
      <c r="J209" s="899"/>
      <c r="K209" s="793">
        <f>SUM(K203:K208)</f>
        <v>906738</v>
      </c>
      <c r="L209" s="793"/>
      <c r="M209" s="793">
        <f>SUM(M203:M208)</f>
        <v>1752157</v>
      </c>
      <c r="N209" s="776"/>
      <c r="O209" s="776"/>
      <c r="P209" s="776"/>
    </row>
    <row r="210" spans="1:16">
      <c r="A210" s="52"/>
      <c r="B210" s="52"/>
      <c r="C210" s="52"/>
      <c r="D210" s="52"/>
      <c r="E210" s="952"/>
      <c r="F210" s="899"/>
      <c r="G210" s="776"/>
      <c r="H210" s="776" t="s">
        <v>1288</v>
      </c>
      <c r="I210" s="776"/>
      <c r="J210" s="899"/>
      <c r="K210" s="793"/>
      <c r="L210" s="793"/>
      <c r="M210" s="793">
        <f t="shared" ref="M210:M217" si="15">K210+L210</f>
        <v>0</v>
      </c>
      <c r="N210" s="776"/>
      <c r="O210" s="776"/>
      <c r="P210" s="776"/>
    </row>
    <row r="211" spans="1:16">
      <c r="A211" s="52"/>
      <c r="B211" s="52" t="s">
        <v>342</v>
      </c>
      <c r="C211" s="52"/>
      <c r="D211" s="52"/>
      <c r="E211" s="952"/>
      <c r="F211" s="899"/>
      <c r="G211" s="776"/>
      <c r="H211" s="49" t="s">
        <v>1285</v>
      </c>
      <c r="I211" s="776"/>
      <c r="J211" s="899"/>
      <c r="K211" s="793">
        <v>1600000</v>
      </c>
      <c r="L211" s="793"/>
      <c r="M211" s="793">
        <f t="shared" si="15"/>
        <v>1600000</v>
      </c>
      <c r="N211" s="776"/>
      <c r="O211" s="776"/>
      <c r="P211" s="776"/>
    </row>
    <row r="212" spans="1:16">
      <c r="A212" s="52"/>
      <c r="B212" s="52" t="s">
        <v>343</v>
      </c>
      <c r="C212" s="52"/>
      <c r="D212" s="52"/>
      <c r="E212" s="952"/>
      <c r="F212" s="899"/>
      <c r="G212" s="776"/>
      <c r="H212" s="793">
        <v>2477802</v>
      </c>
      <c r="I212" s="776" t="s">
        <v>1287</v>
      </c>
      <c r="J212" s="899"/>
      <c r="K212" s="899">
        <f>H212</f>
        <v>2477802</v>
      </c>
      <c r="L212" s="793">
        <v>-824177</v>
      </c>
      <c r="M212" s="793">
        <f t="shared" si="15"/>
        <v>1653625</v>
      </c>
      <c r="N212" s="776"/>
      <c r="O212" s="776"/>
      <c r="P212" s="776"/>
    </row>
    <row r="213" spans="1:16">
      <c r="A213" s="52"/>
      <c r="B213" s="52" t="s">
        <v>344</v>
      </c>
      <c r="C213" s="52"/>
      <c r="D213" s="52"/>
      <c r="E213" s="952"/>
      <c r="F213" s="899"/>
      <c r="G213" s="776"/>
      <c r="H213" s="892">
        <v>2476890</v>
      </c>
      <c r="I213" s="776" t="s">
        <v>1286</v>
      </c>
      <c r="J213" s="899"/>
      <c r="K213" s="793">
        <v>0</v>
      </c>
      <c r="L213" s="793"/>
      <c r="M213" s="793">
        <f t="shared" si="15"/>
        <v>0</v>
      </c>
      <c r="N213" s="776"/>
      <c r="O213" s="776"/>
      <c r="P213" s="776"/>
    </row>
    <row r="214" spans="1:16">
      <c r="A214" s="52"/>
      <c r="B214" s="52" t="s">
        <v>345</v>
      </c>
      <c r="C214" s="52"/>
      <c r="D214" s="52"/>
      <c r="E214" s="952"/>
      <c r="F214" s="899"/>
      <c r="G214" s="776"/>
      <c r="H214" s="793">
        <f>H212-H213</f>
        <v>912</v>
      </c>
      <c r="I214" s="776"/>
      <c r="J214" s="899"/>
      <c r="K214" s="793">
        <v>6</v>
      </c>
      <c r="L214" s="793"/>
      <c r="M214" s="793">
        <f t="shared" si="15"/>
        <v>6</v>
      </c>
      <c r="N214" s="776"/>
      <c r="O214" s="776"/>
      <c r="P214" s="776"/>
    </row>
    <row r="215" spans="1:16">
      <c r="A215" s="52"/>
      <c r="B215" s="52" t="s">
        <v>346</v>
      </c>
      <c r="C215" s="52"/>
      <c r="D215" s="52"/>
      <c r="E215" s="952"/>
      <c r="F215" s="899"/>
      <c r="G215" s="776"/>
      <c r="H215" s="793"/>
      <c r="I215" s="776"/>
      <c r="J215" s="899"/>
      <c r="K215" s="793"/>
      <c r="L215" s="793">
        <v>14891</v>
      </c>
      <c r="M215" s="793">
        <f t="shared" si="15"/>
        <v>14891</v>
      </c>
      <c r="N215" s="776"/>
      <c r="O215" s="776"/>
      <c r="P215" s="776"/>
    </row>
    <row r="216" spans="1:16">
      <c r="A216" s="52"/>
      <c r="B216" s="52" t="s">
        <v>347</v>
      </c>
      <c r="C216" s="52"/>
      <c r="D216" s="52"/>
      <c r="E216" s="952"/>
      <c r="F216" s="899"/>
      <c r="G216" s="776"/>
      <c r="H216" s="49" t="s">
        <v>1284</v>
      </c>
      <c r="I216" s="776"/>
      <c r="J216" s="899"/>
      <c r="K216" s="793"/>
      <c r="L216" s="793">
        <v>1065</v>
      </c>
      <c r="M216" s="793">
        <f t="shared" si="15"/>
        <v>1065</v>
      </c>
      <c r="N216" s="776"/>
      <c r="O216" s="776"/>
      <c r="P216" s="776"/>
    </row>
    <row r="217" spans="1:16">
      <c r="A217" s="52"/>
      <c r="B217" s="52" t="s">
        <v>348</v>
      </c>
      <c r="C217" s="52"/>
      <c r="D217" s="52"/>
      <c r="E217" s="952"/>
      <c r="F217" s="899"/>
      <c r="G217" s="776"/>
      <c r="H217" s="793">
        <v>160455</v>
      </c>
      <c r="I217" s="776" t="s">
        <v>1286</v>
      </c>
      <c r="J217" s="899"/>
      <c r="K217" s="924">
        <f>H218</f>
        <v>159543</v>
      </c>
      <c r="L217" s="793">
        <v>8934</v>
      </c>
      <c r="M217" s="892">
        <f t="shared" si="15"/>
        <v>168477</v>
      </c>
      <c r="N217" s="776"/>
      <c r="O217" s="776"/>
      <c r="P217" s="776"/>
    </row>
    <row r="218" spans="1:16">
      <c r="A218" s="52"/>
      <c r="B218" s="52" t="s">
        <v>349</v>
      </c>
      <c r="C218" s="52"/>
      <c r="D218" s="52"/>
      <c r="E218" s="952"/>
      <c r="F218" s="899"/>
      <c r="G218" s="776"/>
      <c r="H218" s="892">
        <v>159543</v>
      </c>
      <c r="I218" s="776" t="s">
        <v>1287</v>
      </c>
      <c r="J218" s="899"/>
      <c r="K218" s="793">
        <f>SUM(K211:K217)</f>
        <v>4237351</v>
      </c>
      <c r="L218" s="793"/>
      <c r="M218" s="793">
        <f>SUM(M211:M217)</f>
        <v>3438064</v>
      </c>
      <c r="N218" s="776"/>
      <c r="O218" s="776"/>
      <c r="P218" s="776"/>
    </row>
    <row r="219" spans="1:16">
      <c r="A219" s="52"/>
      <c r="B219" s="52" t="s">
        <v>350</v>
      </c>
      <c r="C219" s="52"/>
      <c r="D219" s="52"/>
      <c r="E219" s="952"/>
      <c r="F219" s="899"/>
      <c r="G219" s="776"/>
      <c r="H219" s="793">
        <f>H217-H218</f>
        <v>912</v>
      </c>
      <c r="I219" s="776"/>
      <c r="J219" s="899"/>
      <c r="K219" s="793">
        <v>0</v>
      </c>
      <c r="L219" s="793"/>
      <c r="M219" s="793">
        <f>K219+L219</f>
        <v>0</v>
      </c>
      <c r="N219" s="776"/>
      <c r="O219" s="776"/>
      <c r="P219" s="776"/>
    </row>
    <row r="220" spans="1:16">
      <c r="A220" s="52"/>
      <c r="B220" s="52" t="s">
        <v>351</v>
      </c>
      <c r="C220" s="52"/>
      <c r="D220" s="52"/>
      <c r="E220" s="952"/>
      <c r="F220" s="899"/>
      <c r="G220" s="899"/>
      <c r="H220" s="899"/>
      <c r="I220" s="899"/>
      <c r="J220" s="899"/>
      <c r="K220" s="892">
        <v>0</v>
      </c>
      <c r="L220" s="892"/>
      <c r="M220" s="892">
        <f>K220+L220</f>
        <v>0</v>
      </c>
      <c r="N220" s="776"/>
      <c r="O220" s="776"/>
      <c r="P220" s="776"/>
    </row>
    <row r="221" spans="1:16">
      <c r="A221" s="52"/>
      <c r="B221" s="52" t="s">
        <v>352</v>
      </c>
      <c r="C221" s="52"/>
      <c r="D221" s="52"/>
      <c r="E221" s="952"/>
      <c r="F221" s="899"/>
      <c r="G221" s="899"/>
      <c r="H221" s="899"/>
      <c r="I221" s="899"/>
      <c r="J221" s="899"/>
      <c r="K221" s="793">
        <f>SUM(K218:K220)</f>
        <v>4237351</v>
      </c>
      <c r="L221" s="793">
        <f>SUM(L187:L220)</f>
        <v>46131</v>
      </c>
      <c r="M221" s="793">
        <f>SUM(M218:M220)</f>
        <v>3438064</v>
      </c>
      <c r="N221" s="776"/>
      <c r="O221" s="776"/>
      <c r="P221" s="776"/>
    </row>
    <row r="222" spans="1:16">
      <c r="A222" s="52"/>
      <c r="B222" s="52"/>
      <c r="C222" s="52"/>
      <c r="D222" s="52"/>
      <c r="E222" s="952"/>
      <c r="F222" s="899"/>
      <c r="G222" s="899"/>
      <c r="H222" s="899"/>
      <c r="I222" s="899"/>
      <c r="J222" s="899"/>
      <c r="K222" s="793"/>
      <c r="L222" s="793"/>
      <c r="M222" s="793"/>
      <c r="N222" s="776"/>
      <c r="O222" s="776"/>
      <c r="P222" s="776"/>
    </row>
    <row r="223" spans="1:16" ht="13.5" thickBot="1">
      <c r="A223" s="52"/>
      <c r="B223" s="929" t="s">
        <v>323</v>
      </c>
      <c r="C223" s="52"/>
      <c r="D223" s="52"/>
      <c r="E223" s="952"/>
      <c r="F223" s="899"/>
      <c r="G223" s="899"/>
      <c r="H223" s="899"/>
      <c r="I223" s="899"/>
      <c r="J223" s="899"/>
      <c r="K223" s="925" t="e">
        <f>K201+K209+K221</f>
        <v>#REF!</v>
      </c>
      <c r="L223" s="793"/>
      <c r="M223" s="925" t="e">
        <f>M201+M209+M221</f>
        <v>#REF!</v>
      </c>
      <c r="N223" s="776"/>
      <c r="O223" s="776"/>
      <c r="P223" s="776"/>
    </row>
    <row r="224" spans="1:16" ht="13.5" thickTop="1">
      <c r="A224" s="67"/>
      <c r="B224" s="16"/>
      <c r="C224" s="4"/>
      <c r="D224" s="4"/>
      <c r="E224" s="795"/>
      <c r="F224" s="924"/>
      <c r="G224" s="924"/>
      <c r="H224" s="924"/>
      <c r="I224" s="924"/>
      <c r="J224" s="924"/>
      <c r="K224" s="4"/>
      <c r="L224" s="892"/>
      <c r="M224" s="4"/>
      <c r="N224" s="776"/>
      <c r="O224" s="776"/>
      <c r="P224" s="776"/>
    </row>
    <row r="225" spans="1:16">
      <c r="A225" s="1280"/>
      <c r="B225" s="1281"/>
      <c r="C225" s="1277"/>
      <c r="D225" s="1277"/>
      <c r="E225" s="1278"/>
      <c r="F225" s="1279"/>
      <c r="G225" s="1279"/>
      <c r="H225" s="1279"/>
      <c r="I225" s="1279"/>
      <c r="J225" s="1279"/>
      <c r="K225" s="1279" t="e">
        <f>K182-K223</f>
        <v>#REF!</v>
      </c>
      <c r="L225" s="1279"/>
      <c r="M225" s="1279" t="e">
        <f>M182-M223</f>
        <v>#REF!</v>
      </c>
      <c r="N225" s="776"/>
      <c r="O225" s="776"/>
      <c r="P225" s="776"/>
    </row>
    <row r="226" spans="1:16">
      <c r="A226" s="793"/>
      <c r="B226" s="793"/>
      <c r="C226" s="793"/>
      <c r="D226" s="776"/>
      <c r="E226" s="776"/>
      <c r="F226" s="776"/>
      <c r="G226" s="776"/>
      <c r="H226" s="776"/>
      <c r="I226" s="776"/>
      <c r="J226" s="776"/>
      <c r="K226" s="776"/>
      <c r="L226" s="776"/>
      <c r="M226" s="776"/>
      <c r="N226" s="776"/>
      <c r="O226" s="776"/>
      <c r="P226" s="776"/>
    </row>
    <row r="227" spans="1:16">
      <c r="A227" s="793"/>
      <c r="B227" s="793"/>
      <c r="C227" s="793"/>
      <c r="D227" s="776"/>
      <c r="E227" s="776"/>
      <c r="F227" s="776"/>
      <c r="G227" s="776"/>
      <c r="H227" s="776"/>
      <c r="I227" s="776"/>
      <c r="J227" s="776"/>
      <c r="K227" s="776"/>
      <c r="L227" s="776"/>
      <c r="M227" s="776"/>
      <c r="N227" s="776"/>
      <c r="O227" s="776"/>
      <c r="P227" s="776"/>
    </row>
    <row r="228" spans="1:16">
      <c r="A228" s="793"/>
      <c r="B228" s="793"/>
      <c r="C228" s="793"/>
      <c r="D228" s="776"/>
      <c r="E228" s="776"/>
      <c r="F228" s="776"/>
      <c r="G228" s="776"/>
      <c r="H228" s="776"/>
      <c r="I228" s="776"/>
      <c r="J228" s="776"/>
      <c r="K228" s="776"/>
      <c r="L228" s="776"/>
      <c r="M228" s="776"/>
      <c r="N228" s="776"/>
      <c r="O228" s="776"/>
      <c r="P228" s="776"/>
    </row>
    <row r="229" spans="1:16">
      <c r="A229" s="793"/>
      <c r="B229" s="793"/>
      <c r="C229" s="793"/>
      <c r="D229" s="776"/>
      <c r="E229" s="776"/>
      <c r="F229" s="776"/>
      <c r="G229" s="776"/>
      <c r="H229" s="776"/>
      <c r="I229" s="776"/>
      <c r="J229" s="776"/>
      <c r="K229" s="776"/>
      <c r="L229" s="776"/>
      <c r="M229" s="776"/>
      <c r="N229" s="776"/>
      <c r="O229" s="776"/>
      <c r="P229" s="776"/>
    </row>
    <row r="230" spans="1:16">
      <c r="A230" s="793"/>
      <c r="B230" s="793"/>
      <c r="C230" s="793"/>
      <c r="D230" s="776"/>
      <c r="E230" s="776"/>
      <c r="F230" s="776"/>
      <c r="G230" s="776"/>
      <c r="H230" s="776"/>
      <c r="I230" s="776"/>
      <c r="J230" s="776"/>
      <c r="K230" s="776"/>
      <c r="L230" s="776"/>
      <c r="M230" s="776"/>
      <c r="N230" s="776"/>
      <c r="O230" s="776"/>
      <c r="P230" s="776"/>
    </row>
    <row r="231" spans="1:16">
      <c r="A231" s="793"/>
      <c r="B231" s="793"/>
      <c r="C231" s="793"/>
      <c r="D231" s="776"/>
      <c r="E231" s="776"/>
      <c r="F231" s="776"/>
      <c r="G231" s="776"/>
      <c r="H231" s="776"/>
      <c r="I231" s="776"/>
      <c r="J231" s="776"/>
      <c r="K231" s="776"/>
      <c r="L231" s="776"/>
      <c r="M231" s="776"/>
      <c r="N231" s="776"/>
      <c r="O231" s="776"/>
      <c r="P231" s="776"/>
    </row>
    <row r="232" spans="1:16">
      <c r="A232" s="793"/>
      <c r="B232" s="793"/>
      <c r="C232" s="793"/>
      <c r="D232" s="776"/>
      <c r="E232" s="776"/>
      <c r="F232" s="776"/>
      <c r="G232" s="776"/>
      <c r="H232" s="776"/>
      <c r="I232" s="776"/>
      <c r="J232" s="776"/>
      <c r="K232" s="776"/>
      <c r="L232" s="776"/>
      <c r="M232" s="776"/>
      <c r="N232" s="776"/>
      <c r="O232" s="776"/>
      <c r="P232" s="776"/>
    </row>
    <row r="233" spans="1:16">
      <c r="A233" s="793"/>
      <c r="B233" s="793"/>
      <c r="C233" s="793"/>
      <c r="D233" s="776"/>
      <c r="E233" s="776"/>
      <c r="F233" s="776"/>
      <c r="G233" s="776"/>
      <c r="H233" s="776"/>
      <c r="I233" s="776"/>
      <c r="J233" s="776"/>
      <c r="K233" s="776"/>
      <c r="L233" s="776"/>
      <c r="M233" s="776"/>
      <c r="N233" s="776"/>
      <c r="O233" s="776"/>
      <c r="P233" s="776"/>
    </row>
    <row r="234" spans="1:16">
      <c r="A234" s="793"/>
      <c r="B234" s="793"/>
      <c r="C234" s="793"/>
      <c r="D234" s="776"/>
      <c r="E234" s="776"/>
      <c r="F234" s="776"/>
      <c r="G234" s="776"/>
      <c r="H234" s="776"/>
      <c r="I234" s="776"/>
      <c r="J234" s="776"/>
      <c r="K234" s="776"/>
      <c r="L234" s="776"/>
      <c r="M234" s="776"/>
      <c r="N234" s="776"/>
      <c r="O234" s="776"/>
      <c r="P234" s="776"/>
    </row>
    <row r="235" spans="1:16">
      <c r="A235" s="793"/>
      <c r="B235" s="793"/>
      <c r="C235" s="793"/>
      <c r="D235" s="776"/>
      <c r="E235" s="776"/>
      <c r="F235" s="776"/>
      <c r="G235" s="776"/>
      <c r="H235" s="776"/>
      <c r="I235" s="776"/>
      <c r="J235" s="776"/>
      <c r="K235" s="776"/>
      <c r="L235" s="776"/>
      <c r="M235" s="776"/>
      <c r="N235" s="776"/>
      <c r="O235" s="776"/>
      <c r="P235" s="776"/>
    </row>
    <row r="236" spans="1:16">
      <c r="A236" s="793"/>
      <c r="B236" s="793"/>
      <c r="C236" s="793"/>
      <c r="D236" s="776"/>
      <c r="E236" s="776"/>
      <c r="F236" s="776"/>
      <c r="G236" s="776"/>
      <c r="H236" s="776"/>
      <c r="I236" s="776"/>
      <c r="J236" s="776"/>
      <c r="K236" s="776"/>
      <c r="L236" s="776"/>
      <c r="M236" s="776"/>
      <c r="N236" s="776"/>
      <c r="O236" s="776"/>
      <c r="P236" s="776"/>
    </row>
    <row r="237" spans="1:16">
      <c r="A237" s="793"/>
      <c r="B237" s="793"/>
      <c r="C237" s="793"/>
      <c r="D237" s="776"/>
      <c r="E237" s="776"/>
      <c r="F237" s="776"/>
      <c r="G237" s="776"/>
      <c r="H237" s="776"/>
      <c r="I237" s="776"/>
      <c r="J237" s="776"/>
      <c r="K237" s="776"/>
      <c r="L237" s="776"/>
      <c r="M237" s="776"/>
      <c r="N237" s="776"/>
      <c r="O237" s="776"/>
      <c r="P237" s="776"/>
    </row>
    <row r="238" spans="1:16">
      <c r="A238" s="793"/>
      <c r="B238" s="793"/>
      <c r="C238" s="793"/>
      <c r="D238" s="776"/>
      <c r="E238" s="776"/>
      <c r="F238" s="776"/>
      <c r="G238" s="776"/>
      <c r="H238" s="776"/>
      <c r="I238" s="776"/>
      <c r="J238" s="776"/>
      <c r="K238" s="776"/>
      <c r="L238" s="776"/>
      <c r="M238" s="776"/>
      <c r="N238" s="776"/>
      <c r="O238" s="776"/>
      <c r="P238" s="776"/>
    </row>
    <row r="239" spans="1:16">
      <c r="A239" s="793"/>
      <c r="B239" s="793"/>
      <c r="C239" s="793"/>
      <c r="D239" s="776"/>
      <c r="E239" s="776"/>
      <c r="F239" s="776"/>
      <c r="G239" s="776"/>
      <c r="H239" s="776"/>
      <c r="I239" s="776"/>
      <c r="J239" s="776"/>
      <c r="K239" s="776"/>
      <c r="L239" s="776"/>
      <c r="M239" s="776"/>
      <c r="N239" s="776"/>
      <c r="O239" s="776"/>
      <c r="P239" s="776"/>
    </row>
    <row r="240" spans="1:16">
      <c r="A240" s="793"/>
      <c r="B240" s="793"/>
      <c r="C240" s="793"/>
      <c r="D240" s="776"/>
      <c r="E240" s="776"/>
      <c r="F240" s="776"/>
      <c r="G240" s="776"/>
      <c r="H240" s="776"/>
      <c r="I240" s="776"/>
      <c r="J240" s="776"/>
      <c r="K240" s="776"/>
      <c r="L240" s="776"/>
      <c r="M240" s="776"/>
      <c r="N240" s="776"/>
      <c r="O240" s="776"/>
      <c r="P240" s="776"/>
    </row>
    <row r="241" spans="1:16">
      <c r="A241" s="793"/>
      <c r="B241" s="793"/>
      <c r="C241" s="793"/>
      <c r="D241" s="776"/>
      <c r="E241" s="776"/>
      <c r="F241" s="776"/>
      <c r="G241" s="776"/>
      <c r="H241" s="776"/>
      <c r="I241" s="776"/>
      <c r="J241" s="776"/>
      <c r="K241" s="776"/>
      <c r="L241" s="776"/>
      <c r="M241" s="776"/>
      <c r="N241" s="776"/>
      <c r="O241" s="776"/>
      <c r="P241" s="776"/>
    </row>
    <row r="242" spans="1:16">
      <c r="A242" s="793"/>
      <c r="B242" s="793"/>
      <c r="C242" s="793"/>
      <c r="D242" s="776"/>
      <c r="E242" s="776"/>
      <c r="F242" s="776"/>
      <c r="G242" s="776"/>
      <c r="H242" s="776"/>
      <c r="I242" s="776"/>
      <c r="J242" s="776"/>
      <c r="K242" s="776"/>
      <c r="L242" s="776"/>
      <c r="M242" s="776"/>
      <c r="N242" s="776"/>
      <c r="O242" s="776"/>
      <c r="P242" s="776"/>
    </row>
    <row r="243" spans="1:16">
      <c r="A243" s="793"/>
      <c r="B243" s="793"/>
      <c r="C243" s="793"/>
      <c r="D243" s="776"/>
      <c r="E243" s="776"/>
      <c r="F243" s="776"/>
      <c r="G243" s="776"/>
      <c r="H243" s="776"/>
      <c r="I243" s="776"/>
      <c r="J243" s="776"/>
      <c r="K243" s="776"/>
      <c r="L243" s="776"/>
      <c r="M243" s="776"/>
      <c r="N243" s="776"/>
      <c r="O243" s="776"/>
      <c r="P243" s="776"/>
    </row>
    <row r="244" spans="1:16">
      <c r="A244" s="793"/>
      <c r="B244" s="793"/>
      <c r="C244" s="793"/>
      <c r="D244" s="17"/>
      <c r="E244" s="17"/>
      <c r="F244" s="17"/>
      <c r="G244" s="17"/>
      <c r="H244" s="17"/>
      <c r="I244" s="17"/>
      <c r="J244" s="776"/>
      <c r="K244" s="776"/>
      <c r="L244" s="776"/>
      <c r="M244" s="776"/>
      <c r="N244" s="776"/>
      <c r="O244" s="776"/>
      <c r="P244" s="776"/>
    </row>
    <row r="245" spans="1:16">
      <c r="A245" s="793"/>
      <c r="B245" s="793"/>
      <c r="C245" s="793"/>
      <c r="D245" s="776"/>
      <c r="E245" s="776"/>
      <c r="F245" s="776"/>
      <c r="G245" s="776"/>
      <c r="H245" s="776"/>
      <c r="I245" s="776"/>
      <c r="J245" s="776"/>
      <c r="K245" s="776"/>
      <c r="L245" s="776"/>
      <c r="M245" s="776"/>
      <c r="N245" s="776"/>
      <c r="O245" s="776"/>
      <c r="P245" s="776"/>
    </row>
    <row r="246" spans="1:16">
      <c r="A246" s="793"/>
      <c r="B246" s="793"/>
      <c r="C246" s="793"/>
      <c r="D246" s="17"/>
      <c r="E246" s="17"/>
      <c r="F246" s="17"/>
      <c r="G246" s="17"/>
      <c r="H246" s="17"/>
      <c r="I246" s="17"/>
      <c r="J246" s="776"/>
      <c r="K246" s="776"/>
      <c r="L246" s="776"/>
      <c r="M246" s="776"/>
      <c r="N246" s="776"/>
      <c r="O246" s="776"/>
      <c r="P246" s="776"/>
    </row>
    <row r="247" spans="1:16">
      <c r="A247" s="793"/>
      <c r="B247" s="793"/>
      <c r="C247" s="793"/>
      <c r="D247" s="776"/>
      <c r="E247" s="776"/>
      <c r="F247" s="776"/>
      <c r="G247" s="776"/>
      <c r="H247" s="776"/>
      <c r="I247" s="776"/>
      <c r="J247" s="776"/>
      <c r="K247" s="776"/>
      <c r="L247" s="776"/>
      <c r="M247" s="776"/>
      <c r="N247" s="776"/>
      <c r="O247" s="776"/>
      <c r="P247" s="776"/>
    </row>
    <row r="248" spans="1:16">
      <c r="A248" s="793"/>
      <c r="B248" s="793"/>
      <c r="C248" s="793"/>
      <c r="D248" s="776"/>
      <c r="E248" s="776"/>
      <c r="F248" s="776"/>
      <c r="G248" s="776"/>
      <c r="H248" s="776"/>
      <c r="I248" s="776"/>
      <c r="J248" s="776"/>
      <c r="K248" s="776"/>
      <c r="L248" s="776"/>
      <c r="M248" s="776"/>
      <c r="N248" s="776"/>
      <c r="O248" s="776"/>
      <c r="P248" s="776"/>
    </row>
    <row r="249" spans="1:16">
      <c r="A249" s="793"/>
      <c r="B249" s="793"/>
      <c r="C249" s="793"/>
      <c r="D249" s="776"/>
      <c r="E249" s="776"/>
      <c r="F249" s="776"/>
      <c r="G249" s="776"/>
      <c r="H249" s="776"/>
      <c r="I249" s="776"/>
      <c r="J249" s="776"/>
      <c r="K249" s="776"/>
      <c r="L249" s="776"/>
      <c r="M249" s="776"/>
      <c r="N249" s="776"/>
      <c r="O249" s="776"/>
      <c r="P249" s="776"/>
    </row>
    <row r="250" spans="1:16">
      <c r="A250" s="793"/>
      <c r="B250" s="793"/>
      <c r="C250" s="793"/>
      <c r="D250" s="776"/>
      <c r="E250" s="776"/>
      <c r="F250" s="776"/>
      <c r="G250" s="776"/>
      <c r="H250" s="776"/>
      <c r="I250" s="776"/>
      <c r="J250" s="776"/>
      <c r="K250" s="776"/>
      <c r="L250" s="776"/>
      <c r="M250" s="776"/>
      <c r="N250" s="776"/>
      <c r="O250" s="776"/>
      <c r="P250" s="776"/>
    </row>
    <row r="251" spans="1:16">
      <c r="A251" s="793"/>
      <c r="B251" s="793"/>
      <c r="C251" s="793"/>
      <c r="D251" s="776"/>
      <c r="E251" s="776"/>
      <c r="F251" s="776"/>
      <c r="G251" s="776"/>
      <c r="H251" s="776"/>
      <c r="I251" s="776"/>
      <c r="J251" s="776"/>
      <c r="K251" s="776"/>
      <c r="L251" s="776"/>
      <c r="M251" s="776"/>
      <c r="N251" s="776"/>
      <c r="O251" s="776"/>
      <c r="P251" s="776"/>
    </row>
    <row r="252" spans="1:16">
      <c r="A252" s="793"/>
      <c r="B252" s="793"/>
      <c r="C252" s="793"/>
      <c r="D252" s="776"/>
      <c r="E252" s="776"/>
      <c r="F252" s="776"/>
      <c r="G252" s="776"/>
      <c r="H252" s="776"/>
      <c r="I252" s="776"/>
      <c r="J252" s="776"/>
      <c r="K252" s="776"/>
      <c r="L252" s="776"/>
      <c r="M252" s="776"/>
      <c r="N252" s="776"/>
      <c r="O252" s="776"/>
      <c r="P252" s="776"/>
    </row>
    <row r="253" spans="1:16">
      <c r="A253" s="793"/>
      <c r="B253" s="793"/>
      <c r="C253" s="793"/>
      <c r="D253" s="776"/>
      <c r="E253" s="776"/>
      <c r="F253" s="776"/>
      <c r="G253" s="776"/>
      <c r="H253" s="776"/>
      <c r="I253" s="776"/>
      <c r="J253" s="776"/>
      <c r="K253" s="776"/>
      <c r="L253" s="776"/>
      <c r="M253" s="776"/>
      <c r="N253" s="776"/>
      <c r="O253" s="776"/>
      <c r="P253" s="776"/>
    </row>
    <row r="254" spans="1:16">
      <c r="A254" s="793"/>
      <c r="B254" s="793"/>
      <c r="C254" s="793"/>
      <c r="D254" s="776"/>
      <c r="E254" s="776"/>
      <c r="F254" s="776"/>
      <c r="G254" s="776"/>
      <c r="H254" s="776"/>
      <c r="I254" s="776"/>
      <c r="J254" s="776"/>
      <c r="K254" s="776"/>
      <c r="L254" s="776"/>
      <c r="M254" s="776"/>
      <c r="N254" s="776"/>
      <c r="O254" s="776"/>
      <c r="P254" s="776"/>
    </row>
    <row r="255" spans="1:16">
      <c r="A255" s="793"/>
      <c r="B255" s="793"/>
      <c r="C255" s="793"/>
      <c r="D255" s="776"/>
      <c r="E255" s="776"/>
      <c r="F255" s="776"/>
      <c r="G255" s="776"/>
      <c r="H255" s="776"/>
      <c r="I255" s="776"/>
      <c r="J255" s="776"/>
      <c r="K255" s="776"/>
      <c r="L255" s="776"/>
      <c r="M255" s="776"/>
      <c r="N255" s="776"/>
      <c r="O255" s="776"/>
      <c r="P255" s="776"/>
    </row>
    <row r="256" spans="1:16">
      <c r="A256" s="793"/>
      <c r="B256" s="793"/>
      <c r="C256" s="793"/>
      <c r="D256" s="776"/>
      <c r="E256" s="776"/>
      <c r="F256" s="776"/>
      <c r="G256" s="776"/>
      <c r="H256" s="776"/>
      <c r="I256" s="776"/>
      <c r="J256" s="776"/>
      <c r="K256" s="776"/>
      <c r="L256" s="776"/>
      <c r="M256" s="776"/>
      <c r="N256" s="776"/>
      <c r="O256" s="776"/>
      <c r="P256" s="776"/>
    </row>
    <row r="257" spans="1:16">
      <c r="A257" s="793"/>
      <c r="B257" s="793"/>
      <c r="C257" s="793"/>
      <c r="D257" s="776"/>
      <c r="E257" s="776"/>
      <c r="F257" s="776"/>
      <c r="G257" s="776"/>
      <c r="H257" s="776"/>
      <c r="I257" s="776"/>
      <c r="J257" s="776"/>
      <c r="K257" s="776"/>
      <c r="L257" s="776"/>
      <c r="M257" s="776"/>
      <c r="N257" s="776"/>
      <c r="O257" s="776"/>
      <c r="P257" s="776"/>
    </row>
    <row r="258" spans="1:16">
      <c r="A258" s="793"/>
      <c r="B258" s="793"/>
      <c r="C258" s="793"/>
      <c r="D258" s="776"/>
      <c r="E258" s="776"/>
      <c r="F258" s="776"/>
      <c r="G258" s="776"/>
      <c r="H258" s="776"/>
      <c r="I258" s="776"/>
      <c r="J258" s="776"/>
      <c r="K258" s="776"/>
      <c r="L258" s="776"/>
      <c r="M258" s="776"/>
      <c r="N258" s="776"/>
      <c r="O258" s="776"/>
      <c r="P258" s="776"/>
    </row>
    <row r="259" spans="1:16">
      <c r="A259" s="793"/>
      <c r="B259" s="793"/>
      <c r="C259" s="793"/>
      <c r="D259" s="776"/>
      <c r="E259" s="776"/>
      <c r="F259" s="776"/>
      <c r="G259" s="776"/>
      <c r="H259" s="776"/>
      <c r="I259" s="776"/>
      <c r="J259" s="776"/>
      <c r="K259" s="776"/>
      <c r="L259" s="776"/>
      <c r="M259" s="776"/>
      <c r="N259" s="776"/>
      <c r="O259" s="776"/>
      <c r="P259" s="776"/>
    </row>
    <row r="260" spans="1:16">
      <c r="A260" s="793"/>
      <c r="B260" s="793"/>
      <c r="C260" s="793"/>
      <c r="D260" s="776"/>
      <c r="E260" s="776"/>
      <c r="F260" s="776"/>
      <c r="G260" s="776"/>
      <c r="H260" s="776"/>
      <c r="I260" s="776"/>
      <c r="J260" s="776"/>
      <c r="K260" s="776"/>
      <c r="L260" s="776"/>
      <c r="M260" s="776"/>
      <c r="N260" s="776"/>
      <c r="O260" s="776"/>
      <c r="P260" s="776"/>
    </row>
    <row r="261" spans="1:16">
      <c r="A261" s="793"/>
      <c r="B261" s="793"/>
      <c r="C261" s="793"/>
      <c r="D261" s="776"/>
      <c r="E261" s="776"/>
      <c r="F261" s="776"/>
      <c r="G261" s="776"/>
      <c r="H261" s="776"/>
      <c r="I261" s="776"/>
      <c r="J261" s="776"/>
      <c r="K261" s="776"/>
      <c r="L261" s="776"/>
      <c r="M261" s="776"/>
      <c r="N261" s="776"/>
      <c r="O261" s="776"/>
      <c r="P261" s="776"/>
    </row>
    <row r="262" spans="1:16">
      <c r="A262" s="793"/>
      <c r="B262" s="793"/>
      <c r="C262" s="793"/>
      <c r="D262" s="776"/>
      <c r="E262" s="776"/>
      <c r="F262" s="776"/>
      <c r="G262" s="776"/>
      <c r="H262" s="776"/>
      <c r="I262" s="776"/>
      <c r="J262" s="776"/>
      <c r="K262" s="776"/>
      <c r="L262" s="776"/>
      <c r="M262" s="776"/>
      <c r="N262" s="776"/>
      <c r="O262" s="776"/>
      <c r="P262" s="776"/>
    </row>
    <row r="263" spans="1:16">
      <c r="A263" s="793"/>
      <c r="B263" s="793"/>
      <c r="C263" s="793"/>
      <c r="D263" s="776"/>
      <c r="E263" s="776"/>
      <c r="F263" s="776"/>
      <c r="G263" s="776"/>
      <c r="H263" s="776"/>
      <c r="I263" s="776"/>
      <c r="J263" s="776"/>
      <c r="K263" s="776"/>
      <c r="L263" s="776"/>
      <c r="M263" s="776"/>
      <c r="N263" s="776"/>
      <c r="O263" s="776"/>
      <c r="P263" s="776"/>
    </row>
    <row r="264" spans="1:16">
      <c r="A264" s="793"/>
      <c r="B264" s="793"/>
      <c r="C264" s="793"/>
      <c r="D264" s="776"/>
      <c r="E264" s="776"/>
      <c r="F264" s="776"/>
      <c r="G264" s="776"/>
      <c r="H264" s="776"/>
      <c r="I264" s="776"/>
      <c r="J264" s="776"/>
      <c r="K264" s="776"/>
      <c r="L264" s="776"/>
      <c r="M264" s="776"/>
      <c r="N264" s="776"/>
      <c r="O264" s="776"/>
      <c r="P264" s="776"/>
    </row>
    <row r="265" spans="1:16">
      <c r="A265" s="793"/>
      <c r="B265" s="793"/>
      <c r="C265" s="793"/>
      <c r="D265" s="776"/>
      <c r="E265" s="776"/>
      <c r="F265" s="776"/>
      <c r="G265" s="776"/>
      <c r="H265" s="776"/>
      <c r="I265" s="776"/>
      <c r="J265" s="776"/>
      <c r="K265" s="776"/>
      <c r="L265" s="776"/>
      <c r="M265" s="776"/>
      <c r="N265" s="776"/>
      <c r="O265" s="776"/>
      <c r="P265" s="776"/>
    </row>
    <row r="266" spans="1:16">
      <c r="A266" s="793"/>
      <c r="B266" s="793"/>
      <c r="C266" s="793"/>
      <c r="D266" s="776"/>
      <c r="E266" s="776"/>
      <c r="F266" s="776"/>
      <c r="G266" s="776"/>
      <c r="H266" s="776"/>
      <c r="I266" s="776"/>
      <c r="J266" s="776"/>
      <c r="K266" s="776"/>
      <c r="L266" s="776"/>
      <c r="M266" s="776"/>
      <c r="N266" s="776"/>
      <c r="O266" s="776"/>
      <c r="P266" s="776"/>
    </row>
    <row r="267" spans="1:16">
      <c r="A267" s="793"/>
      <c r="B267" s="793"/>
      <c r="C267" s="793"/>
      <c r="D267" s="776"/>
      <c r="E267" s="776"/>
      <c r="F267" s="776"/>
      <c r="G267" s="776"/>
      <c r="H267" s="776"/>
      <c r="I267" s="776"/>
      <c r="J267" s="776"/>
      <c r="K267" s="776"/>
      <c r="L267" s="776"/>
      <c r="M267" s="776"/>
      <c r="N267" s="776"/>
      <c r="O267" s="776"/>
      <c r="P267" s="776"/>
    </row>
    <row r="268" spans="1:16">
      <c r="A268" s="793"/>
      <c r="B268" s="793"/>
      <c r="C268" s="793"/>
      <c r="D268" s="776"/>
      <c r="E268" s="776"/>
      <c r="F268" s="776"/>
      <c r="G268" s="776"/>
      <c r="H268" s="776"/>
      <c r="I268" s="776"/>
      <c r="J268" s="776"/>
      <c r="K268" s="776"/>
      <c r="L268" s="776"/>
      <c r="M268" s="776"/>
      <c r="N268" s="776"/>
      <c r="O268" s="776"/>
      <c r="P268" s="776"/>
    </row>
    <row r="269" spans="1:16">
      <c r="A269" s="793"/>
      <c r="B269" s="793"/>
      <c r="C269" s="793"/>
      <c r="D269" s="20"/>
      <c r="E269" s="20"/>
      <c r="F269" s="20"/>
      <c r="G269" s="20"/>
      <c r="H269" s="20"/>
      <c r="I269" s="20"/>
      <c r="J269" s="20"/>
      <c r="K269" s="17"/>
      <c r="L269" s="776"/>
      <c r="M269" s="776"/>
      <c r="N269" s="776"/>
      <c r="O269" s="776"/>
      <c r="P269" s="776"/>
    </row>
    <row r="270" spans="1:16">
      <c r="A270" s="793"/>
      <c r="B270" s="793"/>
      <c r="C270" s="793"/>
      <c r="D270" s="20"/>
      <c r="E270" s="20"/>
      <c r="F270" s="20"/>
      <c r="G270" s="20"/>
      <c r="H270" s="20"/>
      <c r="I270" s="20"/>
      <c r="J270" s="13"/>
      <c r="K270" s="776"/>
      <c r="L270" s="776"/>
      <c r="M270" s="776"/>
      <c r="N270" s="776"/>
      <c r="O270" s="776"/>
      <c r="P270" s="776"/>
    </row>
    <row r="271" spans="1:16">
      <c r="A271" s="793"/>
      <c r="B271" s="793"/>
      <c r="C271" s="793"/>
      <c r="D271" s="13"/>
      <c r="E271" s="13"/>
      <c r="F271" s="13"/>
      <c r="G271" s="13"/>
      <c r="H271" s="13"/>
      <c r="I271" s="13"/>
      <c r="J271" s="13"/>
      <c r="K271" s="776"/>
      <c r="L271" s="776"/>
      <c r="M271" s="776"/>
      <c r="N271" s="776"/>
      <c r="O271" s="776"/>
      <c r="P271" s="776"/>
    </row>
    <row r="272" spans="1:16">
      <c r="A272" s="793"/>
      <c r="B272" s="793"/>
      <c r="C272" s="793"/>
      <c r="D272" s="776"/>
      <c r="E272" s="776"/>
      <c r="F272" s="776"/>
      <c r="G272" s="776"/>
      <c r="H272" s="776"/>
      <c r="I272" s="776"/>
      <c r="J272" s="776"/>
      <c r="K272" s="776"/>
      <c r="L272" s="776"/>
      <c r="M272" s="776"/>
      <c r="N272" s="776"/>
      <c r="O272" s="776"/>
      <c r="P272" s="776"/>
    </row>
    <row r="273" spans="1:16">
      <c r="A273" s="793"/>
      <c r="B273" s="793"/>
      <c r="C273" s="793"/>
      <c r="D273" s="776"/>
      <c r="E273" s="776"/>
      <c r="F273" s="776"/>
      <c r="G273" s="776"/>
      <c r="H273" s="776"/>
      <c r="I273" s="776"/>
      <c r="J273" s="776"/>
      <c r="K273" s="776"/>
      <c r="L273" s="776"/>
      <c r="M273" s="776"/>
      <c r="N273" s="776"/>
      <c r="O273" s="776"/>
      <c r="P273" s="776"/>
    </row>
    <row r="274" spans="1:16">
      <c r="A274" s="793"/>
      <c r="B274" s="793"/>
      <c r="C274" s="793"/>
      <c r="D274" s="776"/>
      <c r="E274" s="776"/>
      <c r="F274" s="776"/>
      <c r="G274" s="776"/>
      <c r="H274" s="776"/>
      <c r="I274" s="776"/>
      <c r="J274" s="776"/>
      <c r="K274" s="776"/>
      <c r="L274" s="776"/>
      <c r="M274" s="776"/>
      <c r="N274" s="776"/>
      <c r="O274" s="776"/>
      <c r="P274" s="776"/>
    </row>
    <row r="275" spans="1:16">
      <c r="A275" s="793"/>
      <c r="B275" s="793"/>
      <c r="C275" s="793"/>
      <c r="D275" s="776"/>
      <c r="E275" s="776"/>
      <c r="F275" s="776"/>
      <c r="G275" s="776"/>
      <c r="H275" s="776"/>
      <c r="I275" s="776"/>
      <c r="J275" s="776"/>
      <c r="K275" s="776"/>
      <c r="L275" s="776"/>
      <c r="M275" s="776"/>
      <c r="N275" s="776"/>
      <c r="O275" s="776"/>
      <c r="P275" s="776"/>
    </row>
    <row r="276" spans="1:16">
      <c r="A276" s="793"/>
      <c r="B276" s="793"/>
      <c r="C276" s="793"/>
      <c r="D276" s="776"/>
      <c r="E276" s="776"/>
      <c r="F276" s="776"/>
      <c r="G276" s="776"/>
      <c r="H276" s="776"/>
      <c r="I276" s="776"/>
      <c r="J276" s="776"/>
      <c r="K276" s="776"/>
      <c r="L276" s="776"/>
      <c r="M276" s="776"/>
      <c r="N276" s="776"/>
      <c r="O276" s="776"/>
      <c r="P276" s="776"/>
    </row>
    <row r="277" spans="1:16">
      <c r="A277" s="793"/>
      <c r="B277" s="793"/>
      <c r="C277" s="793"/>
      <c r="D277" s="776"/>
      <c r="E277" s="776"/>
      <c r="F277" s="776"/>
      <c r="G277" s="776"/>
      <c r="H277" s="776"/>
      <c r="I277" s="776"/>
      <c r="J277" s="776"/>
      <c r="K277" s="776"/>
      <c r="L277" s="776"/>
      <c r="M277" s="776"/>
      <c r="N277" s="776"/>
      <c r="O277" s="776"/>
      <c r="P277" s="776"/>
    </row>
    <row r="278" spans="1:16">
      <c r="A278" s="793"/>
      <c r="B278" s="793"/>
      <c r="C278" s="793"/>
      <c r="D278" s="776"/>
      <c r="E278" s="776"/>
      <c r="F278" s="776"/>
      <c r="G278" s="776"/>
      <c r="H278" s="776"/>
      <c r="I278" s="776"/>
      <c r="J278" s="776"/>
      <c r="K278" s="776"/>
      <c r="L278" s="776"/>
      <c r="M278" s="776"/>
      <c r="N278" s="776"/>
      <c r="O278" s="776"/>
      <c r="P278" s="776"/>
    </row>
    <row r="279" spans="1:16">
      <c r="A279" s="793"/>
      <c r="B279" s="793"/>
      <c r="C279" s="793"/>
      <c r="D279" s="776"/>
      <c r="E279" s="776"/>
      <c r="F279" s="776"/>
      <c r="G279" s="776"/>
      <c r="H279" s="776"/>
      <c r="I279" s="776"/>
      <c r="J279" s="776"/>
      <c r="K279" s="776"/>
      <c r="L279" s="776"/>
      <c r="M279" s="776"/>
      <c r="N279" s="776"/>
      <c r="O279" s="776"/>
      <c r="P279" s="776"/>
    </row>
    <row r="280" spans="1:16">
      <c r="A280" s="793"/>
      <c r="B280" s="793"/>
      <c r="C280" s="793"/>
      <c r="D280" s="776"/>
      <c r="E280" s="776"/>
      <c r="F280" s="776"/>
      <c r="G280" s="776"/>
      <c r="H280" s="776"/>
      <c r="I280" s="776"/>
      <c r="J280" s="776"/>
      <c r="K280" s="776"/>
      <c r="L280" s="776"/>
      <c r="M280" s="776"/>
      <c r="N280" s="776"/>
      <c r="O280" s="776"/>
      <c r="P280" s="776"/>
    </row>
    <row r="281" spans="1:16">
      <c r="A281" s="793"/>
      <c r="B281" s="793"/>
      <c r="C281" s="793"/>
      <c r="D281" s="776"/>
      <c r="E281" s="776"/>
      <c r="F281" s="776"/>
      <c r="G281" s="776"/>
      <c r="H281" s="776"/>
      <c r="I281" s="776"/>
      <c r="J281" s="776"/>
      <c r="K281" s="776"/>
      <c r="L281" s="776"/>
      <c r="M281" s="776"/>
      <c r="N281" s="776"/>
      <c r="O281" s="776"/>
      <c r="P281" s="776"/>
    </row>
    <row r="282" spans="1:16">
      <c r="A282" s="793"/>
      <c r="B282" s="793"/>
      <c r="C282" s="793"/>
      <c r="D282" s="776"/>
      <c r="E282" s="776"/>
      <c r="F282" s="776"/>
      <c r="G282" s="776"/>
      <c r="H282" s="776"/>
      <c r="I282" s="776"/>
      <c r="J282" s="776"/>
      <c r="K282" s="776"/>
      <c r="L282" s="776"/>
      <c r="M282" s="776"/>
      <c r="N282" s="776"/>
      <c r="O282" s="776"/>
      <c r="P282" s="776"/>
    </row>
    <row r="283" spans="1:16">
      <c r="A283" s="793"/>
      <c r="B283" s="793"/>
      <c r="C283" s="793"/>
      <c r="D283" s="776"/>
      <c r="E283" s="776"/>
      <c r="F283" s="776"/>
      <c r="G283" s="776"/>
      <c r="H283" s="776"/>
      <c r="I283" s="776"/>
      <c r="J283" s="776"/>
      <c r="K283" s="776"/>
      <c r="L283" s="776"/>
      <c r="M283" s="776"/>
      <c r="N283" s="776"/>
      <c r="O283" s="776"/>
      <c r="P283" s="776"/>
    </row>
    <row r="284" spans="1:16">
      <c r="A284" s="793"/>
      <c r="B284" s="793"/>
      <c r="C284" s="793"/>
      <c r="D284" s="776"/>
      <c r="E284" s="776"/>
      <c r="F284" s="776"/>
      <c r="G284" s="776"/>
      <c r="H284" s="776"/>
      <c r="I284" s="776"/>
      <c r="J284" s="776"/>
      <c r="K284" s="776"/>
      <c r="L284" s="776"/>
      <c r="M284" s="776"/>
      <c r="N284" s="776"/>
      <c r="O284" s="776"/>
      <c r="P284" s="776"/>
    </row>
    <row r="285" spans="1:16">
      <c r="A285" s="793"/>
      <c r="B285" s="793"/>
      <c r="C285" s="793"/>
      <c r="D285" s="776"/>
      <c r="E285" s="776"/>
      <c r="F285" s="776"/>
      <c r="G285" s="776"/>
      <c r="H285" s="776"/>
      <c r="I285" s="776"/>
      <c r="J285" s="776"/>
      <c r="K285" s="776"/>
      <c r="L285" s="776"/>
      <c r="M285" s="776"/>
      <c r="N285" s="776"/>
      <c r="O285" s="776"/>
      <c r="P285" s="776"/>
    </row>
    <row r="286" spans="1:16">
      <c r="A286" s="793"/>
      <c r="B286" s="793"/>
      <c r="C286" s="793"/>
      <c r="D286" s="776"/>
      <c r="E286" s="776"/>
      <c r="F286" s="776"/>
      <c r="G286" s="776"/>
      <c r="H286" s="776"/>
      <c r="I286" s="776"/>
      <c r="J286" s="776"/>
      <c r="K286" s="776"/>
      <c r="L286" s="776"/>
      <c r="M286" s="776"/>
      <c r="N286" s="776"/>
      <c r="O286" s="776"/>
      <c r="P286" s="776"/>
    </row>
    <row r="287" spans="1:16">
      <c r="A287" s="793"/>
      <c r="B287" s="793"/>
      <c r="C287" s="793"/>
      <c r="D287" s="776"/>
      <c r="E287" s="776"/>
      <c r="F287" s="776"/>
      <c r="G287" s="776"/>
      <c r="H287" s="776"/>
      <c r="I287" s="776"/>
      <c r="J287" s="13"/>
      <c r="K287" s="776"/>
      <c r="L287" s="776"/>
      <c r="M287" s="776"/>
      <c r="N287" s="776"/>
      <c r="O287" s="776"/>
      <c r="P287" s="776"/>
    </row>
    <row r="288" spans="1:16">
      <c r="A288" s="793"/>
      <c r="B288" s="793"/>
      <c r="C288" s="793"/>
      <c r="D288" s="776"/>
      <c r="E288" s="776"/>
      <c r="F288" s="776"/>
      <c r="G288" s="776"/>
      <c r="H288" s="776"/>
      <c r="I288" s="776"/>
      <c r="J288" s="13"/>
      <c r="K288" s="776"/>
      <c r="L288" s="776"/>
      <c r="M288" s="776"/>
      <c r="N288" s="776"/>
      <c r="O288" s="776"/>
      <c r="P288" s="776"/>
    </row>
    <row r="289" spans="1:16">
      <c r="A289" s="793"/>
      <c r="B289" s="793"/>
      <c r="C289" s="793"/>
      <c r="D289" s="776"/>
      <c r="E289" s="776"/>
      <c r="F289" s="776"/>
      <c r="G289" s="776"/>
      <c r="H289" s="776"/>
      <c r="I289" s="776"/>
      <c r="J289" s="13"/>
      <c r="K289" s="776"/>
      <c r="L289" s="776"/>
      <c r="M289" s="776"/>
      <c r="N289" s="776"/>
      <c r="O289" s="776"/>
      <c r="P289" s="776"/>
    </row>
    <row r="290" spans="1:16">
      <c r="A290" s="793"/>
      <c r="B290" s="793"/>
      <c r="C290" s="793"/>
      <c r="D290" s="776"/>
      <c r="E290" s="776"/>
      <c r="F290" s="776"/>
      <c r="G290" s="776"/>
      <c r="H290" s="776"/>
      <c r="I290" s="776"/>
      <c r="J290" s="13"/>
      <c r="K290" s="776"/>
      <c r="L290" s="776"/>
      <c r="M290" s="776"/>
      <c r="N290" s="776"/>
      <c r="O290" s="776"/>
      <c r="P290" s="776"/>
    </row>
    <row r="291" spans="1:16">
      <c r="A291" s="793"/>
      <c r="B291" s="793"/>
      <c r="C291" s="793"/>
      <c r="D291" s="776"/>
      <c r="E291" s="776"/>
      <c r="F291" s="776"/>
      <c r="G291" s="776"/>
      <c r="H291" s="776"/>
      <c r="I291" s="776"/>
      <c r="J291" s="13"/>
      <c r="K291" s="776"/>
      <c r="L291" s="776"/>
      <c r="M291" s="776"/>
      <c r="N291" s="776"/>
      <c r="O291" s="776"/>
      <c r="P291" s="776"/>
    </row>
    <row r="292" spans="1:16">
      <c r="A292" s="793"/>
      <c r="B292" s="793"/>
      <c r="C292" s="793"/>
      <c r="D292" s="776"/>
      <c r="E292" s="776"/>
      <c r="F292" s="776"/>
      <c r="G292" s="776"/>
      <c r="H292" s="776"/>
      <c r="I292" s="776"/>
      <c r="J292" s="13"/>
      <c r="K292" s="776"/>
      <c r="L292" s="776"/>
      <c r="M292" s="776"/>
      <c r="N292" s="776"/>
      <c r="O292" s="776"/>
      <c r="P292" s="776"/>
    </row>
    <row r="293" spans="1:16">
      <c r="A293" s="793"/>
      <c r="B293" s="793"/>
      <c r="C293" s="793"/>
      <c r="D293" s="776"/>
      <c r="E293" s="776"/>
      <c r="F293" s="776"/>
      <c r="G293" s="776"/>
      <c r="H293" s="776"/>
      <c r="I293" s="776"/>
      <c r="J293" s="13"/>
      <c r="K293" s="776"/>
      <c r="L293" s="776"/>
      <c r="M293" s="776"/>
      <c r="N293" s="776"/>
      <c r="O293" s="776"/>
      <c r="P293" s="776"/>
    </row>
    <row r="294" spans="1:16">
      <c r="A294" s="793"/>
      <c r="B294" s="793"/>
      <c r="C294" s="793"/>
      <c r="D294" s="776"/>
      <c r="E294" s="776"/>
      <c r="F294" s="776"/>
      <c r="G294" s="776"/>
      <c r="H294" s="776"/>
      <c r="I294" s="776"/>
      <c r="J294" s="13"/>
      <c r="K294" s="776"/>
      <c r="L294" s="776"/>
      <c r="M294" s="776"/>
      <c r="N294" s="776"/>
      <c r="O294" s="776"/>
      <c r="P294" s="776"/>
    </row>
    <row r="295" spans="1:16">
      <c r="A295" s="793"/>
      <c r="B295" s="793"/>
      <c r="C295" s="793"/>
      <c r="D295" s="776"/>
      <c r="E295" s="776"/>
      <c r="F295" s="776"/>
      <c r="G295" s="776"/>
      <c r="H295" s="776"/>
      <c r="I295" s="776"/>
      <c r="J295" s="13"/>
      <c r="K295" s="776"/>
      <c r="L295" s="776"/>
      <c r="M295" s="776"/>
      <c r="N295" s="776"/>
      <c r="O295" s="776"/>
      <c r="P295" s="776"/>
    </row>
    <row r="296" spans="1:16">
      <c r="A296" s="793"/>
      <c r="B296" s="793"/>
      <c r="C296" s="793"/>
      <c r="D296" s="776"/>
      <c r="E296" s="776"/>
      <c r="F296" s="776"/>
      <c r="G296" s="776"/>
      <c r="H296" s="776"/>
      <c r="I296" s="776"/>
      <c r="J296" s="13"/>
      <c r="K296" s="776"/>
      <c r="L296" s="776"/>
      <c r="M296" s="776"/>
      <c r="N296" s="776"/>
      <c r="O296" s="776"/>
      <c r="P296" s="776"/>
    </row>
    <row r="297" spans="1:16">
      <c r="A297" s="793"/>
      <c r="B297" s="793"/>
      <c r="C297" s="793"/>
      <c r="D297" s="776"/>
      <c r="E297" s="776"/>
      <c r="F297" s="776"/>
      <c r="G297" s="776"/>
      <c r="H297" s="776"/>
      <c r="I297" s="776"/>
      <c r="J297" s="13"/>
      <c r="K297" s="776"/>
      <c r="L297" s="776"/>
      <c r="M297" s="776"/>
      <c r="N297" s="776"/>
      <c r="O297" s="776"/>
      <c r="P297" s="776"/>
    </row>
    <row r="298" spans="1:16">
      <c r="A298" s="793"/>
      <c r="B298" s="793"/>
      <c r="C298" s="793"/>
      <c r="D298" s="776"/>
      <c r="E298" s="776"/>
      <c r="F298" s="776"/>
      <c r="G298" s="776"/>
      <c r="H298" s="776"/>
      <c r="I298" s="776"/>
      <c r="J298" s="13"/>
      <c r="K298" s="776"/>
      <c r="L298" s="776"/>
      <c r="M298" s="776"/>
      <c r="N298" s="776"/>
      <c r="O298" s="776"/>
      <c r="P298" s="776"/>
    </row>
    <row r="299" spans="1:16">
      <c r="A299" s="793"/>
      <c r="B299" s="793"/>
      <c r="C299" s="793"/>
      <c r="D299" s="776"/>
      <c r="E299" s="776"/>
      <c r="F299" s="776"/>
      <c r="G299" s="776"/>
      <c r="H299" s="776"/>
      <c r="I299" s="776"/>
      <c r="J299" s="13"/>
      <c r="K299" s="776"/>
      <c r="L299" s="776"/>
      <c r="M299" s="776"/>
      <c r="N299" s="776"/>
      <c r="O299" s="776"/>
      <c r="P299" s="776"/>
    </row>
    <row r="300" spans="1:16">
      <c r="A300" s="793"/>
      <c r="B300" s="793"/>
      <c r="C300" s="793"/>
      <c r="D300" s="776"/>
      <c r="E300" s="776"/>
      <c r="F300" s="776"/>
      <c r="G300" s="776"/>
      <c r="H300" s="776"/>
      <c r="I300" s="776"/>
      <c r="J300" s="13"/>
      <c r="K300" s="776"/>
      <c r="L300" s="776"/>
      <c r="M300" s="776"/>
      <c r="N300" s="776"/>
      <c r="O300" s="776"/>
      <c r="P300" s="776"/>
    </row>
    <row r="301" spans="1:16">
      <c r="A301" s="793"/>
      <c r="B301" s="793"/>
      <c r="C301" s="793"/>
      <c r="D301" s="776"/>
      <c r="E301" s="776"/>
      <c r="F301" s="776"/>
      <c r="G301" s="776"/>
      <c r="H301" s="776"/>
      <c r="I301" s="776"/>
      <c r="J301" s="13"/>
      <c r="K301" s="776"/>
      <c r="L301" s="776"/>
      <c r="M301" s="776"/>
      <c r="N301" s="776"/>
      <c r="O301" s="776"/>
      <c r="P301" s="776"/>
    </row>
    <row r="302" spans="1:16">
      <c r="A302" s="793"/>
      <c r="B302" s="793"/>
      <c r="C302" s="793"/>
      <c r="D302" s="776"/>
      <c r="E302" s="776"/>
      <c r="F302" s="776"/>
      <c r="G302" s="776"/>
      <c r="H302" s="776"/>
      <c r="I302" s="776"/>
      <c r="J302" s="13"/>
      <c r="K302" s="776"/>
      <c r="L302" s="776"/>
      <c r="M302" s="776"/>
      <c r="N302" s="776"/>
      <c r="O302" s="776"/>
      <c r="P302" s="776"/>
    </row>
    <row r="303" spans="1:16">
      <c r="A303" s="793"/>
      <c r="B303" s="793"/>
      <c r="C303" s="793"/>
      <c r="D303" s="776"/>
      <c r="E303" s="776"/>
      <c r="F303" s="776"/>
      <c r="G303" s="776"/>
      <c r="H303" s="776"/>
      <c r="I303" s="776"/>
      <c r="J303" s="13"/>
      <c r="K303" s="776"/>
      <c r="L303" s="776"/>
      <c r="M303" s="776"/>
      <c r="N303" s="776"/>
      <c r="O303" s="776"/>
      <c r="P303" s="776"/>
    </row>
    <row r="304" spans="1:16">
      <c r="A304" s="793"/>
      <c r="B304" s="793"/>
      <c r="C304" s="793"/>
      <c r="D304" s="776"/>
      <c r="E304" s="776"/>
      <c r="F304" s="776"/>
      <c r="G304" s="776"/>
      <c r="H304" s="776"/>
      <c r="I304" s="776"/>
      <c r="J304" s="13"/>
      <c r="K304" s="776"/>
      <c r="L304" s="776"/>
      <c r="M304" s="776"/>
      <c r="N304" s="776"/>
      <c r="O304" s="776"/>
      <c r="P304" s="776"/>
    </row>
    <row r="305" spans="1:16">
      <c r="A305" s="793"/>
      <c r="B305" s="793"/>
      <c r="C305" s="793"/>
      <c r="D305" s="776"/>
      <c r="E305" s="776"/>
      <c r="F305" s="776"/>
      <c r="G305" s="776"/>
      <c r="H305" s="776"/>
      <c r="I305" s="776"/>
      <c r="J305" s="13"/>
      <c r="K305" s="776"/>
      <c r="L305" s="776"/>
      <c r="M305" s="776"/>
      <c r="N305" s="776"/>
      <c r="O305" s="776"/>
      <c r="P305" s="776"/>
    </row>
    <row r="306" spans="1:16">
      <c r="A306" s="793"/>
      <c r="B306" s="793"/>
      <c r="C306" s="793"/>
      <c r="D306" s="776"/>
      <c r="E306" s="776"/>
      <c r="F306" s="776"/>
      <c r="G306" s="776"/>
      <c r="H306" s="776"/>
      <c r="I306" s="776"/>
      <c r="J306" s="13"/>
      <c r="K306" s="776"/>
      <c r="L306" s="776"/>
      <c r="M306" s="776"/>
      <c r="N306" s="776"/>
      <c r="O306" s="776"/>
      <c r="P306" s="776"/>
    </row>
    <row r="307" spans="1:16">
      <c r="A307" s="793"/>
      <c r="B307" s="793"/>
      <c r="C307" s="793"/>
      <c r="D307" s="776"/>
      <c r="E307" s="776"/>
      <c r="F307" s="776"/>
      <c r="G307" s="776"/>
      <c r="H307" s="776"/>
      <c r="I307" s="776"/>
      <c r="J307" s="13"/>
      <c r="K307" s="776"/>
      <c r="L307" s="776"/>
      <c r="M307" s="776"/>
      <c r="N307" s="776"/>
      <c r="O307" s="776"/>
      <c r="P307" s="776"/>
    </row>
    <row r="308" spans="1:16">
      <c r="A308" s="793"/>
      <c r="B308" s="793"/>
      <c r="C308" s="793"/>
      <c r="D308" s="776"/>
      <c r="E308" s="776"/>
      <c r="F308" s="776"/>
      <c r="G308" s="776"/>
      <c r="H308" s="776"/>
      <c r="I308" s="776"/>
      <c r="J308" s="13"/>
      <c r="K308" s="776"/>
      <c r="L308" s="776"/>
      <c r="M308" s="776"/>
      <c r="N308" s="776"/>
      <c r="O308" s="776"/>
      <c r="P308" s="776"/>
    </row>
    <row r="309" spans="1:16">
      <c r="A309" s="793"/>
      <c r="B309" s="793"/>
      <c r="C309" s="793"/>
      <c r="D309" s="776"/>
      <c r="E309" s="776"/>
      <c r="F309" s="776"/>
      <c r="G309" s="776"/>
      <c r="H309" s="776"/>
      <c r="I309" s="776"/>
      <c r="J309" s="13"/>
      <c r="K309" s="776"/>
      <c r="L309" s="776"/>
      <c r="M309" s="776"/>
      <c r="N309" s="776"/>
      <c r="O309" s="776"/>
      <c r="P309" s="776"/>
    </row>
    <row r="310" spans="1:16">
      <c r="A310" s="793"/>
      <c r="B310" s="793"/>
      <c r="C310" s="793"/>
      <c r="D310" s="776"/>
      <c r="E310" s="776"/>
      <c r="F310" s="776"/>
      <c r="G310" s="776"/>
      <c r="H310" s="776"/>
      <c r="I310" s="776"/>
      <c r="J310" s="13"/>
      <c r="K310" s="776"/>
      <c r="L310" s="776"/>
      <c r="M310" s="776"/>
      <c r="N310" s="776"/>
      <c r="O310" s="776"/>
      <c r="P310" s="776"/>
    </row>
    <row r="311" spans="1:16">
      <c r="A311" s="793"/>
      <c r="B311" s="793"/>
      <c r="C311" s="793"/>
      <c r="D311" s="776"/>
      <c r="E311" s="776"/>
      <c r="F311" s="776"/>
      <c r="G311" s="776"/>
      <c r="H311" s="776"/>
      <c r="I311" s="776"/>
      <c r="J311" s="13"/>
      <c r="K311" s="776"/>
      <c r="L311" s="776"/>
      <c r="M311" s="776"/>
      <c r="N311" s="776"/>
      <c r="O311" s="776"/>
      <c r="P311" s="776"/>
    </row>
    <row r="312" spans="1:16">
      <c r="A312" s="793"/>
      <c r="B312" s="793"/>
      <c r="C312" s="793"/>
      <c r="D312" s="776"/>
      <c r="E312" s="776"/>
      <c r="F312" s="776"/>
      <c r="G312" s="776"/>
      <c r="H312" s="776"/>
      <c r="I312" s="776"/>
      <c r="J312" s="13"/>
      <c r="K312" s="776"/>
      <c r="L312" s="776"/>
      <c r="M312" s="776"/>
      <c r="N312" s="776"/>
      <c r="O312" s="776"/>
      <c r="P312" s="776"/>
    </row>
    <row r="313" spans="1:16">
      <c r="A313" s="793"/>
      <c r="B313" s="793"/>
      <c r="C313" s="793"/>
      <c r="D313" s="776"/>
      <c r="E313" s="776"/>
      <c r="F313" s="776"/>
      <c r="G313" s="776"/>
      <c r="H313" s="776"/>
      <c r="I313" s="776"/>
      <c r="J313" s="13"/>
      <c r="K313" s="776"/>
      <c r="L313" s="776"/>
      <c r="M313" s="776"/>
      <c r="N313" s="776"/>
      <c r="O313" s="776"/>
      <c r="P313" s="776"/>
    </row>
    <row r="314" spans="1:16">
      <c r="A314" s="793"/>
      <c r="B314" s="793"/>
      <c r="C314" s="793"/>
      <c r="D314" s="776"/>
      <c r="E314" s="776"/>
      <c r="F314" s="776"/>
      <c r="G314" s="776"/>
      <c r="H314" s="776"/>
      <c r="I314" s="776"/>
      <c r="J314" s="13"/>
      <c r="K314" s="776"/>
      <c r="L314" s="776"/>
      <c r="M314" s="776"/>
      <c r="N314" s="776"/>
      <c r="O314" s="776"/>
      <c r="P314" s="776"/>
    </row>
    <row r="315" spans="1:16">
      <c r="A315" s="793"/>
      <c r="B315" s="793"/>
      <c r="C315" s="793"/>
      <c r="D315" s="776"/>
      <c r="E315" s="776"/>
      <c r="F315" s="776"/>
      <c r="G315" s="776"/>
      <c r="H315" s="776"/>
      <c r="I315" s="776"/>
      <c r="J315" s="13"/>
      <c r="K315" s="776"/>
      <c r="L315" s="776"/>
      <c r="M315" s="776"/>
      <c r="N315" s="776"/>
      <c r="O315" s="776"/>
      <c r="P315" s="776"/>
    </row>
    <row r="316" spans="1:16">
      <c r="A316" s="793"/>
      <c r="B316" s="793"/>
      <c r="C316" s="793"/>
      <c r="D316" s="776"/>
      <c r="E316" s="776"/>
      <c r="F316" s="776"/>
      <c r="G316" s="776"/>
      <c r="H316" s="776"/>
      <c r="I316" s="776"/>
      <c r="J316" s="13"/>
      <c r="K316" s="776"/>
      <c r="L316" s="776"/>
      <c r="M316" s="776"/>
      <c r="N316" s="776"/>
      <c r="O316" s="776"/>
      <c r="P316" s="776"/>
    </row>
    <row r="317" spans="1:16">
      <c r="A317" s="793"/>
      <c r="B317" s="793"/>
      <c r="C317" s="793"/>
      <c r="D317" s="776"/>
      <c r="E317" s="776"/>
      <c r="F317" s="776"/>
      <c r="G317" s="776"/>
      <c r="H317" s="776"/>
      <c r="I317" s="776"/>
      <c r="J317" s="13"/>
      <c r="K317" s="776"/>
      <c r="L317" s="776"/>
      <c r="M317" s="776"/>
      <c r="N317" s="776"/>
      <c r="O317" s="776"/>
      <c r="P317" s="776"/>
    </row>
    <row r="318" spans="1:16">
      <c r="A318" s="793"/>
      <c r="B318" s="793"/>
      <c r="C318" s="793"/>
      <c r="D318" s="776"/>
      <c r="E318" s="776"/>
      <c r="F318" s="776"/>
      <c r="G318" s="776"/>
      <c r="H318" s="776"/>
      <c r="I318" s="776"/>
      <c r="J318" s="13"/>
      <c r="K318" s="776"/>
      <c r="L318" s="776"/>
      <c r="M318" s="776"/>
      <c r="N318" s="776"/>
      <c r="O318" s="776"/>
      <c r="P318" s="776"/>
    </row>
    <row r="319" spans="1:16">
      <c r="A319" s="793"/>
      <c r="B319" s="793"/>
      <c r="C319" s="793"/>
      <c r="D319" s="776"/>
      <c r="E319" s="776"/>
      <c r="F319" s="776"/>
      <c r="G319" s="776"/>
      <c r="H319" s="776"/>
      <c r="I319" s="776"/>
      <c r="J319" s="13"/>
      <c r="K319" s="776"/>
      <c r="L319" s="776"/>
      <c r="M319" s="776"/>
      <c r="N319" s="776"/>
      <c r="O319" s="776"/>
      <c r="P319" s="776"/>
    </row>
    <row r="320" spans="1:16">
      <c r="A320" s="793"/>
      <c r="B320" s="793"/>
      <c r="C320" s="793"/>
      <c r="D320" s="776"/>
      <c r="E320" s="776"/>
      <c r="F320" s="776"/>
      <c r="G320" s="776"/>
      <c r="H320" s="776"/>
      <c r="I320" s="776"/>
      <c r="J320" s="13"/>
      <c r="K320" s="776"/>
      <c r="L320" s="776"/>
      <c r="M320" s="776"/>
      <c r="N320" s="776"/>
      <c r="O320" s="776"/>
      <c r="P320" s="776"/>
    </row>
    <row r="321" spans="1:16">
      <c r="A321" s="793"/>
      <c r="B321" s="793"/>
      <c r="C321" s="793"/>
      <c r="D321" s="776"/>
      <c r="E321" s="776"/>
      <c r="F321" s="776"/>
      <c r="G321" s="776"/>
      <c r="H321" s="776"/>
      <c r="I321" s="776"/>
      <c r="J321" s="13"/>
      <c r="K321" s="776"/>
      <c r="L321" s="776"/>
      <c r="M321" s="776"/>
      <c r="N321" s="776"/>
      <c r="O321" s="776"/>
      <c r="P321" s="776"/>
    </row>
    <row r="322" spans="1:16">
      <c r="A322" s="793"/>
      <c r="B322" s="793"/>
      <c r="C322" s="793"/>
      <c r="D322" s="776"/>
      <c r="E322" s="776"/>
      <c r="F322" s="776"/>
      <c r="G322" s="776"/>
      <c r="H322" s="776"/>
      <c r="I322" s="776"/>
      <c r="J322" s="13"/>
      <c r="K322" s="776"/>
      <c r="L322" s="776"/>
      <c r="M322" s="776"/>
      <c r="N322" s="776"/>
      <c r="O322" s="776"/>
      <c r="P322" s="776"/>
    </row>
    <row r="323" spans="1:16">
      <c r="A323" s="793"/>
      <c r="B323" s="793"/>
      <c r="C323" s="793"/>
      <c r="D323" s="776"/>
      <c r="E323" s="776"/>
      <c r="F323" s="776"/>
      <c r="G323" s="776"/>
      <c r="H323" s="776"/>
      <c r="I323" s="776"/>
      <c r="J323" s="13"/>
      <c r="K323" s="776"/>
      <c r="L323" s="776"/>
      <c r="M323" s="776"/>
      <c r="N323" s="776"/>
      <c r="O323" s="776"/>
      <c r="P323" s="776"/>
    </row>
    <row r="324" spans="1:16">
      <c r="A324" s="793"/>
      <c r="B324" s="793"/>
      <c r="C324" s="793"/>
      <c r="D324" s="776"/>
      <c r="E324" s="776"/>
      <c r="F324" s="776"/>
      <c r="G324" s="776"/>
      <c r="H324" s="776"/>
      <c r="I324" s="776"/>
      <c r="J324" s="13"/>
      <c r="K324" s="776"/>
      <c r="L324" s="776"/>
      <c r="M324" s="776"/>
      <c r="N324" s="776"/>
      <c r="O324" s="776"/>
      <c r="P324" s="776"/>
    </row>
    <row r="325" spans="1:16">
      <c r="A325" s="793"/>
      <c r="B325" s="793"/>
      <c r="C325" s="793"/>
      <c r="D325" s="776"/>
      <c r="E325" s="776"/>
      <c r="F325" s="776"/>
      <c r="G325" s="776"/>
      <c r="H325" s="776"/>
      <c r="I325" s="776"/>
      <c r="J325" s="13"/>
      <c r="K325" s="776"/>
      <c r="L325" s="776"/>
      <c r="M325" s="776"/>
      <c r="N325" s="776"/>
      <c r="O325" s="776"/>
      <c r="P325" s="776"/>
    </row>
    <row r="326" spans="1:16">
      <c r="A326" s="793"/>
      <c r="B326" s="793"/>
      <c r="C326" s="793"/>
      <c r="D326" s="776"/>
      <c r="E326" s="776"/>
      <c r="F326" s="776"/>
      <c r="G326" s="776"/>
      <c r="H326" s="776"/>
      <c r="I326" s="776"/>
      <c r="J326" s="13"/>
      <c r="K326" s="776"/>
      <c r="L326" s="776"/>
      <c r="M326" s="776"/>
      <c r="N326" s="776"/>
      <c r="O326" s="776"/>
      <c r="P326" s="776"/>
    </row>
    <row r="327" spans="1:16">
      <c r="A327" s="793"/>
      <c r="B327" s="793"/>
      <c r="C327" s="793"/>
      <c r="D327" s="776"/>
      <c r="E327" s="776"/>
      <c r="F327" s="776"/>
      <c r="G327" s="776"/>
      <c r="H327" s="776"/>
      <c r="I327" s="776"/>
      <c r="J327" s="13"/>
      <c r="K327" s="776"/>
      <c r="L327" s="776"/>
      <c r="M327" s="776"/>
      <c r="N327" s="776"/>
      <c r="O327" s="776"/>
      <c r="P327" s="776"/>
    </row>
    <row r="328" spans="1:16">
      <c r="A328" s="793"/>
      <c r="B328" s="793"/>
      <c r="C328" s="793"/>
      <c r="D328" s="776"/>
      <c r="E328" s="776"/>
      <c r="F328" s="776"/>
      <c r="G328" s="776"/>
      <c r="H328" s="776"/>
      <c r="I328" s="776"/>
      <c r="J328" s="13"/>
      <c r="K328" s="776"/>
      <c r="L328" s="776"/>
      <c r="M328" s="776"/>
      <c r="N328" s="776"/>
      <c r="O328" s="776"/>
      <c r="P328" s="776"/>
    </row>
    <row r="329" spans="1:16">
      <c r="A329" s="793"/>
      <c r="B329" s="793"/>
      <c r="C329" s="793"/>
      <c r="D329" s="776"/>
      <c r="E329" s="776"/>
      <c r="F329" s="776"/>
      <c r="G329" s="776"/>
      <c r="H329" s="776"/>
      <c r="I329" s="776"/>
      <c r="J329" s="13"/>
      <c r="K329" s="776"/>
      <c r="L329" s="776"/>
      <c r="M329" s="776"/>
      <c r="N329" s="776"/>
      <c r="O329" s="776"/>
      <c r="P329" s="776"/>
    </row>
    <row r="330" spans="1:16">
      <c r="A330" s="793"/>
      <c r="B330" s="793"/>
      <c r="C330" s="793"/>
      <c r="D330" s="776"/>
      <c r="E330" s="776"/>
      <c r="F330" s="776"/>
      <c r="G330" s="776"/>
      <c r="H330" s="776"/>
      <c r="I330" s="776"/>
      <c r="J330" s="13"/>
      <c r="K330" s="776"/>
      <c r="L330" s="776"/>
      <c r="M330" s="776"/>
      <c r="N330" s="776"/>
      <c r="O330" s="776"/>
      <c r="P330" s="776"/>
    </row>
    <row r="331" spans="1:16">
      <c r="A331" s="793"/>
      <c r="B331" s="793"/>
      <c r="C331" s="793"/>
      <c r="D331" s="776"/>
      <c r="E331" s="776"/>
      <c r="F331" s="776"/>
      <c r="G331" s="776"/>
      <c r="H331" s="776"/>
      <c r="I331" s="776"/>
      <c r="J331" s="13"/>
      <c r="K331" s="776"/>
      <c r="L331" s="776"/>
      <c r="M331" s="776"/>
      <c r="N331" s="776"/>
      <c r="O331" s="776"/>
      <c r="P331" s="776"/>
    </row>
    <row r="332" spans="1:16">
      <c r="A332" s="793"/>
      <c r="B332" s="793"/>
      <c r="C332" s="793"/>
      <c r="D332" s="776"/>
      <c r="E332" s="776"/>
      <c r="F332" s="776"/>
      <c r="G332" s="776"/>
      <c r="H332" s="776"/>
      <c r="I332" s="776"/>
      <c r="J332" s="13"/>
      <c r="K332" s="776"/>
      <c r="L332" s="776"/>
      <c r="M332" s="776"/>
      <c r="N332" s="776"/>
      <c r="O332" s="776"/>
      <c r="P332" s="776"/>
    </row>
    <row r="333" spans="1:16">
      <c r="A333" s="793"/>
      <c r="B333" s="793"/>
      <c r="C333" s="793"/>
      <c r="D333" s="776"/>
      <c r="E333" s="776"/>
      <c r="F333" s="776"/>
      <c r="G333" s="776"/>
      <c r="H333" s="776"/>
      <c r="I333" s="776"/>
      <c r="J333" s="13"/>
      <c r="K333" s="776"/>
      <c r="L333" s="776"/>
      <c r="M333" s="776"/>
      <c r="N333" s="776"/>
      <c r="O333" s="776"/>
      <c r="P333" s="776"/>
    </row>
    <row r="334" spans="1:16">
      <c r="A334" s="793"/>
      <c r="B334" s="793"/>
      <c r="C334" s="793"/>
      <c r="D334" s="776"/>
      <c r="E334" s="776"/>
      <c r="F334" s="776"/>
      <c r="G334" s="776"/>
      <c r="H334" s="776"/>
      <c r="I334" s="776"/>
      <c r="J334" s="13"/>
      <c r="K334" s="776"/>
      <c r="L334" s="776"/>
      <c r="M334" s="776"/>
      <c r="N334" s="776"/>
      <c r="O334" s="776"/>
      <c r="P334" s="776"/>
    </row>
    <row r="335" spans="1:16">
      <c r="A335" s="793"/>
      <c r="B335" s="793"/>
      <c r="C335" s="793"/>
      <c r="D335" s="776"/>
      <c r="E335" s="776"/>
      <c r="F335" s="776"/>
      <c r="G335" s="776"/>
      <c r="H335" s="776"/>
      <c r="I335" s="776"/>
      <c r="J335" s="13"/>
      <c r="K335" s="776"/>
      <c r="L335" s="776"/>
      <c r="M335" s="776"/>
      <c r="N335" s="776"/>
      <c r="O335" s="776"/>
      <c r="P335" s="776"/>
    </row>
    <row r="336" spans="1:16">
      <c r="A336" s="793"/>
      <c r="B336" s="793"/>
      <c r="C336" s="793"/>
      <c r="D336" s="776"/>
      <c r="E336" s="776"/>
      <c r="F336" s="776"/>
      <c r="G336" s="776"/>
      <c r="H336" s="776"/>
      <c r="I336" s="776"/>
      <c r="J336" s="13"/>
      <c r="K336" s="776"/>
      <c r="L336" s="776"/>
      <c r="M336" s="776"/>
      <c r="N336" s="776"/>
      <c r="O336" s="776"/>
      <c r="P336" s="776"/>
    </row>
    <row r="337" spans="1:16">
      <c r="A337" s="793"/>
      <c r="B337" s="793"/>
      <c r="C337" s="793"/>
      <c r="D337" s="776"/>
      <c r="E337" s="776"/>
      <c r="F337" s="776"/>
      <c r="G337" s="776"/>
      <c r="H337" s="776"/>
      <c r="I337" s="776"/>
      <c r="J337" s="13"/>
      <c r="K337" s="776"/>
      <c r="L337" s="776"/>
      <c r="M337" s="776"/>
      <c r="N337" s="776"/>
      <c r="O337" s="776"/>
      <c r="P337" s="776"/>
    </row>
    <row r="338" spans="1:16">
      <c r="A338" s="793"/>
      <c r="B338" s="793"/>
      <c r="C338" s="793"/>
      <c r="D338" s="776"/>
      <c r="E338" s="776"/>
      <c r="F338" s="776"/>
      <c r="G338" s="776"/>
      <c r="H338" s="776"/>
      <c r="I338" s="776"/>
      <c r="J338" s="13"/>
      <c r="K338" s="776"/>
      <c r="L338" s="776"/>
      <c r="M338" s="776"/>
      <c r="N338" s="776"/>
      <c r="O338" s="776"/>
      <c r="P338" s="776"/>
    </row>
    <row r="339" spans="1:16">
      <c r="A339" s="793"/>
      <c r="B339" s="793"/>
      <c r="C339" s="793"/>
      <c r="D339" s="776"/>
      <c r="E339" s="776"/>
      <c r="F339" s="776"/>
      <c r="G339" s="776"/>
      <c r="H339" s="776"/>
      <c r="I339" s="776"/>
      <c r="J339" s="13"/>
      <c r="K339" s="776"/>
      <c r="L339" s="776"/>
      <c r="M339" s="776"/>
      <c r="N339" s="776"/>
      <c r="O339" s="776"/>
      <c r="P339" s="776"/>
    </row>
    <row r="340" spans="1:16">
      <c r="A340" s="793"/>
      <c r="B340" s="793"/>
      <c r="C340" s="793"/>
      <c r="D340" s="776"/>
      <c r="E340" s="776"/>
      <c r="F340" s="776"/>
      <c r="G340" s="776"/>
      <c r="H340" s="776"/>
      <c r="I340" s="776"/>
      <c r="J340" s="13"/>
      <c r="K340" s="776"/>
      <c r="L340" s="776"/>
      <c r="M340" s="776"/>
      <c r="N340" s="776"/>
      <c r="O340" s="776"/>
      <c r="P340" s="776"/>
    </row>
    <row r="341" spans="1:16">
      <c r="A341" s="793"/>
      <c r="B341" s="793"/>
      <c r="C341" s="793"/>
      <c r="D341" s="776"/>
      <c r="E341" s="776"/>
      <c r="F341" s="776"/>
      <c r="G341" s="776"/>
      <c r="H341" s="776"/>
      <c r="I341" s="776"/>
      <c r="J341" s="13"/>
      <c r="K341" s="776"/>
      <c r="L341" s="776"/>
      <c r="M341" s="776"/>
      <c r="N341" s="776"/>
      <c r="O341" s="776"/>
      <c r="P341" s="776"/>
    </row>
    <row r="342" spans="1:16">
      <c r="A342" s="793"/>
      <c r="B342" s="793"/>
      <c r="C342" s="793"/>
      <c r="D342" s="776"/>
      <c r="E342" s="776"/>
      <c r="F342" s="776"/>
      <c r="G342" s="776"/>
      <c r="H342" s="776"/>
      <c r="I342" s="776"/>
      <c r="J342" s="13"/>
      <c r="K342" s="776"/>
      <c r="L342" s="776"/>
      <c r="M342" s="776"/>
      <c r="N342" s="776"/>
      <c r="O342" s="776"/>
      <c r="P342" s="776"/>
    </row>
    <row r="343" spans="1:16">
      <c r="A343" s="793"/>
      <c r="B343" s="793"/>
      <c r="C343" s="793"/>
      <c r="D343" s="776"/>
      <c r="E343" s="776"/>
      <c r="F343" s="776"/>
      <c r="G343" s="776"/>
      <c r="H343" s="776"/>
      <c r="I343" s="776"/>
      <c r="J343" s="13"/>
      <c r="K343" s="776"/>
      <c r="L343" s="776"/>
      <c r="M343" s="776"/>
      <c r="N343" s="776"/>
      <c r="O343" s="776"/>
      <c r="P343" s="776"/>
    </row>
    <row r="344" spans="1:16">
      <c r="A344" s="793"/>
      <c r="B344" s="793"/>
      <c r="C344" s="793"/>
      <c r="D344" s="776"/>
      <c r="E344" s="776"/>
      <c r="F344" s="776"/>
      <c r="G344" s="776"/>
      <c r="H344" s="776"/>
      <c r="I344" s="776"/>
      <c r="J344" s="13"/>
      <c r="K344" s="776"/>
      <c r="L344" s="776"/>
      <c r="M344" s="776"/>
      <c r="N344" s="776"/>
      <c r="O344" s="776"/>
      <c r="P344" s="776"/>
    </row>
    <row r="345" spans="1:16">
      <c r="A345" s="793"/>
      <c r="B345" s="793"/>
      <c r="C345" s="793"/>
      <c r="D345" s="776"/>
      <c r="E345" s="776"/>
      <c r="F345" s="776"/>
      <c r="G345" s="776"/>
      <c r="H345" s="776"/>
      <c r="I345" s="776"/>
      <c r="J345" s="13"/>
      <c r="K345" s="776"/>
      <c r="L345" s="776"/>
      <c r="M345" s="776"/>
      <c r="N345" s="776"/>
      <c r="O345" s="776"/>
      <c r="P345" s="776"/>
    </row>
    <row r="346" spans="1:16">
      <c r="A346" s="793"/>
      <c r="B346" s="793"/>
      <c r="C346" s="793"/>
      <c r="D346" s="776"/>
      <c r="E346" s="776"/>
      <c r="F346" s="776"/>
      <c r="G346" s="776"/>
      <c r="H346" s="776"/>
      <c r="I346" s="776"/>
      <c r="J346" s="13"/>
      <c r="K346" s="776"/>
      <c r="L346" s="776"/>
      <c r="M346" s="776"/>
      <c r="N346" s="776"/>
      <c r="O346" s="776"/>
      <c r="P346" s="776"/>
    </row>
    <row r="347" spans="1:16">
      <c r="A347" s="793"/>
      <c r="B347" s="793"/>
      <c r="C347" s="793"/>
      <c r="D347" s="776"/>
      <c r="E347" s="776"/>
      <c r="F347" s="776"/>
      <c r="G347" s="776"/>
      <c r="H347" s="776"/>
      <c r="I347" s="776"/>
      <c r="J347" s="13"/>
      <c r="K347" s="776"/>
      <c r="L347" s="776"/>
      <c r="M347" s="776"/>
      <c r="N347" s="776"/>
      <c r="O347" s="776"/>
      <c r="P347" s="776"/>
    </row>
    <row r="348" spans="1:16">
      <c r="A348" s="793"/>
      <c r="B348" s="793"/>
      <c r="C348" s="793"/>
      <c r="D348" s="776"/>
      <c r="E348" s="776"/>
      <c r="F348" s="776"/>
      <c r="G348" s="776"/>
      <c r="H348" s="776"/>
      <c r="I348" s="776"/>
      <c r="J348" s="13"/>
      <c r="K348" s="776"/>
      <c r="L348" s="776"/>
      <c r="M348" s="776"/>
      <c r="N348" s="776"/>
      <c r="O348" s="776"/>
      <c r="P348" s="776"/>
    </row>
    <row r="349" spans="1:16">
      <c r="A349" s="793"/>
      <c r="B349" s="793"/>
      <c r="C349" s="793"/>
      <c r="D349" s="776"/>
      <c r="E349" s="776"/>
      <c r="F349" s="776"/>
      <c r="G349" s="776"/>
      <c r="H349" s="776"/>
      <c r="I349" s="776"/>
      <c r="J349" s="13"/>
      <c r="K349" s="776"/>
      <c r="L349" s="776"/>
      <c r="M349" s="776"/>
      <c r="N349" s="776"/>
      <c r="O349" s="776"/>
      <c r="P349" s="776"/>
    </row>
    <row r="350" spans="1:16">
      <c r="A350" s="793"/>
      <c r="B350" s="793"/>
      <c r="C350" s="793"/>
      <c r="D350" s="776"/>
      <c r="E350" s="776"/>
      <c r="F350" s="776"/>
      <c r="G350" s="776"/>
      <c r="H350" s="776"/>
      <c r="I350" s="776"/>
      <c r="J350" s="13"/>
      <c r="K350" s="776"/>
      <c r="L350" s="776"/>
      <c r="M350" s="776"/>
      <c r="N350" s="776"/>
      <c r="O350" s="776"/>
      <c r="P350" s="776"/>
    </row>
    <row r="351" spans="1:16">
      <c r="A351" s="793"/>
      <c r="B351" s="793"/>
      <c r="C351" s="793"/>
      <c r="D351" s="776"/>
      <c r="E351" s="776"/>
      <c r="F351" s="776"/>
      <c r="G351" s="776"/>
      <c r="H351" s="776"/>
      <c r="I351" s="776"/>
      <c r="J351" s="13"/>
      <c r="K351" s="776"/>
      <c r="L351" s="776"/>
      <c r="M351" s="776"/>
      <c r="N351" s="776"/>
      <c r="O351" s="776"/>
      <c r="P351" s="776"/>
    </row>
    <row r="352" spans="1:16">
      <c r="A352" s="793"/>
      <c r="B352" s="793"/>
      <c r="C352" s="793"/>
      <c r="D352" s="776"/>
      <c r="E352" s="776"/>
      <c r="F352" s="776"/>
      <c r="G352" s="776"/>
      <c r="H352" s="776"/>
      <c r="I352" s="776"/>
      <c r="J352" s="13"/>
      <c r="K352" s="776"/>
      <c r="L352" s="776"/>
      <c r="M352" s="776"/>
      <c r="N352" s="776"/>
      <c r="O352" s="776"/>
      <c r="P352" s="776"/>
    </row>
    <row r="353" spans="1:16">
      <c r="A353" s="793"/>
      <c r="B353" s="793"/>
      <c r="C353" s="793"/>
      <c r="D353" s="776"/>
      <c r="E353" s="776"/>
      <c r="F353" s="776"/>
      <c r="G353" s="776"/>
      <c r="H353" s="776"/>
      <c r="I353" s="776"/>
      <c r="J353" s="13"/>
      <c r="K353" s="776"/>
      <c r="L353" s="776"/>
      <c r="M353" s="776"/>
      <c r="N353" s="776"/>
      <c r="O353" s="776"/>
      <c r="P353" s="776"/>
    </row>
    <row r="354" spans="1:16">
      <c r="A354" s="793"/>
      <c r="B354" s="793"/>
      <c r="C354" s="793"/>
      <c r="D354" s="776"/>
      <c r="E354" s="776"/>
      <c r="F354" s="776"/>
      <c r="G354" s="776"/>
      <c r="H354" s="776"/>
      <c r="I354" s="776"/>
      <c r="J354" s="13"/>
      <c r="K354" s="776"/>
      <c r="L354" s="776"/>
      <c r="M354" s="776"/>
      <c r="N354" s="776"/>
      <c r="O354" s="776"/>
      <c r="P354" s="776"/>
    </row>
    <row r="355" spans="1:16">
      <c r="A355" s="793"/>
      <c r="B355" s="793"/>
      <c r="C355" s="793"/>
      <c r="D355" s="776"/>
      <c r="E355" s="776"/>
      <c r="F355" s="776"/>
      <c r="G355" s="776"/>
      <c r="H355" s="776"/>
      <c r="I355" s="776"/>
      <c r="J355" s="13"/>
      <c r="K355" s="776"/>
      <c r="L355" s="776"/>
      <c r="M355" s="776"/>
      <c r="N355" s="776"/>
      <c r="O355" s="776"/>
      <c r="P355" s="776"/>
    </row>
    <row r="356" spans="1:16">
      <c r="A356" s="793"/>
      <c r="B356" s="793"/>
      <c r="C356" s="793"/>
      <c r="D356" s="776"/>
      <c r="E356" s="776"/>
      <c r="F356" s="776"/>
      <c r="G356" s="776"/>
      <c r="H356" s="776"/>
      <c r="I356" s="776"/>
      <c r="J356" s="13"/>
      <c r="K356" s="776"/>
      <c r="L356" s="776"/>
      <c r="M356" s="776"/>
      <c r="N356" s="776"/>
      <c r="O356" s="776"/>
      <c r="P356" s="776"/>
    </row>
    <row r="357" spans="1:16">
      <c r="A357" s="793"/>
      <c r="B357" s="793"/>
      <c r="C357" s="793"/>
      <c r="D357" s="776"/>
      <c r="E357" s="776"/>
      <c r="F357" s="776"/>
      <c r="G357" s="776"/>
      <c r="H357" s="776"/>
      <c r="I357" s="776"/>
      <c r="J357" s="13"/>
      <c r="K357" s="776"/>
      <c r="L357" s="776"/>
      <c r="M357" s="776"/>
      <c r="N357" s="776"/>
      <c r="O357" s="776"/>
      <c r="P357" s="776"/>
    </row>
    <row r="358" spans="1:16">
      <c r="A358" s="793"/>
      <c r="B358" s="793"/>
      <c r="C358" s="793"/>
      <c r="D358" s="776"/>
      <c r="E358" s="776"/>
      <c r="F358" s="776"/>
      <c r="G358" s="776"/>
      <c r="H358" s="776"/>
      <c r="I358" s="776"/>
      <c r="J358" s="13"/>
      <c r="K358" s="776"/>
      <c r="L358" s="776"/>
      <c r="M358" s="776"/>
      <c r="N358" s="776"/>
      <c r="O358" s="776"/>
      <c r="P358" s="776"/>
    </row>
    <row r="359" spans="1:16">
      <c r="A359" s="793"/>
      <c r="B359" s="793"/>
      <c r="C359" s="793"/>
      <c r="D359" s="776"/>
      <c r="E359" s="776"/>
      <c r="F359" s="776"/>
      <c r="G359" s="776"/>
      <c r="H359" s="776"/>
      <c r="I359" s="776"/>
      <c r="J359" s="13"/>
      <c r="K359" s="776"/>
      <c r="L359" s="776"/>
      <c r="M359" s="776"/>
      <c r="N359" s="776"/>
      <c r="O359" s="776"/>
      <c r="P359" s="776"/>
    </row>
    <row r="360" spans="1:16">
      <c r="A360" s="793"/>
      <c r="B360" s="793"/>
      <c r="C360" s="793"/>
      <c r="D360" s="776"/>
      <c r="E360" s="776"/>
      <c r="F360" s="776"/>
      <c r="G360" s="776"/>
      <c r="H360" s="776"/>
      <c r="I360" s="776"/>
      <c r="J360" s="13"/>
      <c r="K360" s="776"/>
      <c r="L360" s="776"/>
      <c r="M360" s="776"/>
      <c r="N360" s="776"/>
      <c r="O360" s="776"/>
      <c r="P360" s="776"/>
    </row>
    <row r="361" spans="1:16">
      <c r="A361" s="793"/>
      <c r="B361" s="793"/>
      <c r="C361" s="793"/>
      <c r="D361" s="776"/>
      <c r="E361" s="776"/>
      <c r="F361" s="776"/>
      <c r="G361" s="776"/>
      <c r="H361" s="776"/>
      <c r="I361" s="776"/>
      <c r="J361" s="13"/>
      <c r="K361" s="776"/>
      <c r="L361" s="776"/>
      <c r="M361" s="776"/>
      <c r="N361" s="776"/>
      <c r="O361" s="776"/>
      <c r="P361" s="776"/>
    </row>
    <row r="362" spans="1:16">
      <c r="A362" s="793"/>
      <c r="B362" s="793"/>
      <c r="C362" s="793"/>
      <c r="D362" s="776"/>
      <c r="E362" s="776"/>
      <c r="F362" s="776"/>
      <c r="G362" s="776"/>
      <c r="H362" s="776"/>
      <c r="I362" s="776"/>
      <c r="J362" s="13"/>
      <c r="K362" s="776"/>
      <c r="L362" s="776"/>
      <c r="M362" s="776"/>
      <c r="N362" s="776"/>
      <c r="O362" s="776"/>
      <c r="P362" s="776"/>
    </row>
    <row r="363" spans="1:16">
      <c r="A363" s="793"/>
      <c r="B363" s="793"/>
      <c r="C363" s="793"/>
      <c r="D363" s="776"/>
      <c r="E363" s="776"/>
      <c r="F363" s="776"/>
      <c r="G363" s="776"/>
      <c r="H363" s="776"/>
      <c r="I363" s="776"/>
      <c r="J363" s="13"/>
      <c r="K363" s="776"/>
      <c r="L363" s="776"/>
      <c r="M363" s="776"/>
      <c r="N363" s="776"/>
      <c r="O363" s="776"/>
      <c r="P363" s="776"/>
    </row>
    <row r="364" spans="1:16">
      <c r="A364" s="793"/>
      <c r="B364" s="793"/>
      <c r="C364" s="793"/>
      <c r="D364" s="776"/>
      <c r="E364" s="776"/>
      <c r="F364" s="776"/>
      <c r="G364" s="776"/>
      <c r="H364" s="776"/>
      <c r="I364" s="776"/>
      <c r="J364" s="13"/>
      <c r="K364" s="776"/>
      <c r="L364" s="776"/>
      <c r="M364" s="776"/>
      <c r="N364" s="776"/>
      <c r="O364" s="776"/>
      <c r="P364" s="776"/>
    </row>
    <row r="365" spans="1:16">
      <c r="A365" s="793"/>
      <c r="B365" s="793"/>
      <c r="C365" s="793"/>
      <c r="D365" s="776"/>
      <c r="E365" s="776"/>
      <c r="F365" s="776"/>
      <c r="G365" s="776"/>
      <c r="H365" s="776"/>
      <c r="I365" s="776"/>
      <c r="J365" s="13"/>
      <c r="K365" s="776"/>
      <c r="L365" s="776"/>
      <c r="M365" s="776"/>
      <c r="N365" s="776"/>
      <c r="O365" s="776"/>
      <c r="P365" s="776"/>
    </row>
    <row r="366" spans="1:16">
      <c r="A366" s="793"/>
      <c r="B366" s="793"/>
      <c r="C366" s="793"/>
      <c r="D366" s="776"/>
      <c r="E366" s="776"/>
      <c r="F366" s="776"/>
      <c r="G366" s="776"/>
      <c r="H366" s="776"/>
      <c r="I366" s="776"/>
      <c r="J366" s="13"/>
      <c r="K366" s="776"/>
      <c r="L366" s="776"/>
      <c r="M366" s="776"/>
      <c r="N366" s="776"/>
      <c r="O366" s="776"/>
      <c r="P366" s="776"/>
    </row>
    <row r="367" spans="1:16">
      <c r="A367" s="793"/>
      <c r="B367" s="793"/>
      <c r="C367" s="793"/>
      <c r="D367" s="776"/>
      <c r="E367" s="776"/>
      <c r="F367" s="776"/>
      <c r="G367" s="776"/>
      <c r="H367" s="776"/>
      <c r="I367" s="776"/>
      <c r="J367" s="13"/>
      <c r="K367" s="776"/>
      <c r="L367" s="776"/>
      <c r="M367" s="776"/>
      <c r="N367" s="776"/>
      <c r="O367" s="776"/>
      <c r="P367" s="776"/>
    </row>
    <row r="368" spans="1:16">
      <c r="A368" s="793"/>
      <c r="B368" s="793"/>
      <c r="C368" s="793"/>
      <c r="D368" s="776"/>
      <c r="E368" s="776"/>
      <c r="F368" s="776"/>
      <c r="G368" s="776"/>
      <c r="H368" s="776"/>
      <c r="I368" s="776"/>
      <c r="J368" s="13"/>
      <c r="K368" s="776"/>
      <c r="L368" s="776"/>
      <c r="M368" s="776"/>
      <c r="N368" s="776"/>
      <c r="O368" s="776"/>
      <c r="P368" s="776"/>
    </row>
    <row r="369" spans="1:16">
      <c r="A369" s="793"/>
      <c r="B369" s="793"/>
      <c r="C369" s="793"/>
      <c r="D369" s="776"/>
      <c r="E369" s="776"/>
      <c r="F369" s="776"/>
      <c r="G369" s="776"/>
      <c r="H369" s="776"/>
      <c r="I369" s="776"/>
      <c r="J369" s="13"/>
      <c r="K369" s="776"/>
      <c r="L369" s="776"/>
      <c r="M369" s="776"/>
      <c r="N369" s="776"/>
      <c r="O369" s="776"/>
      <c r="P369" s="776"/>
    </row>
    <row r="370" spans="1:16">
      <c r="A370" s="793"/>
      <c r="B370" s="793"/>
      <c r="C370" s="793"/>
      <c r="D370" s="776"/>
      <c r="E370" s="776"/>
      <c r="F370" s="776"/>
      <c r="G370" s="776"/>
      <c r="H370" s="776"/>
      <c r="I370" s="776"/>
      <c r="J370" s="13"/>
      <c r="K370" s="776"/>
      <c r="L370" s="776"/>
      <c r="M370" s="776"/>
      <c r="N370" s="776"/>
      <c r="O370" s="776"/>
      <c r="P370" s="776"/>
    </row>
    <row r="371" spans="1:16">
      <c r="A371" s="793"/>
      <c r="B371" s="793"/>
      <c r="C371" s="793"/>
      <c r="D371" s="776"/>
      <c r="E371" s="776"/>
      <c r="F371" s="776"/>
      <c r="G371" s="776"/>
      <c r="H371" s="776"/>
      <c r="I371" s="776"/>
      <c r="J371" s="13"/>
      <c r="K371" s="776"/>
      <c r="L371" s="776"/>
      <c r="M371" s="776"/>
      <c r="N371" s="776"/>
      <c r="O371" s="776"/>
      <c r="P371" s="776"/>
    </row>
    <row r="372" spans="1:16">
      <c r="A372" s="793"/>
      <c r="B372" s="793"/>
      <c r="C372" s="793"/>
      <c r="D372" s="776"/>
      <c r="E372" s="776"/>
      <c r="F372" s="776"/>
      <c r="G372" s="776"/>
      <c r="H372" s="776"/>
      <c r="I372" s="776"/>
      <c r="J372" s="13"/>
      <c r="K372" s="776"/>
      <c r="L372" s="776"/>
      <c r="M372" s="776"/>
      <c r="N372" s="776"/>
      <c r="O372" s="776"/>
      <c r="P372" s="776"/>
    </row>
    <row r="373" spans="1:16">
      <c r="A373" s="793"/>
      <c r="B373" s="793"/>
      <c r="C373" s="793"/>
      <c r="D373" s="776"/>
      <c r="E373" s="776"/>
      <c r="F373" s="776"/>
      <c r="G373" s="776"/>
      <c r="H373" s="776"/>
      <c r="I373" s="776"/>
      <c r="J373" s="13"/>
      <c r="K373" s="776"/>
      <c r="L373" s="776"/>
      <c r="M373" s="776"/>
      <c r="N373" s="776"/>
      <c r="O373" s="776"/>
      <c r="P373" s="776"/>
    </row>
    <row r="374" spans="1:16">
      <c r="A374" s="793"/>
      <c r="B374" s="793"/>
      <c r="C374" s="793"/>
      <c r="D374" s="776"/>
      <c r="E374" s="776"/>
      <c r="F374" s="776"/>
      <c r="G374" s="776"/>
      <c r="H374" s="776"/>
      <c r="I374" s="776"/>
      <c r="J374" s="13"/>
      <c r="K374" s="776"/>
      <c r="L374" s="776"/>
      <c r="M374" s="776"/>
      <c r="N374" s="776"/>
      <c r="O374" s="776"/>
      <c r="P374" s="776"/>
    </row>
    <row r="375" spans="1:16">
      <c r="A375" s="793"/>
      <c r="B375" s="793"/>
      <c r="C375" s="793"/>
      <c r="D375" s="776"/>
      <c r="E375" s="776"/>
      <c r="F375" s="776"/>
      <c r="G375" s="776"/>
      <c r="H375" s="776"/>
      <c r="I375" s="776"/>
      <c r="J375" s="13"/>
      <c r="K375" s="776"/>
      <c r="L375" s="776"/>
      <c r="M375" s="776"/>
      <c r="N375" s="776"/>
      <c r="O375" s="776"/>
      <c r="P375" s="776"/>
    </row>
    <row r="376" spans="1:16">
      <c r="A376" s="793"/>
      <c r="B376" s="793"/>
      <c r="C376" s="793"/>
      <c r="D376" s="776"/>
      <c r="E376" s="776"/>
      <c r="F376" s="776"/>
      <c r="G376" s="776"/>
      <c r="H376" s="776"/>
      <c r="I376" s="776"/>
      <c r="J376" s="13"/>
      <c r="K376" s="776"/>
      <c r="L376" s="776"/>
      <c r="M376" s="776"/>
      <c r="N376" s="776"/>
      <c r="O376" s="776"/>
      <c r="P376" s="776"/>
    </row>
    <row r="377" spans="1:16">
      <c r="A377" s="793"/>
      <c r="B377" s="793"/>
      <c r="C377" s="793"/>
      <c r="D377" s="776"/>
      <c r="E377" s="776"/>
      <c r="F377" s="776"/>
      <c r="G377" s="776"/>
      <c r="H377" s="776"/>
      <c r="I377" s="776"/>
      <c r="J377" s="13"/>
      <c r="K377" s="776"/>
      <c r="L377" s="776"/>
      <c r="M377" s="776"/>
      <c r="N377" s="776"/>
      <c r="O377" s="776"/>
      <c r="P377" s="776"/>
    </row>
    <row r="378" spans="1:16">
      <c r="A378" s="793"/>
      <c r="B378" s="793"/>
      <c r="C378" s="793"/>
      <c r="D378" s="776"/>
      <c r="E378" s="776"/>
      <c r="F378" s="776"/>
      <c r="G378" s="776"/>
      <c r="H378" s="776"/>
      <c r="I378" s="776"/>
      <c r="J378" s="13"/>
      <c r="K378" s="776"/>
      <c r="L378" s="776"/>
      <c r="M378" s="776"/>
      <c r="N378" s="776"/>
      <c r="O378" s="776"/>
      <c r="P378" s="776"/>
    </row>
    <row r="379" spans="1:16">
      <c r="A379" s="793"/>
      <c r="B379" s="793"/>
      <c r="C379" s="793"/>
      <c r="D379" s="776"/>
      <c r="E379" s="776"/>
      <c r="F379" s="776"/>
      <c r="G379" s="776"/>
      <c r="H379" s="776"/>
      <c r="I379" s="776"/>
      <c r="J379" s="13"/>
      <c r="K379" s="776"/>
      <c r="L379" s="776"/>
      <c r="M379" s="776"/>
      <c r="N379" s="776"/>
      <c r="O379" s="776"/>
      <c r="P379" s="776"/>
    </row>
    <row r="380" spans="1:16">
      <c r="A380" s="793"/>
      <c r="B380" s="793"/>
      <c r="C380" s="793"/>
      <c r="D380" s="776"/>
      <c r="E380" s="776"/>
      <c r="F380" s="776"/>
      <c r="G380" s="776"/>
      <c r="H380" s="776"/>
      <c r="I380" s="776"/>
      <c r="J380" s="13"/>
      <c r="K380" s="776"/>
      <c r="L380" s="776"/>
      <c r="M380" s="776"/>
      <c r="N380" s="776"/>
      <c r="O380" s="776"/>
      <c r="P380" s="776"/>
    </row>
    <row r="381" spans="1:16">
      <c r="A381" s="793"/>
      <c r="B381" s="793"/>
      <c r="C381" s="793"/>
      <c r="D381" s="776"/>
      <c r="E381" s="776"/>
      <c r="F381" s="776"/>
      <c r="G381" s="776"/>
      <c r="H381" s="776"/>
      <c r="I381" s="776"/>
      <c r="J381" s="13"/>
      <c r="K381" s="776"/>
      <c r="L381" s="776"/>
      <c r="M381" s="776"/>
      <c r="N381" s="776"/>
      <c r="O381" s="776"/>
      <c r="P381" s="776"/>
    </row>
    <row r="382" spans="1:16">
      <c r="A382" s="793"/>
      <c r="B382" s="793"/>
      <c r="C382" s="793"/>
      <c r="D382" s="776"/>
      <c r="E382" s="776"/>
      <c r="F382" s="776"/>
      <c r="G382" s="776"/>
      <c r="H382" s="776"/>
      <c r="I382" s="776"/>
      <c r="J382" s="13"/>
      <c r="K382" s="776"/>
      <c r="L382" s="776"/>
      <c r="M382" s="776"/>
      <c r="N382" s="776"/>
      <c r="O382" s="776"/>
      <c r="P382" s="776"/>
    </row>
    <row r="383" spans="1:16">
      <c r="A383" s="793"/>
      <c r="B383" s="793"/>
      <c r="C383" s="793"/>
      <c r="D383" s="776"/>
      <c r="E383" s="776"/>
      <c r="F383" s="776"/>
      <c r="G383" s="776"/>
      <c r="H383" s="776"/>
      <c r="I383" s="776"/>
      <c r="J383" s="13"/>
      <c r="K383" s="776"/>
      <c r="L383" s="776"/>
      <c r="M383" s="776"/>
      <c r="N383" s="776"/>
      <c r="O383" s="776"/>
      <c r="P383" s="776"/>
    </row>
    <row r="384" spans="1:16">
      <c r="A384" s="776"/>
      <c r="B384" s="776"/>
      <c r="C384" s="776"/>
      <c r="D384" s="776"/>
      <c r="E384" s="776"/>
      <c r="F384" s="776"/>
      <c r="G384" s="776"/>
      <c r="H384" s="776"/>
      <c r="I384" s="776"/>
      <c r="J384" s="13"/>
      <c r="K384" s="776"/>
      <c r="L384" s="776"/>
      <c r="M384" s="776"/>
      <c r="N384" s="776"/>
      <c r="O384" s="776"/>
      <c r="P384" s="776"/>
    </row>
    <row r="385" spans="1:16">
      <c r="A385" s="776"/>
      <c r="B385" s="776"/>
      <c r="C385" s="776"/>
      <c r="D385" s="776"/>
      <c r="E385" s="776"/>
      <c r="F385" s="776"/>
      <c r="G385" s="776"/>
      <c r="H385" s="776"/>
      <c r="I385" s="776"/>
      <c r="J385" s="13"/>
      <c r="K385" s="776"/>
      <c r="L385" s="776"/>
      <c r="M385" s="776"/>
      <c r="N385" s="776"/>
      <c r="O385" s="776"/>
      <c r="P385" s="776"/>
    </row>
    <row r="386" spans="1:16">
      <c r="A386" s="776"/>
      <c r="B386" s="776"/>
      <c r="C386" s="776"/>
      <c r="D386" s="776"/>
      <c r="E386" s="776"/>
      <c r="F386" s="776"/>
      <c r="G386" s="776"/>
      <c r="H386" s="776"/>
      <c r="I386" s="776"/>
      <c r="J386" s="13"/>
      <c r="K386" s="776"/>
      <c r="L386" s="776"/>
      <c r="M386" s="776"/>
      <c r="N386" s="776"/>
      <c r="O386" s="776"/>
      <c r="P386" s="776"/>
    </row>
    <row r="387" spans="1:16">
      <c r="A387" s="776"/>
      <c r="B387" s="776"/>
      <c r="C387" s="776"/>
      <c r="D387" s="776"/>
      <c r="E387" s="776"/>
      <c r="F387" s="776"/>
      <c r="G387" s="776"/>
      <c r="H387" s="776"/>
      <c r="I387" s="776"/>
      <c r="J387" s="776"/>
      <c r="K387" s="776"/>
      <c r="L387" s="776"/>
      <c r="M387" s="776"/>
      <c r="N387" s="776"/>
      <c r="O387" s="776"/>
      <c r="P387" s="776"/>
    </row>
    <row r="388" spans="1:16">
      <c r="A388" s="776"/>
      <c r="B388" s="776"/>
      <c r="C388" s="776"/>
      <c r="D388" s="776"/>
      <c r="E388" s="776"/>
      <c r="F388" s="776"/>
      <c r="G388" s="776"/>
      <c r="H388" s="776"/>
      <c r="I388" s="776"/>
      <c r="J388" s="776"/>
      <c r="K388" s="776"/>
      <c r="L388" s="776"/>
      <c r="M388" s="776"/>
      <c r="N388" s="776"/>
      <c r="O388" s="776"/>
      <c r="P388" s="776"/>
    </row>
    <row r="389" spans="1:16">
      <c r="A389" s="776"/>
      <c r="B389" s="776"/>
      <c r="C389" s="776"/>
      <c r="D389" s="776"/>
      <c r="E389" s="776"/>
      <c r="F389" s="776"/>
      <c r="G389" s="776"/>
      <c r="H389" s="776"/>
      <c r="I389" s="776"/>
      <c r="J389" s="776"/>
      <c r="K389" s="776"/>
      <c r="L389" s="776"/>
      <c r="M389" s="776"/>
      <c r="N389" s="776"/>
      <c r="O389" s="776"/>
      <c r="P389" s="776"/>
    </row>
    <row r="390" spans="1:16">
      <c r="A390" s="776"/>
      <c r="B390" s="776"/>
      <c r="C390" s="776"/>
      <c r="D390" s="776"/>
      <c r="E390" s="776"/>
      <c r="F390" s="776"/>
      <c r="G390" s="776"/>
      <c r="H390" s="776"/>
      <c r="I390" s="776"/>
      <c r="J390" s="776"/>
      <c r="K390" s="776"/>
      <c r="L390" s="776"/>
      <c r="M390" s="776"/>
      <c r="N390" s="776"/>
      <c r="O390" s="776"/>
      <c r="P390" s="776"/>
    </row>
    <row r="391" spans="1:16">
      <c r="A391" s="776"/>
      <c r="B391" s="776"/>
      <c r="C391" s="776"/>
      <c r="D391" s="776"/>
      <c r="E391" s="776"/>
      <c r="F391" s="776"/>
      <c r="G391" s="776"/>
      <c r="H391" s="776"/>
      <c r="I391" s="776"/>
      <c r="J391" s="776"/>
      <c r="K391" s="776"/>
      <c r="L391" s="776"/>
      <c r="M391" s="776"/>
      <c r="N391" s="776"/>
      <c r="O391" s="776"/>
      <c r="P391" s="776"/>
    </row>
    <row r="392" spans="1:16">
      <c r="A392" s="776"/>
      <c r="B392" s="776"/>
      <c r="C392" s="776"/>
      <c r="D392" s="776"/>
      <c r="E392" s="776"/>
      <c r="F392" s="776"/>
      <c r="G392" s="776"/>
      <c r="H392" s="776"/>
      <c r="I392" s="776"/>
      <c r="J392" s="776"/>
      <c r="K392" s="776"/>
      <c r="L392" s="776"/>
      <c r="M392" s="776"/>
      <c r="N392" s="776"/>
      <c r="O392" s="776"/>
      <c r="P392" s="776"/>
    </row>
    <row r="393" spans="1:16">
      <c r="A393" s="776"/>
      <c r="B393" s="776"/>
      <c r="C393" s="776"/>
      <c r="D393" s="776"/>
      <c r="E393" s="776"/>
      <c r="F393" s="776"/>
      <c r="G393" s="776"/>
      <c r="H393" s="776"/>
      <c r="I393" s="776"/>
      <c r="J393" s="776"/>
      <c r="K393" s="776"/>
      <c r="L393" s="776"/>
      <c r="M393" s="776"/>
      <c r="N393" s="776"/>
      <c r="O393" s="776"/>
      <c r="P393" s="776"/>
    </row>
    <row r="394" spans="1:16">
      <c r="A394" s="776"/>
      <c r="B394" s="776"/>
      <c r="C394" s="776"/>
      <c r="D394" s="776"/>
      <c r="E394" s="776"/>
      <c r="F394" s="776"/>
      <c r="G394" s="776"/>
      <c r="H394" s="776"/>
      <c r="I394" s="776"/>
      <c r="J394" s="776"/>
      <c r="K394" s="776"/>
      <c r="L394" s="776"/>
      <c r="M394" s="776"/>
      <c r="N394" s="776"/>
      <c r="O394" s="776"/>
      <c r="P394" s="776"/>
    </row>
    <row r="395" spans="1:16">
      <c r="A395" s="776"/>
      <c r="B395" s="776"/>
      <c r="C395" s="776"/>
      <c r="D395" s="776"/>
      <c r="E395" s="776"/>
      <c r="F395" s="776"/>
      <c r="G395" s="776"/>
      <c r="H395" s="776"/>
      <c r="I395" s="776"/>
      <c r="J395" s="776"/>
      <c r="K395" s="776"/>
      <c r="L395" s="776"/>
      <c r="M395" s="776"/>
      <c r="N395" s="776"/>
      <c r="O395" s="776"/>
      <c r="P395" s="776"/>
    </row>
    <row r="396" spans="1:16">
      <c r="A396" s="776"/>
      <c r="B396" s="776"/>
      <c r="C396" s="776"/>
      <c r="D396" s="776"/>
      <c r="E396" s="776"/>
      <c r="F396" s="776"/>
      <c r="G396" s="776"/>
      <c r="H396" s="776"/>
      <c r="I396" s="776"/>
      <c r="J396" s="776"/>
      <c r="K396" s="776"/>
      <c r="L396" s="776"/>
      <c r="M396" s="776"/>
      <c r="N396" s="776"/>
      <c r="O396" s="776"/>
      <c r="P396" s="776"/>
    </row>
    <row r="397" spans="1:16">
      <c r="A397" s="776"/>
      <c r="B397" s="776"/>
      <c r="C397" s="776"/>
      <c r="D397" s="776"/>
      <c r="E397" s="776"/>
      <c r="F397" s="776"/>
      <c r="G397" s="776"/>
      <c r="H397" s="776"/>
      <c r="I397" s="776"/>
      <c r="J397" s="776"/>
      <c r="K397" s="776"/>
      <c r="L397" s="776"/>
      <c r="M397" s="776"/>
      <c r="N397" s="776"/>
      <c r="O397" s="776"/>
      <c r="P397" s="776"/>
    </row>
    <row r="398" spans="1:16">
      <c r="A398" s="776"/>
      <c r="B398" s="776"/>
      <c r="C398" s="776"/>
      <c r="D398" s="776"/>
      <c r="E398" s="776"/>
      <c r="F398" s="776"/>
      <c r="G398" s="776"/>
      <c r="H398" s="776"/>
      <c r="I398" s="776"/>
      <c r="J398" s="776"/>
      <c r="K398" s="776"/>
      <c r="L398" s="776"/>
      <c r="M398" s="776"/>
      <c r="N398" s="776"/>
      <c r="O398" s="776"/>
      <c r="P398" s="776"/>
    </row>
    <row r="399" spans="1:16">
      <c r="A399" s="776"/>
      <c r="B399" s="776"/>
      <c r="C399" s="776"/>
      <c r="D399" s="776"/>
      <c r="E399" s="776"/>
      <c r="F399" s="776"/>
      <c r="G399" s="776"/>
      <c r="H399" s="776"/>
      <c r="I399" s="776"/>
      <c r="J399" s="776"/>
      <c r="K399" s="776"/>
      <c r="L399" s="776"/>
      <c r="M399" s="776"/>
      <c r="N399" s="776"/>
      <c r="O399" s="776"/>
      <c r="P399" s="776"/>
    </row>
    <row r="400" spans="1:16">
      <c r="A400" s="776"/>
      <c r="B400" s="776"/>
      <c r="C400" s="776"/>
      <c r="D400" s="776"/>
      <c r="E400" s="776"/>
      <c r="F400" s="776"/>
      <c r="G400" s="776"/>
      <c r="H400" s="776"/>
      <c r="I400" s="776"/>
      <c r="J400" s="776"/>
      <c r="K400" s="776"/>
      <c r="L400" s="776"/>
      <c r="M400" s="776"/>
      <c r="N400" s="776"/>
      <c r="O400" s="776"/>
      <c r="P400" s="776"/>
    </row>
    <row r="401" spans="1:16">
      <c r="A401" s="776"/>
      <c r="B401" s="776"/>
      <c r="C401" s="776"/>
      <c r="D401" s="776"/>
      <c r="E401" s="776"/>
      <c r="F401" s="776"/>
      <c r="G401" s="776"/>
      <c r="H401" s="776"/>
      <c r="I401" s="776"/>
      <c r="J401" s="776"/>
      <c r="K401" s="776"/>
      <c r="L401" s="776"/>
      <c r="M401" s="776"/>
      <c r="N401" s="776"/>
      <c r="O401" s="776"/>
      <c r="P401" s="776"/>
    </row>
    <row r="402" spans="1:16">
      <c r="A402" s="776"/>
      <c r="B402" s="776"/>
      <c r="C402" s="776"/>
      <c r="D402" s="776"/>
      <c r="E402" s="776"/>
      <c r="F402" s="776"/>
      <c r="G402" s="776"/>
      <c r="H402" s="776"/>
      <c r="I402" s="776"/>
      <c r="J402" s="776"/>
      <c r="K402" s="776"/>
      <c r="L402" s="776"/>
      <c r="M402" s="776"/>
      <c r="N402" s="776"/>
      <c r="O402" s="776"/>
      <c r="P402" s="776"/>
    </row>
    <row r="403" spans="1:16">
      <c r="A403" s="776"/>
      <c r="B403" s="776"/>
      <c r="C403" s="776"/>
      <c r="D403" s="776"/>
      <c r="E403" s="776"/>
      <c r="F403" s="776"/>
      <c r="G403" s="776"/>
      <c r="H403" s="776"/>
      <c r="I403" s="776"/>
      <c r="J403" s="776"/>
      <c r="K403" s="776"/>
      <c r="L403" s="776"/>
      <c r="M403" s="776"/>
      <c r="N403" s="776"/>
      <c r="O403" s="776"/>
      <c r="P403" s="776"/>
    </row>
    <row r="404" spans="1:16">
      <c r="A404" s="776"/>
      <c r="B404" s="776"/>
      <c r="C404" s="776"/>
      <c r="D404" s="776"/>
      <c r="E404" s="776"/>
      <c r="F404" s="776"/>
      <c r="G404" s="776"/>
      <c r="H404" s="776"/>
      <c r="I404" s="776"/>
      <c r="J404" s="776"/>
      <c r="K404" s="776"/>
      <c r="L404" s="776"/>
      <c r="M404" s="776"/>
      <c r="N404" s="776"/>
      <c r="O404" s="776"/>
      <c r="P404" s="776"/>
    </row>
    <row r="405" spans="1:16">
      <c r="A405" s="776"/>
      <c r="B405" s="776"/>
      <c r="C405" s="776"/>
      <c r="D405" s="776"/>
      <c r="E405" s="776"/>
      <c r="F405" s="776"/>
      <c r="G405" s="776"/>
      <c r="H405" s="776"/>
      <c r="I405" s="776"/>
      <c r="J405" s="776"/>
      <c r="K405" s="776"/>
      <c r="L405" s="776"/>
      <c r="M405" s="776"/>
      <c r="N405" s="776"/>
      <c r="O405" s="776"/>
      <c r="P405" s="776"/>
    </row>
    <row r="406" spans="1:16">
      <c r="A406" s="776"/>
      <c r="B406" s="776"/>
      <c r="C406" s="776"/>
      <c r="D406" s="776"/>
      <c r="E406" s="776"/>
      <c r="F406" s="776"/>
      <c r="G406" s="776"/>
      <c r="H406" s="776"/>
      <c r="I406" s="776"/>
      <c r="J406" s="776"/>
      <c r="K406" s="776"/>
      <c r="L406" s="776"/>
      <c r="M406" s="776"/>
      <c r="N406" s="776"/>
      <c r="O406" s="776"/>
      <c r="P406" s="776"/>
    </row>
    <row r="407" spans="1:16">
      <c r="A407" s="776"/>
      <c r="B407" s="776"/>
      <c r="C407" s="776"/>
      <c r="D407" s="776"/>
      <c r="E407" s="776"/>
      <c r="F407" s="776"/>
      <c r="G407" s="776"/>
      <c r="H407" s="776"/>
      <c r="I407" s="776"/>
      <c r="J407" s="776"/>
      <c r="K407" s="776"/>
      <c r="L407" s="776"/>
      <c r="M407" s="776"/>
      <c r="N407" s="776"/>
      <c r="O407" s="776"/>
      <c r="P407" s="776"/>
    </row>
    <row r="408" spans="1:16">
      <c r="A408" s="776"/>
      <c r="B408" s="776"/>
      <c r="C408" s="776"/>
      <c r="D408" s="776"/>
      <c r="E408" s="776"/>
      <c r="F408" s="776"/>
      <c r="G408" s="776"/>
      <c r="H408" s="776"/>
      <c r="I408" s="776"/>
      <c r="J408" s="776"/>
      <c r="K408" s="776"/>
      <c r="L408" s="776"/>
      <c r="M408" s="776"/>
      <c r="N408" s="776"/>
      <c r="O408" s="776"/>
      <c r="P408" s="776"/>
    </row>
    <row r="409" spans="1:16">
      <c r="A409" s="776"/>
      <c r="B409" s="776"/>
      <c r="C409" s="776"/>
      <c r="D409" s="776"/>
      <c r="E409" s="776"/>
      <c r="F409" s="776"/>
      <c r="G409" s="776"/>
      <c r="H409" s="776"/>
      <c r="I409" s="776"/>
      <c r="J409" s="776"/>
      <c r="K409" s="776"/>
      <c r="L409" s="776"/>
      <c r="M409" s="776"/>
      <c r="N409" s="776"/>
      <c r="O409" s="776"/>
      <c r="P409" s="776"/>
    </row>
    <row r="410" spans="1:16">
      <c r="A410" s="776"/>
      <c r="B410" s="776"/>
      <c r="C410" s="776"/>
      <c r="D410" s="776"/>
      <c r="E410" s="776"/>
      <c r="F410" s="776"/>
      <c r="G410" s="776"/>
      <c r="H410" s="776"/>
      <c r="I410" s="776"/>
      <c r="J410" s="776"/>
      <c r="K410" s="776"/>
      <c r="L410" s="776"/>
      <c r="M410" s="776"/>
      <c r="N410" s="776"/>
      <c r="O410" s="776"/>
      <c r="P410" s="776"/>
    </row>
    <row r="411" spans="1:16">
      <c r="A411" s="776"/>
      <c r="B411" s="776"/>
      <c r="C411" s="776"/>
      <c r="D411" s="776"/>
      <c r="E411" s="776"/>
      <c r="F411" s="776"/>
      <c r="G411" s="776"/>
      <c r="H411" s="776"/>
      <c r="I411" s="776"/>
      <c r="J411" s="776"/>
      <c r="K411" s="776"/>
      <c r="L411" s="776"/>
      <c r="M411" s="776"/>
      <c r="N411" s="776"/>
      <c r="O411" s="776"/>
      <c r="P411" s="776"/>
    </row>
    <row r="412" spans="1:16">
      <c r="A412" s="776"/>
      <c r="B412" s="776"/>
      <c r="C412" s="776"/>
      <c r="D412" s="776"/>
      <c r="E412" s="776"/>
      <c r="F412" s="776"/>
      <c r="G412" s="776"/>
      <c r="H412" s="776"/>
      <c r="I412" s="776"/>
      <c r="J412" s="776"/>
      <c r="K412" s="776"/>
      <c r="L412" s="776"/>
      <c r="M412" s="776"/>
      <c r="N412" s="776"/>
      <c r="O412" s="776"/>
      <c r="P412" s="776"/>
    </row>
    <row r="413" spans="1:16">
      <c r="A413" s="776"/>
      <c r="B413" s="776"/>
      <c r="C413" s="776"/>
      <c r="D413" s="776"/>
      <c r="E413" s="776"/>
      <c r="F413" s="776"/>
      <c r="G413" s="776"/>
      <c r="H413" s="776"/>
      <c r="I413" s="776"/>
      <c r="J413" s="776"/>
      <c r="K413" s="776"/>
      <c r="L413" s="776"/>
      <c r="M413" s="776"/>
      <c r="N413" s="776"/>
      <c r="O413" s="776"/>
      <c r="P413" s="776"/>
    </row>
    <row r="414" spans="1:16">
      <c r="A414" s="776"/>
      <c r="B414" s="776"/>
      <c r="C414" s="776"/>
      <c r="D414" s="776"/>
      <c r="E414" s="776"/>
      <c r="F414" s="776"/>
      <c r="G414" s="776"/>
      <c r="H414" s="776"/>
      <c r="I414" s="776"/>
      <c r="J414" s="776"/>
      <c r="K414" s="776"/>
      <c r="L414" s="776"/>
      <c r="M414" s="776"/>
      <c r="N414" s="776"/>
      <c r="O414" s="776"/>
      <c r="P414" s="776"/>
    </row>
    <row r="415" spans="1:16">
      <c r="A415" s="776"/>
      <c r="B415" s="776"/>
      <c r="C415" s="776"/>
      <c r="D415" s="776"/>
      <c r="E415" s="776"/>
      <c r="F415" s="776"/>
      <c r="G415" s="776"/>
      <c r="H415" s="776"/>
      <c r="I415" s="776"/>
      <c r="J415" s="776"/>
      <c r="K415" s="776"/>
      <c r="L415" s="776"/>
      <c r="M415" s="776"/>
      <c r="N415" s="776"/>
      <c r="O415" s="776"/>
      <c r="P415" s="776"/>
    </row>
    <row r="416" spans="1:16">
      <c r="A416" s="776"/>
      <c r="B416" s="776"/>
      <c r="C416" s="776"/>
      <c r="D416" s="776"/>
      <c r="E416" s="776"/>
      <c r="F416" s="776"/>
      <c r="G416" s="776"/>
      <c r="H416" s="776"/>
      <c r="I416" s="776"/>
      <c r="J416" s="776"/>
      <c r="K416" s="776"/>
      <c r="L416" s="776"/>
      <c r="M416" s="776"/>
      <c r="N416" s="776"/>
      <c r="O416" s="776"/>
      <c r="P416" s="776"/>
    </row>
    <row r="417" spans="1:16">
      <c r="A417" s="776"/>
      <c r="B417" s="776"/>
      <c r="C417" s="776"/>
      <c r="D417" s="776"/>
      <c r="E417" s="776"/>
      <c r="F417" s="776"/>
      <c r="G417" s="776"/>
      <c r="H417" s="776"/>
      <c r="I417" s="776"/>
      <c r="J417" s="776"/>
      <c r="K417" s="776"/>
      <c r="L417" s="776"/>
      <c r="M417" s="776"/>
      <c r="N417" s="776"/>
      <c r="O417" s="776"/>
      <c r="P417" s="776"/>
    </row>
    <row r="418" spans="1:16">
      <c r="A418" s="776"/>
      <c r="B418" s="776"/>
      <c r="C418" s="776"/>
      <c r="D418" s="776"/>
      <c r="E418" s="776"/>
      <c r="F418" s="776"/>
      <c r="G418" s="776"/>
      <c r="H418" s="776"/>
      <c r="I418" s="776"/>
      <c r="J418" s="776"/>
      <c r="K418" s="776"/>
      <c r="L418" s="776"/>
      <c r="M418" s="776"/>
      <c r="N418" s="776"/>
      <c r="O418" s="776"/>
      <c r="P418" s="776"/>
    </row>
    <row r="419" spans="1:16">
      <c r="A419" s="776"/>
      <c r="B419" s="776"/>
      <c r="C419" s="776"/>
      <c r="D419" s="776"/>
      <c r="E419" s="776"/>
      <c r="F419" s="776"/>
      <c r="G419" s="776"/>
      <c r="H419" s="776"/>
      <c r="I419" s="776"/>
      <c r="J419" s="776"/>
      <c r="K419" s="776"/>
      <c r="L419" s="776"/>
      <c r="M419" s="776"/>
      <c r="N419" s="776"/>
      <c r="O419" s="776"/>
      <c r="P419" s="776"/>
    </row>
    <row r="420" spans="1:16">
      <c r="A420" s="776"/>
      <c r="B420" s="776"/>
      <c r="C420" s="776"/>
      <c r="D420" s="776"/>
      <c r="E420" s="776"/>
      <c r="F420" s="776"/>
      <c r="G420" s="776"/>
      <c r="H420" s="776"/>
      <c r="I420" s="776"/>
      <c r="J420" s="776"/>
      <c r="K420" s="776"/>
      <c r="L420" s="776"/>
      <c r="M420" s="776"/>
      <c r="N420" s="776"/>
      <c r="O420" s="776"/>
      <c r="P420" s="776"/>
    </row>
    <row r="421" spans="1:16">
      <c r="A421" s="776"/>
      <c r="B421" s="776"/>
      <c r="C421" s="776"/>
      <c r="D421" s="776"/>
      <c r="E421" s="776"/>
      <c r="F421" s="776"/>
      <c r="G421" s="776"/>
      <c r="H421" s="776"/>
      <c r="I421" s="776"/>
      <c r="J421" s="776"/>
      <c r="K421" s="776"/>
      <c r="L421" s="776"/>
      <c r="M421" s="776"/>
      <c r="N421" s="776"/>
      <c r="O421" s="776"/>
      <c r="P421" s="776"/>
    </row>
    <row r="422" spans="1:16">
      <c r="A422" s="776"/>
      <c r="B422" s="776"/>
      <c r="C422" s="776"/>
      <c r="D422" s="776"/>
      <c r="E422" s="776"/>
      <c r="F422" s="776"/>
      <c r="G422" s="776"/>
      <c r="H422" s="776"/>
      <c r="I422" s="776"/>
      <c r="J422" s="776"/>
      <c r="K422" s="776"/>
      <c r="L422" s="776"/>
      <c r="M422" s="776"/>
      <c r="N422" s="776"/>
      <c r="O422" s="776"/>
      <c r="P422" s="776"/>
    </row>
    <row r="423" spans="1:16">
      <c r="A423" s="776"/>
      <c r="B423" s="776"/>
      <c r="C423" s="776"/>
      <c r="D423" s="776"/>
      <c r="E423" s="776"/>
      <c r="F423" s="776"/>
      <c r="G423" s="776"/>
      <c r="H423" s="776"/>
      <c r="I423" s="776"/>
      <c r="J423" s="776"/>
      <c r="K423" s="776"/>
      <c r="L423" s="776"/>
      <c r="M423" s="776"/>
      <c r="N423" s="776"/>
      <c r="O423" s="776"/>
      <c r="P423" s="776"/>
    </row>
    <row r="424" spans="1:16">
      <c r="A424" s="776"/>
      <c r="B424" s="776"/>
      <c r="C424" s="776"/>
      <c r="D424" s="776"/>
      <c r="E424" s="776"/>
      <c r="F424" s="776"/>
      <c r="G424" s="776"/>
      <c r="H424" s="776"/>
      <c r="I424" s="776"/>
      <c r="J424" s="776"/>
      <c r="K424" s="776"/>
      <c r="L424" s="776"/>
      <c r="M424" s="776"/>
      <c r="N424" s="776"/>
      <c r="O424" s="776"/>
      <c r="P424" s="776"/>
    </row>
    <row r="425" spans="1:16">
      <c r="A425" s="776"/>
      <c r="B425" s="776"/>
      <c r="C425" s="776"/>
      <c r="D425" s="776"/>
      <c r="E425" s="776"/>
      <c r="F425" s="776"/>
      <c r="G425" s="776"/>
      <c r="H425" s="776"/>
      <c r="I425" s="776"/>
      <c r="J425" s="13"/>
      <c r="K425" s="776"/>
      <c r="L425" s="776"/>
      <c r="M425" s="776"/>
      <c r="N425" s="776"/>
      <c r="O425" s="776"/>
      <c r="P425" s="776"/>
    </row>
    <row r="426" spans="1:16">
      <c r="A426" s="776"/>
      <c r="B426" s="776"/>
      <c r="C426" s="776"/>
      <c r="D426" s="776"/>
      <c r="E426" s="776"/>
      <c r="F426" s="776"/>
      <c r="G426" s="776"/>
      <c r="H426" s="776"/>
      <c r="I426" s="776"/>
      <c r="J426" s="13"/>
      <c r="K426" s="776"/>
      <c r="L426" s="776"/>
      <c r="M426" s="776"/>
      <c r="N426" s="776"/>
      <c r="O426" s="776"/>
      <c r="P426" s="776"/>
    </row>
    <row r="427" spans="1:16">
      <c r="A427" s="867"/>
      <c r="B427" s="867"/>
      <c r="C427" s="867"/>
      <c r="D427" s="867"/>
      <c r="E427" s="867"/>
      <c r="F427" s="867"/>
      <c r="G427" s="867"/>
      <c r="H427" s="867"/>
      <c r="I427" s="867"/>
      <c r="J427" s="13"/>
      <c r="K427" s="776"/>
      <c r="L427" s="776"/>
      <c r="M427" s="776"/>
      <c r="N427" s="776"/>
      <c r="O427" s="776"/>
      <c r="P427" s="776"/>
    </row>
    <row r="428" spans="1:16">
      <c r="A428" s="867"/>
      <c r="B428" s="867"/>
      <c r="C428" s="867"/>
      <c r="D428" s="867"/>
      <c r="E428" s="867"/>
      <c r="F428" s="867"/>
      <c r="G428" s="867"/>
      <c r="H428" s="867"/>
      <c r="I428" s="867"/>
      <c r="J428" s="13"/>
      <c r="K428" s="776"/>
      <c r="L428" s="776"/>
      <c r="M428" s="776"/>
      <c r="N428" s="776"/>
      <c r="O428" s="776"/>
      <c r="P428" s="776"/>
    </row>
    <row r="429" spans="1:16">
      <c r="A429" s="867"/>
      <c r="B429" s="867"/>
      <c r="C429" s="867"/>
      <c r="D429" s="867"/>
      <c r="E429" s="867"/>
      <c r="F429" s="867"/>
      <c r="G429" s="867"/>
      <c r="H429" s="867"/>
      <c r="I429" s="867"/>
      <c r="J429" s="13"/>
      <c r="K429" s="776"/>
      <c r="L429" s="776"/>
      <c r="M429" s="776"/>
      <c r="N429" s="776"/>
      <c r="O429" s="776"/>
      <c r="P429" s="776"/>
    </row>
    <row r="430" spans="1:16">
      <c r="A430" s="867"/>
      <c r="B430" s="867"/>
      <c r="C430" s="867"/>
      <c r="D430" s="867"/>
      <c r="E430" s="867"/>
      <c r="F430" s="867"/>
      <c r="G430" s="867"/>
      <c r="H430" s="867"/>
      <c r="I430" s="867"/>
      <c r="J430" s="13"/>
      <c r="K430" s="776"/>
      <c r="L430" s="776"/>
      <c r="M430" s="776"/>
      <c r="N430" s="776"/>
      <c r="O430" s="776"/>
      <c r="P430" s="776"/>
    </row>
    <row r="431" spans="1:16">
      <c r="A431" s="867"/>
      <c r="B431" s="867"/>
      <c r="C431" s="867"/>
      <c r="D431" s="867"/>
      <c r="E431" s="867"/>
      <c r="F431" s="867"/>
      <c r="G431" s="867"/>
      <c r="H431" s="867"/>
      <c r="I431" s="867"/>
      <c r="J431" s="13"/>
      <c r="K431" s="776"/>
      <c r="L431" s="776"/>
      <c r="M431" s="776"/>
      <c r="N431" s="776"/>
      <c r="O431" s="776"/>
      <c r="P431" s="776"/>
    </row>
    <row r="432" spans="1:16">
      <c r="A432" s="867"/>
      <c r="B432" s="867"/>
      <c r="C432" s="867"/>
      <c r="D432" s="867"/>
      <c r="E432" s="867"/>
      <c r="F432" s="867"/>
      <c r="G432" s="867"/>
      <c r="H432" s="867"/>
      <c r="I432" s="867"/>
      <c r="J432" s="13"/>
      <c r="K432" s="776"/>
      <c r="L432" s="776"/>
      <c r="M432" s="776"/>
      <c r="N432" s="776"/>
      <c r="O432" s="776"/>
      <c r="P432" s="776"/>
    </row>
    <row r="433" spans="1:16">
      <c r="A433" s="867"/>
      <c r="B433" s="867"/>
      <c r="C433" s="867"/>
      <c r="D433" s="867"/>
      <c r="E433" s="867"/>
      <c r="F433" s="867"/>
      <c r="G433" s="867"/>
      <c r="H433" s="867"/>
      <c r="I433" s="867"/>
      <c r="J433" s="13"/>
      <c r="K433" s="776"/>
      <c r="L433" s="776"/>
      <c r="M433" s="776"/>
      <c r="N433" s="776"/>
      <c r="O433" s="776"/>
      <c r="P433" s="776"/>
    </row>
    <row r="434" spans="1:16">
      <c r="A434" s="867"/>
      <c r="B434" s="867"/>
      <c r="C434" s="867"/>
      <c r="D434" s="867"/>
      <c r="E434" s="867"/>
      <c r="F434" s="867"/>
      <c r="G434" s="867"/>
      <c r="H434" s="867"/>
      <c r="I434" s="867"/>
      <c r="J434" s="13"/>
      <c r="K434" s="776"/>
      <c r="L434" s="776"/>
      <c r="M434" s="776"/>
      <c r="N434" s="776"/>
      <c r="O434" s="776"/>
      <c r="P434" s="776"/>
    </row>
    <row r="435" spans="1:16">
      <c r="A435" s="867"/>
      <c r="B435" s="867"/>
      <c r="C435" s="867"/>
      <c r="D435" s="867"/>
      <c r="E435" s="867"/>
      <c r="F435" s="867"/>
      <c r="G435" s="867"/>
      <c r="H435" s="867"/>
      <c r="I435" s="867"/>
      <c r="J435" s="13"/>
      <c r="K435" s="776"/>
      <c r="L435" s="776"/>
      <c r="M435" s="776"/>
      <c r="N435" s="776"/>
      <c r="O435" s="776"/>
      <c r="P435" s="776"/>
    </row>
    <row r="436" spans="1:16">
      <c r="A436" s="867"/>
      <c r="B436" s="867"/>
      <c r="C436" s="867"/>
      <c r="D436" s="867"/>
      <c r="E436" s="867"/>
      <c r="F436" s="867"/>
      <c r="G436" s="867"/>
      <c r="H436" s="867"/>
      <c r="I436" s="867"/>
      <c r="J436" s="13"/>
      <c r="K436" s="776"/>
      <c r="L436" s="776"/>
      <c r="M436" s="776"/>
      <c r="N436" s="776"/>
      <c r="O436" s="776"/>
      <c r="P436" s="776"/>
    </row>
    <row r="437" spans="1:16">
      <c r="A437" s="867"/>
      <c r="B437" s="867"/>
      <c r="C437" s="867"/>
      <c r="D437" s="867"/>
      <c r="E437" s="867"/>
      <c r="F437" s="867"/>
      <c r="G437" s="867"/>
      <c r="H437" s="867"/>
      <c r="I437" s="867"/>
      <c r="J437" s="13"/>
      <c r="K437" s="776"/>
      <c r="L437" s="776"/>
      <c r="M437" s="776"/>
      <c r="N437" s="776"/>
      <c r="O437" s="776"/>
      <c r="P437" s="776"/>
    </row>
    <row r="438" spans="1:16">
      <c r="A438" s="867"/>
      <c r="B438" s="867"/>
      <c r="C438" s="867"/>
      <c r="D438" s="867"/>
      <c r="E438" s="867"/>
      <c r="F438" s="867"/>
      <c r="G438" s="867"/>
      <c r="H438" s="867"/>
      <c r="I438" s="867"/>
      <c r="J438" s="13"/>
      <c r="K438" s="776"/>
      <c r="L438" s="776"/>
      <c r="M438" s="776"/>
      <c r="N438" s="776"/>
      <c r="O438" s="776"/>
      <c r="P438" s="776"/>
    </row>
    <row r="439" spans="1:16">
      <c r="A439" s="867"/>
      <c r="B439" s="867"/>
      <c r="C439" s="867"/>
      <c r="D439" s="867"/>
      <c r="E439" s="867"/>
      <c r="F439" s="867"/>
      <c r="G439" s="867"/>
      <c r="H439" s="867"/>
      <c r="I439" s="867"/>
      <c r="J439" s="13"/>
      <c r="K439" s="776"/>
      <c r="L439" s="776"/>
      <c r="M439" s="776"/>
      <c r="N439" s="776"/>
      <c r="O439" s="776"/>
      <c r="P439" s="776"/>
    </row>
    <row r="440" spans="1:16">
      <c r="A440" s="867"/>
      <c r="B440" s="867"/>
      <c r="C440" s="867"/>
      <c r="D440" s="867"/>
      <c r="E440" s="867"/>
      <c r="F440" s="867"/>
      <c r="G440" s="867"/>
      <c r="H440" s="867"/>
      <c r="I440" s="867"/>
      <c r="J440" s="13"/>
      <c r="K440" s="776"/>
      <c r="L440" s="776"/>
      <c r="M440" s="776"/>
      <c r="N440" s="776"/>
      <c r="O440" s="776"/>
      <c r="P440" s="776"/>
    </row>
    <row r="441" spans="1:16">
      <c r="A441" s="867"/>
      <c r="B441" s="867"/>
      <c r="C441" s="867"/>
      <c r="D441" s="867"/>
      <c r="E441" s="867"/>
      <c r="F441" s="867"/>
      <c r="G441" s="867"/>
      <c r="H441" s="867"/>
      <c r="I441" s="867"/>
      <c r="J441" s="13"/>
      <c r="K441" s="776"/>
      <c r="L441" s="776"/>
      <c r="M441" s="776"/>
      <c r="N441" s="776"/>
      <c r="O441" s="776"/>
      <c r="P441" s="776"/>
    </row>
    <row r="442" spans="1:16">
      <c r="A442" s="867"/>
      <c r="B442" s="867"/>
      <c r="C442" s="867"/>
      <c r="D442" s="867"/>
      <c r="E442" s="867"/>
      <c r="F442" s="867"/>
      <c r="G442" s="867"/>
      <c r="H442" s="867"/>
      <c r="I442" s="867"/>
      <c r="J442" s="13"/>
      <c r="K442" s="776"/>
      <c r="L442" s="776"/>
      <c r="M442" s="776"/>
      <c r="N442" s="776"/>
      <c r="O442" s="776"/>
      <c r="P442" s="776"/>
    </row>
    <row r="443" spans="1:16">
      <c r="A443" s="867"/>
      <c r="B443" s="867"/>
      <c r="C443" s="867"/>
      <c r="D443" s="867"/>
      <c r="E443" s="867"/>
      <c r="F443" s="867"/>
      <c r="G443" s="867"/>
      <c r="H443" s="867"/>
      <c r="I443" s="867"/>
      <c r="J443" s="13"/>
      <c r="K443" s="776"/>
      <c r="L443" s="776"/>
      <c r="M443" s="776"/>
      <c r="N443" s="776"/>
      <c r="O443" s="776"/>
      <c r="P443" s="776"/>
    </row>
    <row r="444" spans="1:16">
      <c r="A444" s="867"/>
      <c r="B444" s="867"/>
      <c r="C444" s="867"/>
      <c r="D444" s="867"/>
      <c r="E444" s="867"/>
      <c r="F444" s="867"/>
      <c r="G444" s="867"/>
      <c r="H444" s="867"/>
      <c r="I444" s="867"/>
      <c r="J444" s="13"/>
      <c r="K444" s="776"/>
      <c r="L444" s="776"/>
      <c r="M444" s="776"/>
      <c r="N444" s="776"/>
      <c r="O444" s="776"/>
      <c r="P444" s="776"/>
    </row>
    <row r="445" spans="1:16">
      <c r="A445" s="867"/>
      <c r="B445" s="867"/>
      <c r="C445" s="867"/>
      <c r="D445" s="867"/>
      <c r="E445" s="867"/>
      <c r="F445" s="867"/>
      <c r="G445" s="867"/>
      <c r="H445" s="867"/>
      <c r="I445" s="867"/>
      <c r="J445" s="13"/>
      <c r="K445" s="776"/>
      <c r="L445" s="776"/>
      <c r="M445" s="776"/>
      <c r="N445" s="776"/>
      <c r="O445" s="776"/>
      <c r="P445" s="776"/>
    </row>
    <row r="446" spans="1:16">
      <c r="A446" s="867"/>
      <c r="B446" s="867"/>
      <c r="C446" s="867"/>
      <c r="D446" s="867"/>
      <c r="E446" s="867"/>
      <c r="F446" s="867"/>
      <c r="G446" s="867"/>
      <c r="H446" s="867"/>
      <c r="I446" s="867"/>
      <c r="J446" s="13"/>
      <c r="K446" s="776"/>
      <c r="L446" s="776"/>
      <c r="M446" s="776"/>
      <c r="N446" s="776"/>
      <c r="O446" s="776"/>
      <c r="P446" s="776"/>
    </row>
    <row r="447" spans="1:16">
      <c r="A447" s="867"/>
      <c r="B447" s="867"/>
      <c r="C447" s="867"/>
      <c r="D447" s="867"/>
      <c r="E447" s="867"/>
      <c r="F447" s="867"/>
      <c r="G447" s="867"/>
      <c r="H447" s="867"/>
      <c r="I447" s="867"/>
      <c r="J447" s="13"/>
      <c r="K447" s="776"/>
      <c r="L447" s="776"/>
      <c r="M447" s="776"/>
      <c r="N447" s="776"/>
      <c r="O447" s="776"/>
      <c r="P447" s="776"/>
    </row>
    <row r="448" spans="1:16">
      <c r="A448" s="867"/>
      <c r="B448" s="867"/>
      <c r="C448" s="867"/>
      <c r="D448" s="867"/>
      <c r="E448" s="867"/>
      <c r="F448" s="867"/>
      <c r="G448" s="867"/>
      <c r="H448" s="867"/>
      <c r="I448" s="867"/>
      <c r="J448" s="13"/>
      <c r="K448" s="776"/>
      <c r="L448" s="776"/>
      <c r="M448" s="776"/>
      <c r="N448" s="776"/>
      <c r="O448" s="776"/>
      <c r="P448" s="776"/>
    </row>
    <row r="449" spans="1:16">
      <c r="A449" s="867"/>
      <c r="B449" s="867"/>
      <c r="C449" s="867"/>
      <c r="D449" s="867"/>
      <c r="E449" s="867"/>
      <c r="F449" s="867"/>
      <c r="G449" s="867"/>
      <c r="H449" s="867"/>
      <c r="I449" s="867"/>
      <c r="J449" s="13"/>
      <c r="K449" s="776"/>
      <c r="L449" s="776"/>
      <c r="M449" s="776"/>
      <c r="N449" s="776"/>
      <c r="O449" s="776"/>
      <c r="P449" s="776"/>
    </row>
    <row r="450" spans="1:16">
      <c r="A450" s="867"/>
      <c r="B450" s="867"/>
      <c r="C450" s="867"/>
      <c r="D450" s="867"/>
      <c r="E450" s="867"/>
      <c r="F450" s="867"/>
      <c r="G450" s="867"/>
      <c r="H450" s="867"/>
      <c r="I450" s="867"/>
      <c r="J450" s="13"/>
      <c r="K450" s="776"/>
      <c r="L450" s="776"/>
      <c r="M450" s="776"/>
      <c r="N450" s="776"/>
      <c r="O450" s="776"/>
      <c r="P450" s="776"/>
    </row>
    <row r="451" spans="1:16">
      <c r="A451" s="867"/>
      <c r="B451" s="867"/>
      <c r="C451" s="867"/>
      <c r="D451" s="867"/>
      <c r="E451" s="867"/>
      <c r="F451" s="867"/>
      <c r="G451" s="867"/>
      <c r="H451" s="867"/>
      <c r="I451" s="867"/>
      <c r="J451" s="13"/>
      <c r="K451" s="776"/>
      <c r="L451" s="776"/>
      <c r="M451" s="776"/>
      <c r="N451" s="776"/>
      <c r="O451" s="776"/>
      <c r="P451" s="776"/>
    </row>
    <row r="452" spans="1:16">
      <c r="A452" s="867"/>
      <c r="B452" s="867"/>
      <c r="C452" s="867"/>
      <c r="D452" s="867"/>
      <c r="E452" s="867"/>
      <c r="F452" s="867"/>
      <c r="G452" s="867"/>
      <c r="H452" s="867"/>
      <c r="I452" s="867"/>
      <c r="J452" s="13"/>
      <c r="K452" s="776"/>
      <c r="L452" s="776"/>
      <c r="M452" s="776"/>
      <c r="N452" s="776"/>
      <c r="O452" s="776"/>
      <c r="P452" s="776"/>
    </row>
    <row r="453" spans="1:16">
      <c r="A453" s="867"/>
      <c r="B453" s="867"/>
      <c r="C453" s="867"/>
      <c r="D453" s="867"/>
      <c r="E453" s="867"/>
      <c r="F453" s="867"/>
      <c r="G453" s="867"/>
      <c r="H453" s="867"/>
      <c r="I453" s="867"/>
      <c r="J453" s="13"/>
      <c r="K453" s="776"/>
      <c r="L453" s="776"/>
      <c r="M453" s="776"/>
      <c r="N453" s="776"/>
      <c r="O453" s="776"/>
      <c r="P453" s="776"/>
    </row>
    <row r="454" spans="1:16">
      <c r="A454" s="867"/>
      <c r="B454" s="867"/>
      <c r="C454" s="867"/>
      <c r="D454" s="867"/>
      <c r="E454" s="867"/>
      <c r="F454" s="867"/>
      <c r="G454" s="867"/>
      <c r="H454" s="867"/>
      <c r="I454" s="867"/>
      <c r="J454" s="13"/>
      <c r="K454" s="776"/>
      <c r="L454" s="776"/>
      <c r="M454" s="776"/>
      <c r="N454" s="776"/>
      <c r="O454" s="776"/>
      <c r="P454" s="776"/>
    </row>
    <row r="455" spans="1:16">
      <c r="A455" s="867"/>
      <c r="B455" s="867"/>
      <c r="C455" s="867"/>
      <c r="D455" s="867"/>
      <c r="E455" s="867"/>
      <c r="F455" s="867"/>
      <c r="G455" s="867"/>
      <c r="H455" s="867"/>
      <c r="I455" s="867"/>
      <c r="J455" s="13"/>
      <c r="K455" s="776"/>
      <c r="L455" s="776"/>
      <c r="M455" s="776"/>
      <c r="N455" s="776"/>
      <c r="O455" s="776"/>
      <c r="P455" s="776"/>
    </row>
    <row r="456" spans="1:16">
      <c r="A456" s="867"/>
      <c r="B456" s="867"/>
      <c r="C456" s="867"/>
      <c r="D456" s="867"/>
      <c r="E456" s="867"/>
      <c r="F456" s="867"/>
      <c r="G456" s="867"/>
      <c r="H456" s="867"/>
      <c r="I456" s="867"/>
      <c r="J456" s="13"/>
      <c r="K456" s="776"/>
      <c r="L456" s="776"/>
      <c r="M456" s="776"/>
      <c r="N456" s="776"/>
      <c r="O456" s="776"/>
      <c r="P456" s="776"/>
    </row>
    <row r="457" spans="1:16">
      <c r="A457" s="867"/>
      <c r="B457" s="867"/>
      <c r="C457" s="867"/>
      <c r="D457" s="867"/>
      <c r="E457" s="867"/>
      <c r="F457" s="867"/>
      <c r="G457" s="867"/>
      <c r="H457" s="867"/>
      <c r="I457" s="867"/>
      <c r="J457" s="13"/>
      <c r="K457" s="776"/>
      <c r="L457" s="776"/>
      <c r="M457" s="776"/>
      <c r="N457" s="776"/>
      <c r="O457" s="776"/>
      <c r="P457" s="776"/>
    </row>
    <row r="458" spans="1:16">
      <c r="A458" s="867"/>
      <c r="B458" s="867"/>
      <c r="C458" s="867"/>
      <c r="D458" s="867"/>
      <c r="E458" s="867"/>
      <c r="F458" s="867"/>
      <c r="G458" s="867"/>
      <c r="H458" s="867"/>
      <c r="I458" s="867"/>
      <c r="J458" s="13"/>
      <c r="K458" s="776"/>
      <c r="L458" s="776"/>
      <c r="M458" s="776"/>
      <c r="N458" s="776"/>
      <c r="O458" s="776"/>
      <c r="P458" s="776"/>
    </row>
    <row r="459" spans="1:16">
      <c r="A459" s="867"/>
      <c r="B459" s="867"/>
      <c r="C459" s="867"/>
      <c r="D459" s="867"/>
      <c r="E459" s="867"/>
      <c r="F459" s="867"/>
      <c r="G459" s="867"/>
      <c r="H459" s="867"/>
      <c r="I459" s="867"/>
      <c r="J459" s="13"/>
      <c r="K459" s="776"/>
      <c r="L459" s="776"/>
      <c r="M459" s="776"/>
      <c r="N459" s="776"/>
      <c r="O459" s="776"/>
      <c r="P459" s="776"/>
    </row>
    <row r="460" spans="1:16">
      <c r="A460" s="867"/>
      <c r="B460" s="867"/>
      <c r="C460" s="867"/>
      <c r="D460" s="867"/>
      <c r="E460" s="867"/>
      <c r="F460" s="867"/>
      <c r="G460" s="867"/>
      <c r="H460" s="867"/>
      <c r="I460" s="867"/>
      <c r="J460" s="13"/>
      <c r="K460" s="776"/>
      <c r="L460" s="776"/>
      <c r="M460" s="776"/>
      <c r="N460" s="776"/>
      <c r="O460" s="776"/>
      <c r="P460" s="776"/>
    </row>
    <row r="461" spans="1:16">
      <c r="A461" s="867"/>
      <c r="B461" s="867"/>
      <c r="C461" s="867"/>
      <c r="D461" s="867"/>
      <c r="E461" s="867"/>
      <c r="F461" s="867"/>
      <c r="G461" s="867"/>
      <c r="H461" s="867"/>
      <c r="I461" s="867"/>
      <c r="J461" s="13"/>
      <c r="K461" s="776"/>
      <c r="L461" s="776"/>
      <c r="M461" s="776"/>
      <c r="N461" s="776"/>
      <c r="O461" s="776"/>
      <c r="P461" s="776"/>
    </row>
    <row r="462" spans="1:16">
      <c r="A462" s="867"/>
      <c r="B462" s="867"/>
      <c r="C462" s="867"/>
      <c r="D462" s="867"/>
      <c r="E462" s="867"/>
      <c r="F462" s="867"/>
      <c r="G462" s="867"/>
      <c r="H462" s="867"/>
      <c r="I462" s="867"/>
      <c r="J462" s="13"/>
      <c r="K462" s="776"/>
      <c r="L462" s="776"/>
      <c r="M462" s="776"/>
      <c r="N462" s="776"/>
      <c r="O462" s="776"/>
      <c r="P462" s="776"/>
    </row>
    <row r="463" spans="1:16">
      <c r="A463" s="867"/>
      <c r="B463" s="867"/>
      <c r="C463" s="867"/>
      <c r="D463" s="867"/>
      <c r="E463" s="867"/>
      <c r="F463" s="867"/>
      <c r="G463" s="867"/>
      <c r="H463" s="867"/>
      <c r="I463" s="867"/>
      <c r="J463" s="13"/>
      <c r="K463" s="776"/>
      <c r="L463" s="776"/>
      <c r="M463" s="776"/>
      <c r="N463" s="776"/>
      <c r="O463" s="776"/>
      <c r="P463" s="776"/>
    </row>
  </sheetData>
  <mergeCells count="5">
    <mergeCell ref="A141:D141"/>
    <mergeCell ref="W1:AA1"/>
    <mergeCell ref="W4:AA4"/>
    <mergeCell ref="A28:D28"/>
    <mergeCell ref="E1:H1"/>
  </mergeCells>
  <printOptions headings="1" gridLines="1"/>
  <pageMargins left="0.7" right="0.7" top="0.75" bottom="0.75" header="0.3" footer="0.3"/>
  <pageSetup paperSize="9" scale="69" fitToHeight="0" orientation="landscape" r:id="rId1"/>
  <rowBreaks count="5" manualBreakCount="5">
    <brk id="38" max="21" man="1"/>
    <brk id="70" max="21" man="1"/>
    <brk id="111" max="21" man="1"/>
    <brk id="137" max="21" man="1"/>
    <brk id="182" max="21" man="1"/>
  </rowBreaks>
  <ignoredErrors>
    <ignoredError sqref="I33 I38 I49 H69 I88 I96 I105 M146 M151 M162 L182 M201 M209 M218 L221:M221"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25</vt:i4>
      </vt:variant>
    </vt:vector>
  </HeadingPairs>
  <TitlesOfParts>
    <vt:vector size="53" baseType="lpstr">
      <vt:lpstr>1_Contents</vt:lpstr>
      <vt:lpstr>Changes</vt:lpstr>
      <vt:lpstr>2_Inc-Stat</vt:lpstr>
      <vt:lpstr>3_Fin-Stat</vt:lpstr>
      <vt:lpstr>7_Data Notes</vt:lpstr>
      <vt:lpstr>9_Leasing</vt:lpstr>
      <vt:lpstr>14_Sale or Purchase</vt:lpstr>
      <vt:lpstr>Old 5</vt:lpstr>
      <vt:lpstr>3_Working IFRS</vt:lpstr>
      <vt:lpstr>Econ-Perf 1</vt:lpstr>
      <vt:lpstr>Econ-Perf 2</vt:lpstr>
      <vt:lpstr>Mark-Expect</vt:lpstr>
      <vt:lpstr>TSR</vt:lpstr>
      <vt:lpstr> 11-BU Perf</vt:lpstr>
      <vt:lpstr>15-per Store 16-17</vt:lpstr>
      <vt:lpstr>Archives</vt:lpstr>
      <vt:lpstr>18 Data for Charts</vt:lpstr>
      <vt:lpstr>15b-Charts Comp</vt:lpstr>
      <vt:lpstr>15c-Charts Stores</vt:lpstr>
      <vt:lpstr>X-Chart Basics</vt:lpstr>
      <vt:lpstr>2011</vt:lpstr>
      <vt:lpstr>Old Fin</vt:lpstr>
      <vt:lpstr>JennyR</vt:lpstr>
      <vt:lpstr>New Charts</vt:lpstr>
      <vt:lpstr>xx-WHS Metrics</vt:lpstr>
      <vt:lpstr>Lease</vt:lpstr>
      <vt:lpstr>Tables</vt:lpstr>
      <vt:lpstr>Charts</vt:lpstr>
      <vt:lpstr>' 11-BU Perf'!Print_Area</vt:lpstr>
      <vt:lpstr>'1_Contents'!Print_Area</vt:lpstr>
      <vt:lpstr>'14_Sale or Purchase'!Print_Area</vt:lpstr>
      <vt:lpstr>'15b-Charts Comp'!Print_Area</vt:lpstr>
      <vt:lpstr>'15c-Charts Stores'!Print_Area</vt:lpstr>
      <vt:lpstr>'15-per Store 16-17'!Print_Area</vt:lpstr>
      <vt:lpstr>'18 Data for Charts'!Print_Area</vt:lpstr>
      <vt:lpstr>'2_Inc-Stat'!Print_Area</vt:lpstr>
      <vt:lpstr>'2011'!Print_Area</vt:lpstr>
      <vt:lpstr>'3_Fin-Stat'!Print_Area</vt:lpstr>
      <vt:lpstr>'3_Working IFRS'!Print_Area</vt:lpstr>
      <vt:lpstr>'7_Data Notes'!Print_Area</vt:lpstr>
      <vt:lpstr>'9_Leasing'!Print_Area</vt:lpstr>
      <vt:lpstr>Archives!Print_Area</vt:lpstr>
      <vt:lpstr>Changes!Print_Area</vt:lpstr>
      <vt:lpstr>'Econ-Perf 1'!Print_Area</vt:lpstr>
      <vt:lpstr>'Econ-Perf 2'!Print_Area</vt:lpstr>
      <vt:lpstr>JennyR!Print_Area</vt:lpstr>
      <vt:lpstr>'Mark-Expect'!Print_Area</vt:lpstr>
      <vt:lpstr>'New Charts'!Print_Area</vt:lpstr>
      <vt:lpstr>'Old 5'!Print_Area</vt:lpstr>
      <vt:lpstr>'Old Fin'!Print_Area</vt:lpstr>
      <vt:lpstr>Tables!Print_Area</vt:lpstr>
      <vt:lpstr>TSR!Print_Area</vt:lpstr>
      <vt:lpstr>'xx-WHS Metrics'!Print_Area</vt:lpstr>
    </vt:vector>
  </TitlesOfParts>
  <Manager/>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Garth Ireland</dc:creator>
  <cp:keywords/>
  <dc:description/>
  <cp:lastModifiedBy>Ralph</cp:lastModifiedBy>
  <cp:revision/>
  <cp:lastPrinted>2021-10-18T00:09:50Z</cp:lastPrinted>
  <dcterms:created xsi:type="dcterms:W3CDTF">1997-10-03T01:16:29Z</dcterms:created>
  <dcterms:modified xsi:type="dcterms:W3CDTF">2021-10-18T00:10:59Z</dcterms:modified>
  <cp:category/>
  <cp:contentStatus/>
</cp:coreProperties>
</file>